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tefanec\Desktop\Knjiga za objavu\"/>
    </mc:Choice>
  </mc:AlternateContent>
  <bookViews>
    <workbookView xWindow="0" yWindow="0" windowWidth="28800" windowHeight="11700" activeTab="1"/>
  </bookViews>
  <sheets>
    <sheet name="Izvor 11 i 12" sheetId="1" r:id="rId1"/>
    <sheet name="ostali izvori" sheetId="23" r:id="rId2"/>
    <sheet name="Rekapitulacija u eur" sheetId="5" r:id="rId3"/>
  </sheets>
  <externalReferences>
    <externalReference r:id="rId4"/>
  </externalReferences>
  <definedNames>
    <definedName name="_xlnm._FilterDatabase" localSheetId="0" hidden="1">'Izvor 11 i 12'!$A$5:$B$913</definedName>
    <definedName name="Dodatno">#REF!</definedName>
    <definedName name="_xlnm.Print_Titles" localSheetId="0">'Izvor 11 i 12'!$5:$6</definedName>
    <definedName name="_xlnm.Print_Titles" localSheetId="1">'ostali izvori'!$4:$4</definedName>
    <definedName name="JošStavk">#REF!</definedName>
    <definedName name="JošStavki">#REF!</definedName>
    <definedName name="JošVoća">#REF!</definedName>
    <definedName name="Meso">#REF!</definedName>
    <definedName name="_xlnm.Print_Area" localSheetId="0">'Izvor 11 i 12'!$A$1:$N$914</definedName>
    <definedName name="_xlnm.Print_Area" localSheetId="1">'ostali izvori'!$A$1:$K$1437</definedName>
    <definedName name="Stavke">#REF!</definedName>
    <definedName name="SUMDodatno">#REF!</definedName>
    <definedName name="SUMIF">#REF!</definedName>
    <definedName name="SUMIFDodatno">#REF!</definedName>
    <definedName name="Ukupno">#REF!</definedName>
    <definedName name="Voće">#REF!</definedName>
  </definedNames>
  <calcPr calcId="162913"/>
</workbook>
</file>

<file path=xl/calcChain.xml><?xml version="1.0" encoding="utf-8"?>
<calcChain xmlns="http://schemas.openxmlformats.org/spreadsheetml/2006/main">
  <c r="F1234" i="23" l="1"/>
  <c r="F1233" i="23"/>
  <c r="F1232" i="23" l="1"/>
  <c r="F1231" i="23" s="1"/>
  <c r="D1268" i="23" l="1"/>
  <c r="D1275" i="23"/>
  <c r="C1275" i="23"/>
  <c r="D1271" i="23"/>
  <c r="C1271" i="23"/>
  <c r="C1268" i="23"/>
  <c r="D1264" i="23"/>
  <c r="E1265" i="23"/>
  <c r="E1264" i="23" s="1"/>
  <c r="D1265" i="23"/>
  <c r="F1254" i="23"/>
  <c r="C1232" i="23" l="1"/>
  <c r="C1231" i="23" s="1"/>
  <c r="F1210" i="23"/>
  <c r="F1172" i="23"/>
  <c r="F1182" i="23"/>
  <c r="F1192" i="23"/>
  <c r="F1191" i="23" s="1"/>
  <c r="D1131" i="23"/>
  <c r="D1130" i="23" s="1"/>
  <c r="E1131" i="23"/>
  <c r="E1130" i="23" s="1"/>
  <c r="G1131" i="23"/>
  <c r="G1130" i="23" s="1"/>
  <c r="H1131" i="23"/>
  <c r="H1130" i="23" s="1"/>
  <c r="I1131" i="23"/>
  <c r="I1130" i="23" s="1"/>
  <c r="J1131" i="23"/>
  <c r="J1130" i="23" s="1"/>
  <c r="K1131" i="23"/>
  <c r="K1130" i="23" s="1"/>
  <c r="C1131" i="23"/>
  <c r="C1130" i="23" s="1"/>
  <c r="F1132" i="23"/>
  <c r="F1131" i="23" s="1"/>
  <c r="F1130" i="23" s="1"/>
  <c r="E1175" i="23" l="1"/>
  <c r="F1176" i="23"/>
  <c r="F1175" i="23" s="1"/>
  <c r="D1175" i="23"/>
  <c r="C1175" i="23"/>
  <c r="K1128" i="23"/>
  <c r="J1128" i="23"/>
  <c r="I1128" i="23"/>
  <c r="C1128" i="23"/>
  <c r="E1128" i="23"/>
  <c r="D1128" i="23"/>
  <c r="F1005" i="23" l="1"/>
  <c r="D961" i="23"/>
  <c r="E961" i="23"/>
  <c r="C961" i="23"/>
  <c r="D847" i="23"/>
  <c r="E847" i="23"/>
  <c r="C847" i="23"/>
  <c r="D845" i="23"/>
  <c r="E845" i="23"/>
  <c r="C845" i="23"/>
  <c r="D710" i="23"/>
  <c r="E710" i="23"/>
  <c r="E709" i="23" s="1"/>
  <c r="C710" i="23"/>
  <c r="D723" i="23"/>
  <c r="E723" i="23"/>
  <c r="C723" i="23"/>
  <c r="I747" i="23"/>
  <c r="I754" i="23"/>
  <c r="E747" i="23"/>
  <c r="G747" i="23"/>
  <c r="H747" i="23"/>
  <c r="C747" i="23"/>
  <c r="C731" i="23"/>
  <c r="C719" i="23"/>
  <c r="D719" i="23"/>
  <c r="E719" i="23"/>
  <c r="F659" i="23"/>
  <c r="D658" i="23"/>
  <c r="E658" i="23"/>
  <c r="C658" i="23"/>
  <c r="D626" i="23"/>
  <c r="E626" i="23"/>
  <c r="E625" i="23" s="1"/>
  <c r="C626" i="23"/>
  <c r="F507" i="23"/>
  <c r="D506" i="23"/>
  <c r="E506" i="23"/>
  <c r="G506" i="23"/>
  <c r="H506" i="23"/>
  <c r="I506" i="23"/>
  <c r="J506" i="23"/>
  <c r="K506" i="23"/>
  <c r="C506" i="23"/>
  <c r="D491" i="23"/>
  <c r="E491" i="23"/>
  <c r="G491" i="23"/>
  <c r="H491" i="23"/>
  <c r="I491" i="23"/>
  <c r="J491" i="23"/>
  <c r="K491" i="23"/>
  <c r="C491" i="23"/>
  <c r="F492" i="23"/>
  <c r="F472" i="23"/>
  <c r="F330" i="23"/>
  <c r="F314" i="23"/>
  <c r="F156" i="23"/>
  <c r="F155" i="23" s="1"/>
  <c r="F154" i="23" s="1"/>
  <c r="F153" i="23" s="1"/>
  <c r="E155" i="23"/>
  <c r="E154" i="23" s="1"/>
  <c r="E153" i="23" s="1"/>
  <c r="G155" i="23"/>
  <c r="G154" i="23" s="1"/>
  <c r="G153" i="23" s="1"/>
  <c r="H155" i="23"/>
  <c r="H154" i="23" s="1"/>
  <c r="H153" i="23" s="1"/>
  <c r="I155" i="23"/>
  <c r="I154" i="23" s="1"/>
  <c r="I153" i="23" s="1"/>
  <c r="J155" i="23"/>
  <c r="J154" i="23" s="1"/>
  <c r="J153" i="23" s="1"/>
  <c r="K155" i="23"/>
  <c r="K154" i="23" s="1"/>
  <c r="K153" i="23" s="1"/>
  <c r="F299" i="23"/>
  <c r="F226" i="23"/>
  <c r="F225" i="23" s="1"/>
  <c r="D225" i="23"/>
  <c r="E225" i="23"/>
  <c r="G225" i="23"/>
  <c r="H225" i="23"/>
  <c r="I225" i="23"/>
  <c r="J225" i="23"/>
  <c r="K225" i="23"/>
  <c r="C225" i="23"/>
  <c r="F223" i="23"/>
  <c r="G168" i="23"/>
  <c r="H168" i="23"/>
  <c r="I168" i="23"/>
  <c r="J168" i="23"/>
  <c r="D168" i="23"/>
  <c r="E168" i="23"/>
  <c r="C168" i="23"/>
  <c r="C77" i="23"/>
  <c r="D77" i="23"/>
  <c r="F76" i="23"/>
  <c r="F59" i="23"/>
  <c r="F60" i="23"/>
  <c r="D41" i="23"/>
  <c r="E41" i="23"/>
  <c r="G41" i="23"/>
  <c r="H41" i="23"/>
  <c r="I41" i="23"/>
  <c r="J41" i="23"/>
  <c r="K41" i="23"/>
  <c r="F42" i="23"/>
  <c r="F41" i="23" s="1"/>
  <c r="G24" i="23"/>
  <c r="H24" i="23"/>
  <c r="I24" i="23"/>
  <c r="J24" i="23"/>
  <c r="K24" i="23"/>
  <c r="D24" i="23"/>
  <c r="E24" i="23"/>
  <c r="F25" i="23"/>
  <c r="F24" i="23" s="1"/>
  <c r="I746" i="23" l="1"/>
  <c r="H38" i="1"/>
  <c r="H245" i="1"/>
  <c r="H215" i="1"/>
  <c r="J33" i="1"/>
  <c r="I33" i="1"/>
  <c r="H33" i="1"/>
  <c r="J32" i="1"/>
  <c r="I32" i="1"/>
  <c r="H32" i="1"/>
  <c r="J30" i="1"/>
  <c r="I30" i="1"/>
  <c r="H30" i="1"/>
  <c r="J27" i="1"/>
  <c r="I27" i="1"/>
  <c r="H27" i="1"/>
  <c r="H28" i="1"/>
  <c r="I139" i="23" l="1"/>
  <c r="I138" i="23" s="1"/>
  <c r="I144" i="23"/>
  <c r="I143" i="23" s="1"/>
  <c r="I152" i="23"/>
  <c r="I151" i="23" s="1"/>
  <c r="I150" i="23" s="1"/>
  <c r="I149" i="23" s="1"/>
  <c r="I137" i="23" l="1"/>
  <c r="I136" i="23" s="1"/>
  <c r="I994" i="23" l="1"/>
  <c r="I843" i="23"/>
  <c r="I1143" i="23"/>
  <c r="I1141" i="23"/>
  <c r="I1140" i="23"/>
  <c r="I1137" i="23"/>
  <c r="I1250" i="23"/>
  <c r="I1258" i="23"/>
  <c r="I1261" i="23"/>
  <c r="I1288" i="23"/>
  <c r="I1283" i="23"/>
  <c r="I1282" i="23"/>
  <c r="I1172" i="23"/>
  <c r="I1146" i="23"/>
  <c r="I1124" i="23"/>
  <c r="I1120" i="23"/>
  <c r="I1096" i="23"/>
  <c r="I1085" i="23"/>
  <c r="I1082" i="23"/>
  <c r="I1076" i="23"/>
  <c r="I1075" i="23"/>
  <c r="I1052" i="23"/>
  <c r="I1049" i="23"/>
  <c r="I1044" i="23"/>
  <c r="I1039" i="23"/>
  <c r="I996" i="23"/>
  <c r="I983" i="23"/>
  <c r="I962" i="23"/>
  <c r="I607" i="23"/>
  <c r="I1111" i="23" l="1"/>
  <c r="I601" i="1" l="1"/>
  <c r="I704" i="1"/>
  <c r="I668" i="1"/>
  <c r="I628" i="1"/>
  <c r="I620" i="1"/>
  <c r="I613" i="1"/>
  <c r="I602" i="1"/>
  <c r="I143" i="1"/>
  <c r="I324" i="1"/>
  <c r="I322" i="1"/>
  <c r="I310" i="1"/>
  <c r="I240" i="1"/>
  <c r="I245" i="1"/>
  <c r="I232" i="1"/>
  <c r="I229" i="1"/>
  <c r="I102" i="1"/>
  <c r="I96" i="1"/>
  <c r="I88" i="1"/>
  <c r="I43" i="1"/>
  <c r="I314" i="1"/>
  <c r="I315" i="1"/>
  <c r="I90" i="1"/>
  <c r="J44" i="1"/>
  <c r="J38" i="1"/>
  <c r="I40" i="1"/>
  <c r="J56" i="1"/>
  <c r="I56" i="1"/>
  <c r="J53" i="1"/>
  <c r="I53" i="1"/>
  <c r="J50" i="1"/>
  <c r="I50" i="1"/>
  <c r="I44" i="1"/>
  <c r="I38" i="1"/>
  <c r="H314" i="1"/>
  <c r="H118" i="1"/>
  <c r="H110" i="1"/>
  <c r="H56" i="1"/>
  <c r="H53" i="1"/>
  <c r="H50" i="1"/>
  <c r="H44" i="1"/>
  <c r="M840" i="1" l="1"/>
  <c r="M843" i="1"/>
  <c r="M844" i="1"/>
  <c r="M845" i="1"/>
  <c r="M846" i="1"/>
  <c r="M847" i="1"/>
  <c r="M849" i="1"/>
  <c r="M850" i="1"/>
  <c r="M851" i="1"/>
  <c r="M852" i="1"/>
  <c r="M853" i="1"/>
  <c r="M854" i="1"/>
  <c r="M855" i="1"/>
  <c r="M856" i="1"/>
  <c r="M857" i="1"/>
  <c r="M859" i="1"/>
  <c r="M861" i="1"/>
  <c r="M862" i="1"/>
  <c r="M863" i="1"/>
  <c r="M866" i="1"/>
  <c r="M869" i="1"/>
  <c r="J1302" i="23" l="1"/>
  <c r="K1302" i="23"/>
  <c r="J1281" i="23"/>
  <c r="K1281" i="23"/>
  <c r="J1275" i="23"/>
  <c r="K1275" i="23"/>
  <c r="J1271" i="23"/>
  <c r="K1271" i="23"/>
  <c r="J1268" i="23"/>
  <c r="K1268" i="23"/>
  <c r="J1224" i="23"/>
  <c r="K1224" i="23"/>
  <c r="J1181" i="23"/>
  <c r="K1181" i="23"/>
  <c r="J1169" i="23"/>
  <c r="K1169" i="23"/>
  <c r="J1163" i="23"/>
  <c r="K1163" i="23"/>
  <c r="J1159" i="23"/>
  <c r="K1159" i="23"/>
  <c r="J1150" i="23"/>
  <c r="K1150" i="23"/>
  <c r="J1153" i="23"/>
  <c r="K1153" i="23"/>
  <c r="J1155" i="23"/>
  <c r="K1155" i="23"/>
  <c r="J1139" i="23"/>
  <c r="K1139" i="23"/>
  <c r="J1134" i="23"/>
  <c r="K1134" i="23"/>
  <c r="J1119" i="23"/>
  <c r="K1119" i="23"/>
  <c r="J1113" i="23"/>
  <c r="K1113" i="23"/>
  <c r="J1109" i="23"/>
  <c r="K1109" i="23"/>
  <c r="J1086" i="23"/>
  <c r="K1086" i="23"/>
  <c r="J1069" i="23"/>
  <c r="K1069" i="23"/>
  <c r="J1065" i="23"/>
  <c r="K1065" i="23"/>
  <c r="J1061" i="23"/>
  <c r="K1061" i="23"/>
  <c r="J1041" i="23"/>
  <c r="K1041" i="23"/>
  <c r="J1028" i="23"/>
  <c r="K1028" i="23"/>
  <c r="J1022" i="23"/>
  <c r="K1022" i="23"/>
  <c r="J1018" i="23"/>
  <c r="K1018" i="23"/>
  <c r="J992" i="23"/>
  <c r="K992" i="23"/>
  <c r="J945" i="23"/>
  <c r="K945" i="23"/>
  <c r="J937" i="23"/>
  <c r="K937" i="23"/>
  <c r="J922" i="23"/>
  <c r="K922" i="23"/>
  <c r="J919" i="23"/>
  <c r="K919" i="23"/>
  <c r="J530" i="23"/>
  <c r="K530" i="23"/>
  <c r="J524" i="23"/>
  <c r="K524" i="23"/>
  <c r="J516" i="23"/>
  <c r="K516" i="23"/>
  <c r="J512" i="23"/>
  <c r="K512" i="23"/>
  <c r="J497" i="23"/>
  <c r="K497" i="23"/>
  <c r="J469" i="23"/>
  <c r="K469" i="23"/>
  <c r="J461" i="23"/>
  <c r="K461" i="23"/>
  <c r="H408" i="23"/>
  <c r="G408" i="23"/>
  <c r="C408" i="23"/>
  <c r="J408" i="23"/>
  <c r="K408" i="23"/>
  <c r="I408" i="23"/>
  <c r="J404" i="23"/>
  <c r="K404" i="23"/>
  <c r="J400" i="23"/>
  <c r="K400" i="23"/>
  <c r="J345" i="23"/>
  <c r="K345" i="23"/>
  <c r="J335" i="23"/>
  <c r="K335" i="23"/>
  <c r="J326" i="23"/>
  <c r="K326" i="23"/>
  <c r="J319" i="23"/>
  <c r="K319" i="23"/>
  <c r="J308" i="23"/>
  <c r="K308" i="23"/>
  <c r="J306" i="23"/>
  <c r="K306" i="23"/>
  <c r="J303" i="23"/>
  <c r="K303" i="23"/>
  <c r="J296" i="23"/>
  <c r="K296" i="23"/>
  <c r="J293" i="23"/>
  <c r="J292" i="23" s="1"/>
  <c r="K293" i="23"/>
  <c r="K292" i="23" s="1"/>
  <c r="J290" i="23"/>
  <c r="K290" i="23"/>
  <c r="J287" i="23"/>
  <c r="K287" i="23"/>
  <c r="J285" i="23"/>
  <c r="K285" i="23"/>
  <c r="J276" i="23"/>
  <c r="K276" i="23"/>
  <c r="J270" i="23"/>
  <c r="K270" i="23"/>
  <c r="J267" i="23"/>
  <c r="K267" i="23"/>
  <c r="I267" i="23"/>
  <c r="I270" i="23"/>
  <c r="J244" i="23"/>
  <c r="K244" i="23"/>
  <c r="J242" i="23"/>
  <c r="K242" i="23"/>
  <c r="J237" i="23"/>
  <c r="K237" i="23"/>
  <c r="J227" i="23"/>
  <c r="K227" i="23"/>
  <c r="J213" i="23"/>
  <c r="K213" i="23"/>
  <c r="J207" i="23"/>
  <c r="K207" i="23"/>
  <c r="J200" i="23"/>
  <c r="K200" i="23"/>
  <c r="K236" i="23" l="1"/>
  <c r="K266" i="23"/>
  <c r="K295" i="23"/>
  <c r="K305" i="23"/>
  <c r="K1149" i="23"/>
  <c r="J1149" i="23"/>
  <c r="J305" i="23"/>
  <c r="J295" i="23"/>
  <c r="J266" i="23"/>
  <c r="J236" i="23"/>
  <c r="K265" i="23" l="1"/>
  <c r="K264" i="23" s="1"/>
  <c r="J265" i="23"/>
  <c r="J264" i="23" s="1"/>
  <c r="D1191" i="23" l="1"/>
  <c r="D1190" i="23" s="1"/>
  <c r="E1191" i="23"/>
  <c r="E1190" i="23" s="1"/>
  <c r="G1191" i="23"/>
  <c r="G1190" i="23" s="1"/>
  <c r="H1191" i="23"/>
  <c r="H1190" i="23" s="1"/>
  <c r="I1191" i="23"/>
  <c r="I1190" i="23" s="1"/>
  <c r="J1191" i="23"/>
  <c r="J1190" i="23" s="1"/>
  <c r="K1191" i="23"/>
  <c r="K1190" i="23" s="1"/>
  <c r="F1190" i="23"/>
  <c r="D1188" i="23"/>
  <c r="E1188" i="23"/>
  <c r="F1188" i="23"/>
  <c r="G1188" i="23"/>
  <c r="H1188" i="23"/>
  <c r="I1188" i="23"/>
  <c r="J1188" i="23"/>
  <c r="K1188" i="23"/>
  <c r="D1186" i="23"/>
  <c r="E1186" i="23"/>
  <c r="F1186" i="23"/>
  <c r="G1186" i="23"/>
  <c r="H1186" i="23"/>
  <c r="I1186" i="23"/>
  <c r="J1186" i="23"/>
  <c r="K1186" i="23"/>
  <c r="C1186" i="23"/>
  <c r="D1181" i="23"/>
  <c r="E1181" i="23"/>
  <c r="F1181" i="23"/>
  <c r="G1181" i="23"/>
  <c r="H1181" i="23"/>
  <c r="I1181" i="23"/>
  <c r="C1181" i="23"/>
  <c r="D1173" i="23"/>
  <c r="E1173" i="23"/>
  <c r="F1173" i="23"/>
  <c r="G1173" i="23"/>
  <c r="H1173" i="23"/>
  <c r="I1173" i="23"/>
  <c r="J1173" i="23"/>
  <c r="J1158" i="23" s="1"/>
  <c r="K1173" i="23"/>
  <c r="K1158" i="23" s="1"/>
  <c r="D1169" i="23"/>
  <c r="E1169" i="23"/>
  <c r="F1169" i="23"/>
  <c r="G1169" i="23"/>
  <c r="H1169" i="23"/>
  <c r="I1169" i="23"/>
  <c r="C1169" i="23"/>
  <c r="D1163" i="23"/>
  <c r="E1163" i="23"/>
  <c r="F1163" i="23"/>
  <c r="G1163" i="23"/>
  <c r="H1163" i="23"/>
  <c r="I1163" i="23"/>
  <c r="D1159" i="23"/>
  <c r="E1159" i="23"/>
  <c r="G1159" i="23"/>
  <c r="H1159" i="23"/>
  <c r="I1159" i="23"/>
  <c r="D1155" i="23"/>
  <c r="E1155" i="23"/>
  <c r="G1155" i="23"/>
  <c r="H1155" i="23"/>
  <c r="I1155" i="23"/>
  <c r="D1153" i="23"/>
  <c r="E1153" i="23"/>
  <c r="G1153" i="23"/>
  <c r="H1153" i="23"/>
  <c r="I1153" i="23"/>
  <c r="D1150" i="23"/>
  <c r="E1150" i="23"/>
  <c r="G1150" i="23"/>
  <c r="H1150" i="23"/>
  <c r="I1150" i="23"/>
  <c r="C1191" i="23"/>
  <c r="C1190" i="23" s="1"/>
  <c r="C1188" i="23"/>
  <c r="F1179" i="23"/>
  <c r="F1178" i="23" s="1"/>
  <c r="F1177" i="23" s="1"/>
  <c r="K1178" i="23"/>
  <c r="K1177" i="23" s="1"/>
  <c r="J1178" i="23"/>
  <c r="J1177" i="23" s="1"/>
  <c r="I1178" i="23"/>
  <c r="I1177" i="23" s="1"/>
  <c r="H1178" i="23"/>
  <c r="H1177" i="23" s="1"/>
  <c r="G1178" i="23"/>
  <c r="G1177" i="23" s="1"/>
  <c r="E1178" i="23"/>
  <c r="E1177" i="23" s="1"/>
  <c r="D1178" i="23"/>
  <c r="D1177" i="23" s="1"/>
  <c r="C1178" i="23"/>
  <c r="C1177" i="23" s="1"/>
  <c r="C1173" i="23"/>
  <c r="H1180" i="23" l="1"/>
  <c r="E1158" i="23"/>
  <c r="E1149" i="23"/>
  <c r="G1180" i="23"/>
  <c r="F1180" i="23"/>
  <c r="E1180" i="23"/>
  <c r="D1180" i="23"/>
  <c r="H1158" i="23"/>
  <c r="G1158" i="23"/>
  <c r="K1180" i="23"/>
  <c r="K1148" i="23" s="1"/>
  <c r="K1147" i="23" s="1"/>
  <c r="H1149" i="23"/>
  <c r="G1149" i="23"/>
  <c r="J1180" i="23"/>
  <c r="J1148" i="23" s="1"/>
  <c r="J1147" i="23" s="1"/>
  <c r="D1149" i="23"/>
  <c r="D1158" i="23"/>
  <c r="I1158" i="23"/>
  <c r="I1149" i="23"/>
  <c r="I1180" i="23"/>
  <c r="C1180" i="23"/>
  <c r="C1163" i="23"/>
  <c r="C1159" i="23"/>
  <c r="C1158" i="23" l="1"/>
  <c r="E1148" i="23"/>
  <c r="E1147" i="23" s="1"/>
  <c r="D1148" i="23"/>
  <c r="D1147" i="23" s="1"/>
  <c r="G1148" i="23"/>
  <c r="G1147" i="23" s="1"/>
  <c r="H1148" i="23"/>
  <c r="H1147" i="23" s="1"/>
  <c r="I1148" i="23"/>
  <c r="I1147" i="23" s="1"/>
  <c r="H197" i="1"/>
  <c r="C1150" i="23" l="1"/>
  <c r="F1161" i="23"/>
  <c r="F1160" i="23"/>
  <c r="F1159" i="23" l="1"/>
  <c r="F1158" i="23" s="1"/>
  <c r="F1157" i="23"/>
  <c r="F1156" i="23"/>
  <c r="C1155" i="23"/>
  <c r="F1154" i="23"/>
  <c r="F1153" i="23" s="1"/>
  <c r="C1153" i="23"/>
  <c r="F1151" i="23"/>
  <c r="F1150" i="23" s="1"/>
  <c r="C1149" i="23" l="1"/>
  <c r="C1148" i="23" s="1"/>
  <c r="C1147" i="23" s="1"/>
  <c r="F1155" i="23"/>
  <c r="L898" i="1"/>
  <c r="L891" i="1" s="1"/>
  <c r="J898" i="1"/>
  <c r="I898" i="1"/>
  <c r="H898" i="1"/>
  <c r="N901" i="1"/>
  <c r="K901" i="1"/>
  <c r="M901" i="1"/>
  <c r="K1416" i="23"/>
  <c r="J1416" i="23"/>
  <c r="I1416" i="23"/>
  <c r="H1416" i="23"/>
  <c r="K1413" i="23"/>
  <c r="J1413" i="23"/>
  <c r="I1413" i="23"/>
  <c r="H1413" i="23"/>
  <c r="H1412" i="23" s="1"/>
  <c r="K1410" i="23"/>
  <c r="J1410" i="23"/>
  <c r="I1410" i="23"/>
  <c r="H1410" i="23"/>
  <c r="K1406" i="23"/>
  <c r="J1406" i="23"/>
  <c r="I1406" i="23"/>
  <c r="H1406" i="23"/>
  <c r="J1403" i="23"/>
  <c r="I1403" i="23"/>
  <c r="H1403" i="23"/>
  <c r="K1400" i="23"/>
  <c r="J1400" i="23"/>
  <c r="I1400" i="23"/>
  <c r="H1400" i="23"/>
  <c r="K1397" i="23"/>
  <c r="K1396" i="23" s="1"/>
  <c r="J1397" i="23"/>
  <c r="J1396" i="23" s="1"/>
  <c r="I1397" i="23"/>
  <c r="I1396" i="23" s="1"/>
  <c r="H1397" i="23"/>
  <c r="H1396" i="23" s="1"/>
  <c r="D8" i="1"/>
  <c r="D913" i="1"/>
  <c r="L904" i="1"/>
  <c r="F1149" i="23" l="1"/>
  <c r="F1148" i="23" s="1"/>
  <c r="F1147" i="23" s="1"/>
  <c r="J1412" i="23"/>
  <c r="L887" i="1"/>
  <c r="H1399" i="23"/>
  <c r="H1395" i="23" s="1"/>
  <c r="H1394" i="23" s="1"/>
  <c r="I1412" i="23"/>
  <c r="J1399" i="23"/>
  <c r="I1399" i="23"/>
  <c r="K1403" i="23"/>
  <c r="K1399" i="23" s="1"/>
  <c r="K1412" i="23"/>
  <c r="J1395" i="23" l="1"/>
  <c r="J1394" i="23" s="1"/>
  <c r="K1395" i="23"/>
  <c r="K1394" i="23" s="1"/>
  <c r="I1395" i="23"/>
  <c r="I1394" i="23" s="1"/>
  <c r="H892" i="1" l="1"/>
  <c r="M909" i="1"/>
  <c r="M908" i="1" s="1"/>
  <c r="K909" i="1"/>
  <c r="K908" i="1" s="1"/>
  <c r="I908" i="1"/>
  <c r="J908" i="1"/>
  <c r="H908" i="1"/>
  <c r="N907" i="1"/>
  <c r="M907" i="1"/>
  <c r="K907" i="1"/>
  <c r="M906" i="1"/>
  <c r="K906" i="1"/>
  <c r="N906" i="1"/>
  <c r="J905" i="1"/>
  <c r="H905" i="1"/>
  <c r="M903" i="1"/>
  <c r="K903" i="1"/>
  <c r="J902" i="1"/>
  <c r="N903" i="1"/>
  <c r="I902" i="1"/>
  <c r="H902" i="1"/>
  <c r="M900" i="1"/>
  <c r="K900" i="1"/>
  <c r="N900" i="1"/>
  <c r="M899" i="1"/>
  <c r="M898" i="1" s="1"/>
  <c r="K899" i="1"/>
  <c r="N899" i="1"/>
  <c r="M897" i="1"/>
  <c r="K897" i="1"/>
  <c r="N897" i="1"/>
  <c r="N896" i="1"/>
  <c r="M896" i="1"/>
  <c r="K896" i="1"/>
  <c r="J895" i="1"/>
  <c r="I895" i="1"/>
  <c r="H895" i="1"/>
  <c r="M894" i="1"/>
  <c r="K894" i="1"/>
  <c r="N894" i="1"/>
  <c r="M893" i="1"/>
  <c r="K893" i="1"/>
  <c r="I892" i="1"/>
  <c r="J892" i="1"/>
  <c r="J891" i="1" s="1"/>
  <c r="J889" i="1"/>
  <c r="J888" i="1" s="1"/>
  <c r="N890" i="1"/>
  <c r="N889" i="1" s="1"/>
  <c r="N888" i="1" s="1"/>
  <c r="M890" i="1"/>
  <c r="M889" i="1" s="1"/>
  <c r="M888" i="1" s="1"/>
  <c r="H889" i="1"/>
  <c r="H888" i="1" s="1"/>
  <c r="N898" i="1" l="1"/>
  <c r="H904" i="1"/>
  <c r="I891" i="1"/>
  <c r="K898" i="1"/>
  <c r="J904" i="1"/>
  <c r="H891" i="1"/>
  <c r="H887" i="1" s="1"/>
  <c r="J887" i="1"/>
  <c r="M892" i="1"/>
  <c r="K905" i="1"/>
  <c r="K904" i="1" s="1"/>
  <c r="N895" i="1"/>
  <c r="M902" i="1"/>
  <c r="N902" i="1"/>
  <c r="M905" i="1"/>
  <c r="M904" i="1" s="1"/>
  <c r="K902" i="1"/>
  <c r="M895" i="1"/>
  <c r="K895" i="1"/>
  <c r="K892" i="1"/>
  <c r="N905" i="1"/>
  <c r="N893" i="1"/>
  <c r="N892" i="1" s="1"/>
  <c r="I889" i="1"/>
  <c r="I888" i="1" s="1"/>
  <c r="K890" i="1"/>
  <c r="K889" i="1" s="1"/>
  <c r="K888" i="1" s="1"/>
  <c r="N909" i="1"/>
  <c r="N908" i="1" s="1"/>
  <c r="I905" i="1"/>
  <c r="I904" i="1" s="1"/>
  <c r="N891" i="1" l="1"/>
  <c r="N904" i="1"/>
  <c r="N887" i="1" s="1"/>
  <c r="K891" i="1"/>
  <c r="K887" i="1" s="1"/>
  <c r="K886" i="1" s="1"/>
  <c r="I887" i="1"/>
  <c r="I886" i="1" s="1"/>
  <c r="M891" i="1"/>
  <c r="M887" i="1" s="1"/>
  <c r="M886" i="1" s="1"/>
  <c r="H886" i="1"/>
  <c r="J886" i="1"/>
  <c r="I779" i="1"/>
  <c r="D343" i="1"/>
  <c r="L343" i="1"/>
  <c r="J314" i="1"/>
  <c r="K310" i="1"/>
  <c r="N886" i="1" l="1"/>
  <c r="N720" i="1"/>
  <c r="N719" i="1" s="1"/>
  <c r="N718" i="1" s="1"/>
  <c r="M720" i="1"/>
  <c r="M719" i="1" s="1"/>
  <c r="M718" i="1" s="1"/>
  <c r="K720" i="1"/>
  <c r="K719" i="1" s="1"/>
  <c r="K718" i="1" s="1"/>
  <c r="L719" i="1"/>
  <c r="J719" i="1"/>
  <c r="J718" i="1" s="1"/>
  <c r="I719" i="1"/>
  <c r="I718" i="1" s="1"/>
  <c r="H719" i="1"/>
  <c r="H718" i="1" s="1"/>
  <c r="G719" i="1"/>
  <c r="G718" i="1" s="1"/>
  <c r="F719" i="1"/>
  <c r="F718" i="1" s="1"/>
  <c r="E719" i="1"/>
  <c r="E718" i="1" s="1"/>
  <c r="L718" i="1"/>
  <c r="L706" i="1" s="1"/>
  <c r="L913" i="1" s="1"/>
  <c r="C719" i="1"/>
  <c r="C718" i="1" s="1"/>
  <c r="N536" i="1" l="1"/>
  <c r="M536" i="1"/>
  <c r="K536" i="1"/>
  <c r="L535" i="1"/>
  <c r="J535" i="1"/>
  <c r="I535" i="1"/>
  <c r="H535" i="1"/>
  <c r="G535" i="1"/>
  <c r="F535" i="1"/>
  <c r="E535" i="1"/>
  <c r="C535" i="1"/>
  <c r="N34" i="1"/>
  <c r="M34" i="1"/>
  <c r="K34" i="1"/>
  <c r="N210" i="1"/>
  <c r="M210" i="1"/>
  <c r="K210" i="1"/>
  <c r="L59" i="1"/>
  <c r="J59" i="1"/>
  <c r="I59" i="1"/>
  <c r="H59" i="1"/>
  <c r="G59" i="1"/>
  <c r="F59" i="1"/>
  <c r="E59" i="1"/>
  <c r="L48" i="1"/>
  <c r="J48" i="1"/>
  <c r="I48" i="1"/>
  <c r="H48" i="1"/>
  <c r="G48" i="1"/>
  <c r="F48" i="1"/>
  <c r="E48" i="1"/>
  <c r="L41" i="1"/>
  <c r="J41" i="1"/>
  <c r="I41" i="1"/>
  <c r="H41" i="1"/>
  <c r="G41" i="1"/>
  <c r="F41" i="1"/>
  <c r="E41" i="1"/>
  <c r="L36" i="1"/>
  <c r="J36" i="1"/>
  <c r="I36" i="1"/>
  <c r="H36" i="1"/>
  <c r="G36" i="1"/>
  <c r="F36" i="1"/>
  <c r="E36" i="1"/>
  <c r="L25" i="1"/>
  <c r="L35" i="1" l="1"/>
  <c r="L24" i="1" s="1"/>
  <c r="J223" i="1"/>
  <c r="I223" i="1"/>
  <c r="N209" i="1"/>
  <c r="N208" i="1" s="1"/>
  <c r="M209" i="1"/>
  <c r="M208" i="1" s="1"/>
  <c r="L209" i="1"/>
  <c r="L208" i="1" s="1"/>
  <c r="L207" i="1" s="1"/>
  <c r="L206" i="1" s="1"/>
  <c r="K209" i="1"/>
  <c r="K208" i="1" s="1"/>
  <c r="J209" i="1"/>
  <c r="J208" i="1" s="1"/>
  <c r="I209" i="1"/>
  <c r="I208" i="1" s="1"/>
  <c r="H209" i="1"/>
  <c r="H208" i="1" s="1"/>
  <c r="G209" i="1"/>
  <c r="G208" i="1" s="1"/>
  <c r="F209" i="1"/>
  <c r="F208" i="1" s="1"/>
  <c r="E209" i="1"/>
  <c r="E208" i="1" s="1"/>
  <c r="C209" i="1"/>
  <c r="C208" i="1" s="1"/>
  <c r="N205" i="1"/>
  <c r="N204" i="1" s="1"/>
  <c r="N203" i="1" s="1"/>
  <c r="N202" i="1" s="1"/>
  <c r="N201" i="1" s="1"/>
  <c r="M205" i="1"/>
  <c r="M204" i="1" s="1"/>
  <c r="M203" i="1" s="1"/>
  <c r="M202" i="1" s="1"/>
  <c r="M201" i="1" s="1"/>
  <c r="K205" i="1"/>
  <c r="K204" i="1" s="1"/>
  <c r="K203" i="1" s="1"/>
  <c r="K202" i="1" s="1"/>
  <c r="K201" i="1" s="1"/>
  <c r="L204" i="1"/>
  <c r="L203" i="1" s="1"/>
  <c r="L202" i="1" s="1"/>
  <c r="L201" i="1" s="1"/>
  <c r="J204" i="1"/>
  <c r="J203" i="1" s="1"/>
  <c r="J202" i="1" s="1"/>
  <c r="J201" i="1" s="1"/>
  <c r="I204" i="1"/>
  <c r="I203" i="1" s="1"/>
  <c r="I202" i="1" s="1"/>
  <c r="I201" i="1" s="1"/>
  <c r="H204" i="1"/>
  <c r="H203" i="1" s="1"/>
  <c r="H202" i="1" s="1"/>
  <c r="H201" i="1" s="1"/>
  <c r="G204" i="1"/>
  <c r="G203" i="1" s="1"/>
  <c r="G202" i="1" s="1"/>
  <c r="G201" i="1" s="1"/>
  <c r="F204" i="1"/>
  <c r="F203" i="1" s="1"/>
  <c r="F202" i="1" s="1"/>
  <c r="F201" i="1" s="1"/>
  <c r="E204" i="1"/>
  <c r="E203" i="1" s="1"/>
  <c r="E202" i="1" s="1"/>
  <c r="E201" i="1" s="1"/>
  <c r="C204" i="1"/>
  <c r="C203" i="1" s="1"/>
  <c r="C202" i="1" s="1"/>
  <c r="C201" i="1" s="1"/>
  <c r="J190" i="1"/>
  <c r="I190" i="1"/>
  <c r="H190" i="1"/>
  <c r="L23" i="1" l="1"/>
  <c r="L8" i="1" s="1"/>
  <c r="L912" i="1"/>
  <c r="K419" i="1"/>
  <c r="N419" i="1"/>
  <c r="M419" i="1"/>
  <c r="J349" i="1"/>
  <c r="I349" i="1"/>
  <c r="H349" i="1"/>
  <c r="G349" i="1"/>
  <c r="F349" i="1"/>
  <c r="E349" i="1"/>
  <c r="J341" i="1"/>
  <c r="J340" i="1" s="1"/>
  <c r="I341" i="1"/>
  <c r="I340" i="1" s="1"/>
  <c r="H341" i="1"/>
  <c r="H340" i="1" s="1"/>
  <c r="G341" i="1"/>
  <c r="G340" i="1" s="1"/>
  <c r="F341" i="1"/>
  <c r="F340" i="1" s="1"/>
  <c r="E341" i="1"/>
  <c r="E340" i="1" s="1"/>
  <c r="N354" i="1"/>
  <c r="M354" i="1"/>
  <c r="K354" i="1"/>
  <c r="N347" i="1"/>
  <c r="M347" i="1"/>
  <c r="K347" i="1"/>
  <c r="J811" i="1"/>
  <c r="I811" i="1"/>
  <c r="N802" i="1"/>
  <c r="M802" i="1"/>
  <c r="K802" i="1"/>
  <c r="N801" i="1"/>
  <c r="M801" i="1"/>
  <c r="K801" i="1"/>
  <c r="N798" i="1"/>
  <c r="N797" i="1" s="1"/>
  <c r="M798" i="1"/>
  <c r="K798" i="1"/>
  <c r="K797" i="1" s="1"/>
  <c r="N777" i="1"/>
  <c r="M777" i="1"/>
  <c r="M776" i="1" s="1"/>
  <c r="K777" i="1"/>
  <c r="J763" i="1"/>
  <c r="I763" i="1"/>
  <c r="H763" i="1"/>
  <c r="G763" i="1"/>
  <c r="F763" i="1"/>
  <c r="E763" i="1"/>
  <c r="C763" i="1"/>
  <c r="J770" i="1"/>
  <c r="I770" i="1"/>
  <c r="H770" i="1"/>
  <c r="G770" i="1"/>
  <c r="F770" i="1"/>
  <c r="E770" i="1"/>
  <c r="C770" i="1"/>
  <c r="N771" i="1"/>
  <c r="M771" i="1"/>
  <c r="K771" i="1"/>
  <c r="N769" i="1"/>
  <c r="M769" i="1"/>
  <c r="K769" i="1"/>
  <c r="J745" i="1"/>
  <c r="G745" i="1"/>
  <c r="F745" i="1"/>
  <c r="E745" i="1"/>
  <c r="C745" i="1"/>
  <c r="H747" i="1"/>
  <c r="G747" i="1"/>
  <c r="F747" i="1"/>
  <c r="E747" i="1"/>
  <c r="C747" i="1"/>
  <c r="N747" i="1"/>
  <c r="M747" i="1"/>
  <c r="K747" i="1"/>
  <c r="J747" i="1"/>
  <c r="I747" i="1"/>
  <c r="N746" i="1"/>
  <c r="N745" i="1" s="1"/>
  <c r="M746" i="1"/>
  <c r="K746" i="1"/>
  <c r="N655" i="1"/>
  <c r="M655" i="1"/>
  <c r="K655" i="1"/>
  <c r="N623" i="1"/>
  <c r="M623" i="1"/>
  <c r="K623" i="1"/>
  <c r="N619" i="1"/>
  <c r="M619" i="1"/>
  <c r="K619" i="1"/>
  <c r="J621" i="1"/>
  <c r="I621" i="1"/>
  <c r="H621" i="1"/>
  <c r="G621" i="1"/>
  <c r="F621" i="1"/>
  <c r="E621" i="1"/>
  <c r="C621" i="1"/>
  <c r="J615" i="1"/>
  <c r="I615" i="1"/>
  <c r="H615" i="1"/>
  <c r="G615" i="1"/>
  <c r="F615" i="1"/>
  <c r="E615" i="1"/>
  <c r="N606" i="1"/>
  <c r="M606" i="1"/>
  <c r="K606" i="1"/>
  <c r="J605" i="1"/>
  <c r="I605" i="1"/>
  <c r="H605" i="1"/>
  <c r="G605" i="1"/>
  <c r="F605" i="1"/>
  <c r="E605" i="1"/>
  <c r="C605" i="1"/>
  <c r="J600" i="1"/>
  <c r="I600" i="1"/>
  <c r="H600" i="1"/>
  <c r="G600" i="1"/>
  <c r="F600" i="1"/>
  <c r="E600" i="1"/>
  <c r="C600" i="1"/>
  <c r="J580" i="1"/>
  <c r="I580" i="1"/>
  <c r="H580" i="1"/>
  <c r="G580" i="1"/>
  <c r="F580" i="1"/>
  <c r="E580" i="1"/>
  <c r="H860" i="1"/>
  <c r="N885" i="1"/>
  <c r="M885" i="1"/>
  <c r="K885" i="1"/>
  <c r="M883" i="1"/>
  <c r="K883" i="1"/>
  <c r="K882" i="1" s="1"/>
  <c r="N880" i="1"/>
  <c r="N879" i="1" s="1"/>
  <c r="M880" i="1"/>
  <c r="K880" i="1"/>
  <c r="K879" i="1" s="1"/>
  <c r="M878" i="1"/>
  <c r="M877" i="1" s="1"/>
  <c r="K878" i="1"/>
  <c r="M876" i="1"/>
  <c r="K876" i="1"/>
  <c r="N875" i="1"/>
  <c r="M875" i="1"/>
  <c r="K875" i="1"/>
  <c r="M874" i="1"/>
  <c r="K874" i="1"/>
  <c r="N873" i="1"/>
  <c r="M873" i="1"/>
  <c r="K873" i="1"/>
  <c r="M872" i="1"/>
  <c r="K872" i="1"/>
  <c r="M868" i="1"/>
  <c r="K869" i="1"/>
  <c r="N866" i="1"/>
  <c r="N865" i="1" s="1"/>
  <c r="M865" i="1"/>
  <c r="M864" i="1" s="1"/>
  <c r="K866" i="1"/>
  <c r="K863" i="1"/>
  <c r="K862" i="1"/>
  <c r="K861" i="1"/>
  <c r="N859" i="1"/>
  <c r="M858" i="1"/>
  <c r="K859" i="1"/>
  <c r="N856" i="1"/>
  <c r="K856" i="1"/>
  <c r="N854" i="1"/>
  <c r="K854" i="1"/>
  <c r="K853" i="1"/>
  <c r="N852" i="1"/>
  <c r="K852" i="1"/>
  <c r="N850" i="1"/>
  <c r="K850" i="1"/>
  <c r="N849" i="1"/>
  <c r="K849" i="1"/>
  <c r="N847" i="1"/>
  <c r="K847" i="1"/>
  <c r="N846" i="1"/>
  <c r="K846" i="1"/>
  <c r="K845" i="1"/>
  <c r="N844" i="1"/>
  <c r="K844" i="1"/>
  <c r="N843" i="1"/>
  <c r="K843" i="1"/>
  <c r="K840" i="1"/>
  <c r="N832" i="1"/>
  <c r="M832" i="1"/>
  <c r="M831" i="1" s="1"/>
  <c r="K832" i="1"/>
  <c r="K831" i="1" s="1"/>
  <c r="N830" i="1"/>
  <c r="M830" i="1"/>
  <c r="K830" i="1"/>
  <c r="N829" i="1"/>
  <c r="M829" i="1"/>
  <c r="K829" i="1"/>
  <c r="N828" i="1"/>
  <c r="M828" i="1"/>
  <c r="K828" i="1"/>
  <c r="N827" i="1"/>
  <c r="M827" i="1"/>
  <c r="K827" i="1"/>
  <c r="N825" i="1"/>
  <c r="M825" i="1"/>
  <c r="K825" i="1"/>
  <c r="N824" i="1"/>
  <c r="M824" i="1"/>
  <c r="K824" i="1"/>
  <c r="N823" i="1"/>
  <c r="M823" i="1"/>
  <c r="K823" i="1"/>
  <c r="N821" i="1"/>
  <c r="M821" i="1"/>
  <c r="K821" i="1"/>
  <c r="N820" i="1"/>
  <c r="M820" i="1"/>
  <c r="K820" i="1"/>
  <c r="N817" i="1"/>
  <c r="M817" i="1"/>
  <c r="M816" i="1" s="1"/>
  <c r="K817" i="1"/>
  <c r="N812" i="1"/>
  <c r="M812" i="1"/>
  <c r="K812" i="1"/>
  <c r="K811" i="1" s="1"/>
  <c r="N810" i="1"/>
  <c r="M810" i="1"/>
  <c r="K810" i="1"/>
  <c r="N809" i="1"/>
  <c r="M809" i="1"/>
  <c r="K809" i="1"/>
  <c r="N808" i="1"/>
  <c r="M808" i="1"/>
  <c r="K808" i="1"/>
  <c r="N806" i="1"/>
  <c r="M806" i="1"/>
  <c r="K806" i="1"/>
  <c r="N805" i="1"/>
  <c r="M805" i="1"/>
  <c r="K805" i="1"/>
  <c r="N804" i="1"/>
  <c r="M804" i="1"/>
  <c r="K804" i="1"/>
  <c r="M797" i="1"/>
  <c r="M796" i="1" s="1"/>
  <c r="K819" i="1" l="1"/>
  <c r="M800" i="1"/>
  <c r="K807" i="1"/>
  <c r="K822" i="1"/>
  <c r="K803" i="1"/>
  <c r="K800" i="1"/>
  <c r="M826" i="1"/>
  <c r="M860" i="1"/>
  <c r="N796" i="1"/>
  <c r="N864" i="1"/>
  <c r="K826" i="1"/>
  <c r="N811" i="1"/>
  <c r="N803" i="1"/>
  <c r="K816" i="1"/>
  <c r="K815" i="1" s="1"/>
  <c r="M819" i="1"/>
  <c r="M822" i="1"/>
  <c r="N831" i="1"/>
  <c r="K865" i="1"/>
  <c r="K871" i="1"/>
  <c r="M871" i="1"/>
  <c r="K877" i="1"/>
  <c r="K860" i="1"/>
  <c r="K745" i="1"/>
  <c r="K770" i="1"/>
  <c r="K776" i="1"/>
  <c r="N807" i="1"/>
  <c r="M815" i="1"/>
  <c r="K842" i="1"/>
  <c r="M842" i="1"/>
  <c r="K868" i="1"/>
  <c r="K867" i="1" s="1"/>
  <c r="M745" i="1"/>
  <c r="M770" i="1"/>
  <c r="M803" i="1"/>
  <c r="K858" i="1"/>
  <c r="M807" i="1"/>
  <c r="N822" i="1"/>
  <c r="N826" i="1"/>
  <c r="K796" i="1"/>
  <c r="N816" i="1"/>
  <c r="N819" i="1"/>
  <c r="N858" i="1"/>
  <c r="M867" i="1"/>
  <c r="M879" i="1"/>
  <c r="M882" i="1"/>
  <c r="N770" i="1"/>
  <c r="N776" i="1"/>
  <c r="N800" i="1"/>
  <c r="M811" i="1"/>
  <c r="J883" i="1"/>
  <c r="I883" i="1"/>
  <c r="J878" i="1"/>
  <c r="I878" i="1"/>
  <c r="J876" i="1"/>
  <c r="I876" i="1"/>
  <c r="I874" i="1"/>
  <c r="I872" i="1"/>
  <c r="I869" i="1"/>
  <c r="N869" i="1" s="1"/>
  <c r="J862" i="1"/>
  <c r="I862" i="1"/>
  <c r="J857" i="1"/>
  <c r="I857" i="1"/>
  <c r="N857" i="1" s="1"/>
  <c r="J855" i="1"/>
  <c r="I855" i="1"/>
  <c r="J861" i="1"/>
  <c r="I861" i="1"/>
  <c r="J853" i="1"/>
  <c r="I853" i="1"/>
  <c r="N853" i="1" s="1"/>
  <c r="J851" i="1"/>
  <c r="I851" i="1"/>
  <c r="N851" i="1" s="1"/>
  <c r="J845" i="1"/>
  <c r="I845" i="1"/>
  <c r="I841" i="1"/>
  <c r="N841" i="1" s="1"/>
  <c r="H841" i="1"/>
  <c r="M841" i="1" s="1"/>
  <c r="J840" i="1"/>
  <c r="I840" i="1"/>
  <c r="J837" i="1"/>
  <c r="I837" i="1"/>
  <c r="H837" i="1"/>
  <c r="N818" i="1" l="1"/>
  <c r="K799" i="1"/>
  <c r="K818" i="1"/>
  <c r="K814" i="1" s="1"/>
  <c r="M799" i="1"/>
  <c r="N878" i="1"/>
  <c r="N877" i="1" s="1"/>
  <c r="K857" i="1"/>
  <c r="N840" i="1"/>
  <c r="N845" i="1"/>
  <c r="N855" i="1"/>
  <c r="N862" i="1"/>
  <c r="N874" i="1"/>
  <c r="N799" i="1"/>
  <c r="K864" i="1"/>
  <c r="M818" i="1"/>
  <c r="K855" i="1"/>
  <c r="N815" i="1"/>
  <c r="M870" i="1"/>
  <c r="N872" i="1"/>
  <c r="K837" i="1"/>
  <c r="M837" i="1"/>
  <c r="M836" i="1" s="1"/>
  <c r="N876" i="1"/>
  <c r="N883" i="1"/>
  <c r="N837" i="1"/>
  <c r="K841" i="1"/>
  <c r="M839" i="1"/>
  <c r="N861" i="1"/>
  <c r="K870" i="1"/>
  <c r="K1384" i="23"/>
  <c r="J1384" i="23"/>
  <c r="K1365" i="23"/>
  <c r="J1365" i="23"/>
  <c r="K1363" i="23"/>
  <c r="J1363" i="23"/>
  <c r="K1348" i="23"/>
  <c r="J1348" i="23"/>
  <c r="K1345" i="23"/>
  <c r="J1345" i="23"/>
  <c r="J863" i="1"/>
  <c r="J860" i="1" s="1"/>
  <c r="I863" i="1"/>
  <c r="N814" i="1" l="1"/>
  <c r="N813" i="1" s="1"/>
  <c r="K839" i="1"/>
  <c r="N871" i="1"/>
  <c r="M814" i="1"/>
  <c r="N842" i="1"/>
  <c r="N836" i="1"/>
  <c r="N848" i="1"/>
  <c r="N882" i="1"/>
  <c r="M835" i="1"/>
  <c r="N863" i="1"/>
  <c r="N860" i="1" s="1"/>
  <c r="I860" i="1"/>
  <c r="K813" i="1"/>
  <c r="K851" i="1"/>
  <c r="N868" i="1"/>
  <c r="K836" i="1"/>
  <c r="K835" i="1" s="1"/>
  <c r="N839" i="1"/>
  <c r="J836" i="1"/>
  <c r="J835" i="1" s="1"/>
  <c r="I836" i="1"/>
  <c r="H836" i="1"/>
  <c r="H839" i="1"/>
  <c r="I839" i="1"/>
  <c r="J839" i="1"/>
  <c r="J884" i="1"/>
  <c r="I884" i="1"/>
  <c r="H884" i="1"/>
  <c r="I882" i="1"/>
  <c r="J882" i="1"/>
  <c r="J881" i="1" s="1"/>
  <c r="H882" i="1"/>
  <c r="J879" i="1"/>
  <c r="I879" i="1"/>
  <c r="H879" i="1"/>
  <c r="J877" i="1"/>
  <c r="I877" i="1"/>
  <c r="H877" i="1"/>
  <c r="I871" i="1"/>
  <c r="J871" i="1"/>
  <c r="H871" i="1"/>
  <c r="I868" i="1"/>
  <c r="J868" i="1"/>
  <c r="J867" i="1" s="1"/>
  <c r="H868" i="1"/>
  <c r="J865" i="1"/>
  <c r="J864" i="1" s="1"/>
  <c r="I865" i="1"/>
  <c r="H865" i="1"/>
  <c r="J858" i="1"/>
  <c r="I858" i="1"/>
  <c r="H858" i="1"/>
  <c r="J848" i="1"/>
  <c r="I848" i="1"/>
  <c r="H848" i="1"/>
  <c r="J842" i="1"/>
  <c r="H842" i="1"/>
  <c r="I842" i="1"/>
  <c r="J838" i="1" l="1"/>
  <c r="H838" i="1"/>
  <c r="H864" i="1"/>
  <c r="H835" i="1"/>
  <c r="K848" i="1"/>
  <c r="N870" i="1"/>
  <c r="H867" i="1"/>
  <c r="N835" i="1"/>
  <c r="I864" i="1"/>
  <c r="I867" i="1"/>
  <c r="I835" i="1"/>
  <c r="M848" i="1"/>
  <c r="M813" i="1"/>
  <c r="M795" i="1" s="1"/>
  <c r="N884" i="1"/>
  <c r="M884" i="1"/>
  <c r="K884" i="1"/>
  <c r="K881" i="1" s="1"/>
  <c r="I838" i="1"/>
  <c r="N838" i="1"/>
  <c r="N867" i="1"/>
  <c r="K795" i="1"/>
  <c r="K838" i="1"/>
  <c r="N795" i="1"/>
  <c r="H881" i="1"/>
  <c r="H870" i="1"/>
  <c r="I870" i="1"/>
  <c r="I881" i="1"/>
  <c r="J870" i="1"/>
  <c r="J834" i="1" l="1"/>
  <c r="K834" i="1"/>
  <c r="K833" i="1" s="1"/>
  <c r="H834" i="1"/>
  <c r="K794" i="1"/>
  <c r="M794" i="1"/>
  <c r="I834" i="1"/>
  <c r="I833" i="1" s="1"/>
  <c r="M881" i="1"/>
  <c r="M838" i="1"/>
  <c r="N794" i="1"/>
  <c r="N881" i="1"/>
  <c r="J831" i="1"/>
  <c r="I831" i="1"/>
  <c r="H831" i="1"/>
  <c r="J826" i="1"/>
  <c r="I826" i="1"/>
  <c r="H826" i="1"/>
  <c r="J822" i="1"/>
  <c r="I822" i="1"/>
  <c r="H822" i="1"/>
  <c r="J819" i="1"/>
  <c r="I819" i="1"/>
  <c r="H819" i="1"/>
  <c r="I816" i="1"/>
  <c r="J816" i="1"/>
  <c r="J815" i="1" s="1"/>
  <c r="H816" i="1"/>
  <c r="J1392" i="23"/>
  <c r="K1392" i="23"/>
  <c r="I1392" i="23"/>
  <c r="K1391" i="23"/>
  <c r="K1390" i="23" s="1"/>
  <c r="J1391" i="23"/>
  <c r="J1390" i="23" s="1"/>
  <c r="J1389" i="23" s="1"/>
  <c r="J1387" i="23"/>
  <c r="K1387" i="23"/>
  <c r="I1387" i="23"/>
  <c r="I1379" i="23"/>
  <c r="K1386" i="23"/>
  <c r="K1385" i="23" s="1"/>
  <c r="J1386" i="23"/>
  <c r="J1385" i="23" s="1"/>
  <c r="K1382" i="23"/>
  <c r="J1382" i="23"/>
  <c r="K1380" i="23"/>
  <c r="J1380" i="23"/>
  <c r="K1377" i="23"/>
  <c r="K1376" i="23" s="1"/>
  <c r="K1375" i="23" s="1"/>
  <c r="J1377" i="23"/>
  <c r="J1376" i="23" s="1"/>
  <c r="J1375" i="23" s="1"/>
  <c r="J1373" i="23"/>
  <c r="J1372" i="23" s="1"/>
  <c r="K1373" i="23"/>
  <c r="K1372" i="23" s="1"/>
  <c r="I1373" i="23"/>
  <c r="I1372" i="23" s="1"/>
  <c r="K1369" i="23"/>
  <c r="K1368" i="23" s="1"/>
  <c r="J1369" i="23"/>
  <c r="J1368" i="23" s="1"/>
  <c r="I1368" i="23"/>
  <c r="J1366" i="23"/>
  <c r="K1366" i="23"/>
  <c r="I1366" i="23"/>
  <c r="K1361" i="23"/>
  <c r="J1361" i="23"/>
  <c r="K1359" i="23"/>
  <c r="J1359" i="23"/>
  <c r="K1353" i="23"/>
  <c r="K1350" i="23" s="1"/>
  <c r="J1353" i="23"/>
  <c r="J1350" i="23" s="1"/>
  <c r="I1350" i="23"/>
  <c r="K1349" i="23"/>
  <c r="K1347" i="23" s="1"/>
  <c r="J1349" i="23"/>
  <c r="J1347" i="23" s="1"/>
  <c r="I1349" i="23"/>
  <c r="I1347" i="23" s="1"/>
  <c r="K1344" i="23"/>
  <c r="K1343" i="23" s="1"/>
  <c r="J1344" i="23"/>
  <c r="J1343" i="23" s="1"/>
  <c r="I1345" i="23"/>
  <c r="I1344" i="23" s="1"/>
  <c r="I1343" i="23" s="1"/>
  <c r="I1390" i="23"/>
  <c r="I1376" i="23"/>
  <c r="I1375" i="23" s="1"/>
  <c r="I1385" i="23"/>
  <c r="J1356" i="23" l="1"/>
  <c r="J1346" i="23" s="1"/>
  <c r="I1389" i="23"/>
  <c r="K1389" i="23"/>
  <c r="K1356" i="23"/>
  <c r="K1346" i="23" s="1"/>
  <c r="H815" i="1"/>
  <c r="N834" i="1"/>
  <c r="N833" i="1" s="1"/>
  <c r="I815" i="1"/>
  <c r="M834" i="1"/>
  <c r="J833" i="1"/>
  <c r="H833" i="1"/>
  <c r="J818" i="1"/>
  <c r="J814" i="1" s="1"/>
  <c r="J813" i="1" s="1"/>
  <c r="I818" i="1"/>
  <c r="H818" i="1"/>
  <c r="K1379" i="23"/>
  <c r="K1378" i="23" s="1"/>
  <c r="J1379" i="23"/>
  <c r="J1378" i="23" s="1"/>
  <c r="I1378" i="23"/>
  <c r="I1356" i="23"/>
  <c r="I1346" i="23" s="1"/>
  <c r="O654" i="1"/>
  <c r="I654" i="1"/>
  <c r="J654" i="1"/>
  <c r="H654" i="1"/>
  <c r="I814" i="1" l="1"/>
  <c r="M833" i="1"/>
  <c r="H814" i="1"/>
  <c r="I1342" i="23"/>
  <c r="I1341" i="23" s="1"/>
  <c r="K1342" i="23"/>
  <c r="K1341" i="23" s="1"/>
  <c r="J1342" i="23"/>
  <c r="J1341" i="23" s="1"/>
  <c r="D608" i="23"/>
  <c r="E608" i="23"/>
  <c r="F608" i="23"/>
  <c r="G608" i="23"/>
  <c r="H608" i="23"/>
  <c r="I608" i="23"/>
  <c r="J608" i="23"/>
  <c r="K608" i="23"/>
  <c r="G605" i="23"/>
  <c r="H605" i="23"/>
  <c r="I605" i="23"/>
  <c r="J605" i="23"/>
  <c r="K605" i="23"/>
  <c r="D611" i="23"/>
  <c r="E611" i="23"/>
  <c r="G611" i="23"/>
  <c r="H611" i="23"/>
  <c r="I611" i="23"/>
  <c r="J611" i="23"/>
  <c r="K611" i="23"/>
  <c r="D615" i="23"/>
  <c r="E615" i="23"/>
  <c r="F615" i="23"/>
  <c r="G615" i="23"/>
  <c r="H615" i="23"/>
  <c r="I615" i="23"/>
  <c r="J615" i="23"/>
  <c r="K615" i="23"/>
  <c r="C615" i="23"/>
  <c r="F613" i="23"/>
  <c r="F611" i="23" s="1"/>
  <c r="C611" i="23"/>
  <c r="C608" i="23"/>
  <c r="D605" i="23"/>
  <c r="E605" i="23"/>
  <c r="C605" i="23"/>
  <c r="F602" i="23"/>
  <c r="F601" i="23" s="1"/>
  <c r="K602" i="23"/>
  <c r="K601" i="23" s="1"/>
  <c r="J602" i="23"/>
  <c r="J601" i="23" s="1"/>
  <c r="I602" i="23"/>
  <c r="I601" i="23" s="1"/>
  <c r="H602" i="23"/>
  <c r="H601" i="23" s="1"/>
  <c r="G602" i="23"/>
  <c r="G601" i="23" s="1"/>
  <c r="E602" i="23"/>
  <c r="E601" i="23" s="1"/>
  <c r="D602" i="23"/>
  <c r="D601" i="23" s="1"/>
  <c r="C602" i="23"/>
  <c r="C601" i="23" s="1"/>
  <c r="J1326" i="23"/>
  <c r="K1326" i="23"/>
  <c r="I1326" i="23"/>
  <c r="J1321" i="23"/>
  <c r="K1321" i="23"/>
  <c r="I1321" i="23"/>
  <c r="F1324" i="23"/>
  <c r="F1322" i="23"/>
  <c r="H1321" i="23"/>
  <c r="G1321" i="23"/>
  <c r="E1321" i="23"/>
  <c r="F1321" i="23" s="1"/>
  <c r="F1319" i="23"/>
  <c r="F1318" i="23"/>
  <c r="K1317" i="23"/>
  <c r="J1317" i="23"/>
  <c r="I1317" i="23"/>
  <c r="H1317" i="23"/>
  <c r="G1317" i="23"/>
  <c r="E1317" i="23"/>
  <c r="F1317" i="23" s="1"/>
  <c r="F1316" i="23"/>
  <c r="F1315" i="23"/>
  <c r="K1314" i="23"/>
  <c r="J1314" i="23"/>
  <c r="I1314" i="23"/>
  <c r="H1314" i="23"/>
  <c r="G1314" i="23"/>
  <c r="E1314" i="23"/>
  <c r="F1314" i="23" s="1"/>
  <c r="D1313" i="23"/>
  <c r="C1313" i="23"/>
  <c r="F1312" i="23"/>
  <c r="F1311" i="23" s="1"/>
  <c r="F1310" i="23" s="1"/>
  <c r="K1311" i="23"/>
  <c r="K1310" i="23" s="1"/>
  <c r="J1311" i="23"/>
  <c r="J1310" i="23" s="1"/>
  <c r="I1311" i="23"/>
  <c r="I1310" i="23" s="1"/>
  <c r="H1311" i="23"/>
  <c r="H1310" i="23" s="1"/>
  <c r="G1311" i="23"/>
  <c r="G1310" i="23" s="1"/>
  <c r="E1311" i="23"/>
  <c r="E1310" i="23" s="1"/>
  <c r="D1311" i="23"/>
  <c r="C1311" i="23"/>
  <c r="J182" i="23"/>
  <c r="J1336" i="23"/>
  <c r="J1335" i="23" s="1"/>
  <c r="K1336" i="23"/>
  <c r="K1335" i="23" s="1"/>
  <c r="I1336" i="23"/>
  <c r="I1335" i="23" s="1"/>
  <c r="J1331" i="23"/>
  <c r="J1330" i="23" s="1"/>
  <c r="J1329" i="23" s="1"/>
  <c r="J1328" i="23" s="1"/>
  <c r="K1331" i="23"/>
  <c r="K1330" i="23" s="1"/>
  <c r="K1329" i="23" s="1"/>
  <c r="K1328" i="23" s="1"/>
  <c r="I1331" i="23"/>
  <c r="I1330" i="23" s="1"/>
  <c r="I1329" i="23" s="1"/>
  <c r="I1328" i="23" s="1"/>
  <c r="J1339" i="23"/>
  <c r="J1338" i="23" s="1"/>
  <c r="K1339" i="23"/>
  <c r="K1338" i="23" s="1"/>
  <c r="I1339" i="23"/>
  <c r="I1338" i="23" s="1"/>
  <c r="K1313" i="23" l="1"/>
  <c r="K1309" i="23" s="1"/>
  <c r="K1308" i="23" s="1"/>
  <c r="G1313" i="23"/>
  <c r="G1309" i="23" s="1"/>
  <c r="G1308" i="23" s="1"/>
  <c r="J1313" i="23"/>
  <c r="J1309" i="23" s="1"/>
  <c r="J1308" i="23" s="1"/>
  <c r="H813" i="1"/>
  <c r="I813" i="1"/>
  <c r="D610" i="23"/>
  <c r="F610" i="23"/>
  <c r="I604" i="23"/>
  <c r="C604" i="23"/>
  <c r="J604" i="23"/>
  <c r="D604" i="23"/>
  <c r="H610" i="23"/>
  <c r="K610" i="23"/>
  <c r="G610" i="23"/>
  <c r="I610" i="23"/>
  <c r="C610" i="23"/>
  <c r="J610" i="23"/>
  <c r="E610" i="23"/>
  <c r="H604" i="23"/>
  <c r="E604" i="23"/>
  <c r="K604" i="23"/>
  <c r="G604" i="23"/>
  <c r="I1313" i="23"/>
  <c r="I1309" i="23" s="1"/>
  <c r="I1308" i="23" s="1"/>
  <c r="D1310" i="23"/>
  <c r="D1309" i="23" s="1"/>
  <c r="D1308" i="23" s="1"/>
  <c r="H1313" i="23"/>
  <c r="H1309" i="23" s="1"/>
  <c r="H1308" i="23" s="1"/>
  <c r="C1310" i="23"/>
  <c r="C1309" i="23" s="1"/>
  <c r="E1313" i="23"/>
  <c r="E1309" i="23" s="1"/>
  <c r="E1308" i="23" s="1"/>
  <c r="K1334" i="23"/>
  <c r="K1333" i="23" s="1"/>
  <c r="J1334" i="23"/>
  <c r="J1333" i="23" s="1"/>
  <c r="I1334" i="23"/>
  <c r="I1333" i="23" s="1"/>
  <c r="I745" i="1"/>
  <c r="H745" i="1"/>
  <c r="I767" i="1"/>
  <c r="J767" i="1"/>
  <c r="H767" i="1"/>
  <c r="I776" i="1"/>
  <c r="J776" i="1"/>
  <c r="H776" i="1"/>
  <c r="N766" i="1"/>
  <c r="M766" i="1"/>
  <c r="K766" i="1"/>
  <c r="I807" i="1"/>
  <c r="J807" i="1"/>
  <c r="I803" i="1"/>
  <c r="J803" i="1"/>
  <c r="H811" i="1"/>
  <c r="H807" i="1"/>
  <c r="H803" i="1"/>
  <c r="I800" i="1"/>
  <c r="J800" i="1"/>
  <c r="H800" i="1"/>
  <c r="I797" i="1"/>
  <c r="J797" i="1"/>
  <c r="J796" i="1" s="1"/>
  <c r="H797" i="1"/>
  <c r="F1307" i="23"/>
  <c r="K1306" i="23"/>
  <c r="J1306" i="23"/>
  <c r="I1306" i="23"/>
  <c r="H1306" i="23"/>
  <c r="G1306" i="23"/>
  <c r="E1306" i="23"/>
  <c r="D1306" i="23"/>
  <c r="C1306" i="23"/>
  <c r="F1305" i="23"/>
  <c r="F1303" i="23"/>
  <c r="I1302" i="23"/>
  <c r="H1302" i="23"/>
  <c r="G1302" i="23"/>
  <c r="E1302" i="23"/>
  <c r="F1302" i="23" s="1"/>
  <c r="F1300" i="23"/>
  <c r="F1299" i="23"/>
  <c r="K1298" i="23"/>
  <c r="J1298" i="23"/>
  <c r="I1298" i="23"/>
  <c r="H1298" i="23"/>
  <c r="G1298" i="23"/>
  <c r="E1298" i="23"/>
  <c r="F1298" i="23" s="1"/>
  <c r="F1297" i="23"/>
  <c r="F1296" i="23"/>
  <c r="K1295" i="23"/>
  <c r="K1294" i="23" s="1"/>
  <c r="J1295" i="23"/>
  <c r="I1295" i="23"/>
  <c r="H1295" i="23"/>
  <c r="G1295" i="23"/>
  <c r="E1295" i="23"/>
  <c r="F1295" i="23" s="1"/>
  <c r="D1294" i="23"/>
  <c r="C1294" i="23"/>
  <c r="F1293" i="23"/>
  <c r="F1292" i="23" s="1"/>
  <c r="F1291" i="23" s="1"/>
  <c r="K1292" i="23"/>
  <c r="K1291" i="23" s="1"/>
  <c r="J1292" i="23"/>
  <c r="J1291" i="23" s="1"/>
  <c r="I1292" i="23"/>
  <c r="I1291" i="23" s="1"/>
  <c r="H1292" i="23"/>
  <c r="H1291" i="23" s="1"/>
  <c r="G1292" i="23"/>
  <c r="G1291" i="23" s="1"/>
  <c r="E1292" i="23"/>
  <c r="E1291" i="23" s="1"/>
  <c r="D1292" i="23"/>
  <c r="C1292" i="23"/>
  <c r="H1284" i="23"/>
  <c r="I1284" i="23"/>
  <c r="J1284" i="23"/>
  <c r="J1280" i="23" s="1"/>
  <c r="K1284" i="23"/>
  <c r="K1280" i="23" s="1"/>
  <c r="G1284" i="23"/>
  <c r="C1284" i="23"/>
  <c r="F1284" i="23" s="1"/>
  <c r="F1279" i="23"/>
  <c r="K1278" i="23"/>
  <c r="K1267" i="23" s="1"/>
  <c r="J1278" i="23"/>
  <c r="J1267" i="23" s="1"/>
  <c r="I1278" i="23"/>
  <c r="H1278" i="23"/>
  <c r="G1278" i="23"/>
  <c r="E1278" i="23"/>
  <c r="D1278" i="23"/>
  <c r="D1267" i="23" s="1"/>
  <c r="C1278" i="23"/>
  <c r="C1267" i="23" s="1"/>
  <c r="H1271" i="23"/>
  <c r="I1271" i="23"/>
  <c r="G1271" i="23"/>
  <c r="F1252" i="23"/>
  <c r="D1249" i="23"/>
  <c r="E1249" i="23"/>
  <c r="G1249" i="23"/>
  <c r="H1249" i="23"/>
  <c r="I1249" i="23"/>
  <c r="J1249" i="23"/>
  <c r="K1249" i="23"/>
  <c r="C1249" i="23"/>
  <c r="F1250" i="23"/>
  <c r="F1249" i="23" s="1"/>
  <c r="D478" i="23"/>
  <c r="E478" i="23"/>
  <c r="F478" i="23"/>
  <c r="G478" i="23"/>
  <c r="H478" i="23"/>
  <c r="I478" i="23"/>
  <c r="J478" i="23"/>
  <c r="K478" i="23"/>
  <c r="D184" i="23"/>
  <c r="E184" i="23"/>
  <c r="F184" i="23"/>
  <c r="G184" i="23"/>
  <c r="H184" i="23"/>
  <c r="I184" i="23"/>
  <c r="J184" i="23"/>
  <c r="K184" i="23"/>
  <c r="F75" i="23"/>
  <c r="K75" i="23"/>
  <c r="J75" i="23"/>
  <c r="I75" i="23"/>
  <c r="H75" i="23"/>
  <c r="G75" i="23"/>
  <c r="E75" i="23"/>
  <c r="D75" i="23"/>
  <c r="C75" i="23"/>
  <c r="N790" i="1"/>
  <c r="M790" i="1"/>
  <c r="K790" i="1"/>
  <c r="O789" i="1"/>
  <c r="O788" i="1" s="1"/>
  <c r="J789" i="1"/>
  <c r="J788" i="1" s="1"/>
  <c r="I789" i="1"/>
  <c r="H789" i="1"/>
  <c r="G789" i="1"/>
  <c r="G788" i="1" s="1"/>
  <c r="F789" i="1"/>
  <c r="F788" i="1" s="1"/>
  <c r="E789" i="1"/>
  <c r="E788" i="1" s="1"/>
  <c r="C789" i="1"/>
  <c r="C788" i="1" s="1"/>
  <c r="E792" i="1"/>
  <c r="E791" i="1" s="1"/>
  <c r="F792" i="1"/>
  <c r="F791" i="1" s="1"/>
  <c r="G792" i="1"/>
  <c r="G791" i="1" s="1"/>
  <c r="H792" i="1"/>
  <c r="I792" i="1"/>
  <c r="J792" i="1"/>
  <c r="J791" i="1" s="1"/>
  <c r="O792" i="1"/>
  <c r="O791" i="1" s="1"/>
  <c r="C792" i="1"/>
  <c r="C791" i="1" s="1"/>
  <c r="N793" i="1"/>
  <c r="M793" i="1"/>
  <c r="K793" i="1"/>
  <c r="K785" i="1"/>
  <c r="N785" i="1"/>
  <c r="M785" i="1"/>
  <c r="O784" i="1"/>
  <c r="O783" i="1" s="1"/>
  <c r="O781" i="1" s="1"/>
  <c r="J784" i="1"/>
  <c r="J783" i="1" s="1"/>
  <c r="I784" i="1"/>
  <c r="H784" i="1"/>
  <c r="G784" i="1"/>
  <c r="G783" i="1" s="1"/>
  <c r="G781" i="1" s="1"/>
  <c r="F784" i="1"/>
  <c r="F783" i="1" s="1"/>
  <c r="F781" i="1" s="1"/>
  <c r="E784" i="1"/>
  <c r="E783" i="1" s="1"/>
  <c r="E781" i="1" s="1"/>
  <c r="C784" i="1"/>
  <c r="C783" i="1" s="1"/>
  <c r="C781" i="1" s="1"/>
  <c r="J1294" i="23" l="1"/>
  <c r="J1290" i="23" s="1"/>
  <c r="J1289" i="23" s="1"/>
  <c r="K1290" i="23"/>
  <c r="K1289" i="23" s="1"/>
  <c r="G1294" i="23"/>
  <c r="G1290" i="23" s="1"/>
  <c r="G1289" i="23" s="1"/>
  <c r="I600" i="23"/>
  <c r="K789" i="1"/>
  <c r="I799" i="1"/>
  <c r="K792" i="1"/>
  <c r="K791" i="1" s="1"/>
  <c r="I788" i="1"/>
  <c r="M789" i="1"/>
  <c r="M788" i="1" s="1"/>
  <c r="I796" i="1"/>
  <c r="I795" i="1" s="1"/>
  <c r="J782" i="1"/>
  <c r="J781" i="1" s="1"/>
  <c r="H791" i="1"/>
  <c r="H788" i="1"/>
  <c r="M792" i="1"/>
  <c r="J787" i="1"/>
  <c r="J786" i="1" s="1"/>
  <c r="N789" i="1"/>
  <c r="H799" i="1"/>
  <c r="K784" i="1"/>
  <c r="K783" i="1" s="1"/>
  <c r="M784" i="1"/>
  <c r="M783" i="1" s="1"/>
  <c r="I783" i="1"/>
  <c r="N784" i="1"/>
  <c r="N792" i="1"/>
  <c r="I791" i="1"/>
  <c r="H796" i="1"/>
  <c r="J799" i="1"/>
  <c r="J795" i="1" s="1"/>
  <c r="D600" i="23"/>
  <c r="H1294" i="23"/>
  <c r="H1290" i="23" s="1"/>
  <c r="H1289" i="23" s="1"/>
  <c r="K600" i="23"/>
  <c r="J600" i="23"/>
  <c r="H600" i="23"/>
  <c r="C600" i="23"/>
  <c r="E600" i="23"/>
  <c r="F1306" i="23"/>
  <c r="G600" i="23"/>
  <c r="F1313" i="23"/>
  <c r="F1309" i="23" s="1"/>
  <c r="F1308" i="23" s="1"/>
  <c r="D1291" i="23"/>
  <c r="D1290" i="23" s="1"/>
  <c r="D1289" i="23" s="1"/>
  <c r="I1294" i="23"/>
  <c r="I1290" i="23" s="1"/>
  <c r="I1289" i="23" s="1"/>
  <c r="C786" i="1"/>
  <c r="E786" i="1"/>
  <c r="F786" i="1"/>
  <c r="O786" i="1"/>
  <c r="G786" i="1"/>
  <c r="C1291" i="23"/>
  <c r="E1294" i="23"/>
  <c r="E1290" i="23" s="1"/>
  <c r="E1289" i="23" s="1"/>
  <c r="F1278" i="23"/>
  <c r="H783" i="1"/>
  <c r="K1092" i="23"/>
  <c r="J747" i="23"/>
  <c r="K747" i="23"/>
  <c r="H795" i="1" l="1"/>
  <c r="H787" i="1"/>
  <c r="H786" i="1" s="1"/>
  <c r="C1290" i="23"/>
  <c r="C1289" i="23" s="1"/>
  <c r="I787" i="1"/>
  <c r="I786" i="1" s="1"/>
  <c r="M781" i="1"/>
  <c r="M782" i="1"/>
  <c r="M791" i="1"/>
  <c r="M787" i="1" s="1"/>
  <c r="H794" i="1"/>
  <c r="N791" i="1"/>
  <c r="I782" i="1"/>
  <c r="N788" i="1"/>
  <c r="K781" i="1"/>
  <c r="K782" i="1"/>
  <c r="H782" i="1"/>
  <c r="N783" i="1"/>
  <c r="K788" i="1"/>
  <c r="I794" i="1"/>
  <c r="J794" i="1"/>
  <c r="F1294" i="23"/>
  <c r="F1290" i="23" s="1"/>
  <c r="F1289" i="23" s="1"/>
  <c r="N152" i="1"/>
  <c r="N151" i="1" s="1"/>
  <c r="M152" i="1"/>
  <c r="M151" i="1" s="1"/>
  <c r="K152" i="1"/>
  <c r="K151" i="1" s="1"/>
  <c r="F151" i="1"/>
  <c r="G151" i="1"/>
  <c r="H151" i="1"/>
  <c r="I151" i="1"/>
  <c r="J151" i="1"/>
  <c r="E151" i="1"/>
  <c r="C151" i="1"/>
  <c r="N787" i="1" l="1"/>
  <c r="N786" i="1"/>
  <c r="I781" i="1"/>
  <c r="M786" i="1"/>
  <c r="K787" i="1"/>
  <c r="K786" i="1"/>
  <c r="H781" i="1"/>
  <c r="N781" i="1"/>
  <c r="N782" i="1"/>
  <c r="O621" i="1"/>
  <c r="O605" i="1" l="1"/>
  <c r="N780" i="1" l="1"/>
  <c r="N775" i="1"/>
  <c r="N774" i="1"/>
  <c r="N768" i="1"/>
  <c r="N765" i="1"/>
  <c r="N764" i="1"/>
  <c r="N762" i="1"/>
  <c r="N757" i="1"/>
  <c r="N754" i="1"/>
  <c r="N753" i="1"/>
  <c r="N750" i="1"/>
  <c r="N741" i="1"/>
  <c r="N736" i="1"/>
  <c r="N731" i="1"/>
  <c r="N729" i="1"/>
  <c r="N728" i="1"/>
  <c r="N726" i="1"/>
  <c r="N725" i="1"/>
  <c r="N724" i="1"/>
  <c r="N723" i="1"/>
  <c r="N715" i="1"/>
  <c r="N717" i="1"/>
  <c r="N716" i="1"/>
  <c r="N714" i="1"/>
  <c r="N712" i="1"/>
  <c r="N710" i="1"/>
  <c r="N709" i="1"/>
  <c r="N704" i="1"/>
  <c r="N701" i="1"/>
  <c r="N700" i="1"/>
  <c r="N699" i="1"/>
  <c r="N698" i="1"/>
  <c r="N697" i="1"/>
  <c r="N695" i="1"/>
  <c r="N692" i="1"/>
  <c r="N689" i="1"/>
  <c r="N688" i="1"/>
  <c r="N687" i="1"/>
  <c r="N686" i="1"/>
  <c r="N685" i="1"/>
  <c r="N684" i="1"/>
  <c r="N683" i="1"/>
  <c r="N681" i="1"/>
  <c r="N679" i="1"/>
  <c r="N678" i="1"/>
  <c r="N673" i="1"/>
  <c r="N670" i="1"/>
  <c r="N668" i="1"/>
  <c r="N667" i="1"/>
  <c r="N664" i="1"/>
  <c r="N662" i="1"/>
  <c r="N661" i="1"/>
  <c r="N660" i="1"/>
  <c r="N659" i="1"/>
  <c r="N657" i="1"/>
  <c r="N656" i="1"/>
  <c r="N650" i="1"/>
  <c r="N649" i="1" s="1"/>
  <c r="N647" i="1"/>
  <c r="N646" i="1"/>
  <c r="N643" i="1"/>
  <c r="N641" i="1"/>
  <c r="N639" i="1"/>
  <c r="N638" i="1"/>
  <c r="N633" i="1"/>
  <c r="N628" i="1"/>
  <c r="N627" i="1" s="1"/>
  <c r="N625" i="1"/>
  <c r="N622" i="1"/>
  <c r="N620" i="1"/>
  <c r="N618" i="1"/>
  <c r="N617" i="1"/>
  <c r="N616" i="1"/>
  <c r="N613" i="1"/>
  <c r="N610" i="1"/>
  <c r="N608" i="1"/>
  <c r="N607" i="1"/>
  <c r="N604" i="1"/>
  <c r="N602" i="1"/>
  <c r="N601" i="1"/>
  <c r="N596" i="1"/>
  <c r="N594" i="1"/>
  <c r="N585" i="1"/>
  <c r="N584" i="1"/>
  <c r="N583" i="1"/>
  <c r="N582" i="1"/>
  <c r="N576" i="1"/>
  <c r="N571" i="1"/>
  <c r="N569" i="1"/>
  <c r="N568" i="1"/>
  <c r="N567" i="1"/>
  <c r="N562" i="1"/>
  <c r="N561" i="1"/>
  <c r="N560" i="1"/>
  <c r="N558" i="1"/>
  <c r="N557" i="1"/>
  <c r="N556" i="1"/>
  <c r="N555" i="1"/>
  <c r="N550" i="1"/>
  <c r="N549" i="1"/>
  <c r="N547" i="1"/>
  <c r="N545" i="1"/>
  <c r="N544" i="1"/>
  <c r="N543" i="1"/>
  <c r="N542" i="1"/>
  <c r="N541" i="1"/>
  <c r="N539" i="1"/>
  <c r="N538" i="1"/>
  <c r="N537" i="1"/>
  <c r="N534" i="1"/>
  <c r="N533" i="1"/>
  <c r="N527" i="1"/>
  <c r="N522" i="1"/>
  <c r="N519" i="1"/>
  <c r="N517" i="1"/>
  <c r="N516" i="1"/>
  <c r="N515" i="1"/>
  <c r="N514" i="1"/>
  <c r="N513" i="1"/>
  <c r="N512" i="1"/>
  <c r="N510" i="1"/>
  <c r="N506" i="1"/>
  <c r="N503" i="1"/>
  <c r="N502" i="1"/>
  <c r="N501" i="1"/>
  <c r="N500" i="1"/>
  <c r="N499" i="1"/>
  <c r="N498" i="1"/>
  <c r="N497" i="1"/>
  <c r="N496" i="1"/>
  <c r="N494" i="1"/>
  <c r="N493" i="1"/>
  <c r="N492" i="1"/>
  <c r="N491" i="1"/>
  <c r="N490" i="1"/>
  <c r="N487" i="1"/>
  <c r="N486" i="1"/>
  <c r="N481" i="1"/>
  <c r="N476" i="1"/>
  <c r="N474" i="1"/>
  <c r="N473" i="1"/>
  <c r="N472" i="1"/>
  <c r="N471" i="1"/>
  <c r="N468" i="1"/>
  <c r="N467" i="1"/>
  <c r="N466" i="1"/>
  <c r="N465" i="1"/>
  <c r="N459" i="1"/>
  <c r="N451" i="1"/>
  <c r="N446" i="1"/>
  <c r="N445" i="1"/>
  <c r="N444" i="1"/>
  <c r="N441" i="1"/>
  <c r="N438" i="1"/>
  <c r="N436" i="1"/>
  <c r="N435" i="1"/>
  <c r="N434" i="1"/>
  <c r="N433" i="1"/>
  <c r="N432" i="1"/>
  <c r="N431" i="1"/>
  <c r="N425" i="1"/>
  <c r="N424" i="1"/>
  <c r="N417" i="1"/>
  <c r="N415" i="1"/>
  <c r="N414" i="1"/>
  <c r="N413" i="1"/>
  <c r="N403" i="1"/>
  <c r="N402" i="1"/>
  <c r="N394" i="1"/>
  <c r="N389" i="1"/>
  <c r="N388" i="1"/>
  <c r="N387" i="1"/>
  <c r="N381" i="1"/>
  <c r="N379" i="1"/>
  <c r="N378" i="1"/>
  <c r="N377" i="1"/>
  <c r="N375" i="1"/>
  <c r="N372" i="1"/>
  <c r="N371" i="1"/>
  <c r="N369" i="1"/>
  <c r="N357" i="1"/>
  <c r="N355" i="1"/>
  <c r="N353" i="1"/>
  <c r="N352" i="1"/>
  <c r="N351" i="1"/>
  <c r="N350" i="1"/>
  <c r="N345" i="1"/>
  <c r="N342" i="1"/>
  <c r="N324" i="1"/>
  <c r="N323" i="1" s="1"/>
  <c r="N322" i="1"/>
  <c r="N321" i="1"/>
  <c r="N318" i="1"/>
  <c r="N317" i="1" s="1"/>
  <c r="N316" i="1" s="1"/>
  <c r="N315" i="1"/>
  <c r="N314" i="1"/>
  <c r="N313" i="1"/>
  <c r="N311" i="1"/>
  <c r="N310" i="1"/>
  <c r="N266" i="1"/>
  <c r="N265" i="1" s="1"/>
  <c r="N264" i="1" s="1"/>
  <c r="N263" i="1"/>
  <c r="N262" i="1"/>
  <c r="N253" i="1"/>
  <c r="N252" i="1" s="1"/>
  <c r="N251" i="1"/>
  <c r="N250" i="1" s="1"/>
  <c r="N249" i="1"/>
  <c r="N248" i="1"/>
  <c r="N247" i="1"/>
  <c r="N246" i="1"/>
  <c r="N245" i="1"/>
  <c r="N240" i="1"/>
  <c r="N237" i="1"/>
  <c r="N236" i="1" s="1"/>
  <c r="N234" i="1"/>
  <c r="N233" i="1" s="1"/>
  <c r="N232" i="1"/>
  <c r="N231" i="1"/>
  <c r="N230" i="1"/>
  <c r="N229" i="1"/>
  <c r="N213" i="1"/>
  <c r="N212" i="1" s="1"/>
  <c r="N200" i="1"/>
  <c r="N199" i="1" s="1"/>
  <c r="N198" i="1" s="1"/>
  <c r="N197" i="1"/>
  <c r="N196" i="1"/>
  <c r="N195" i="1"/>
  <c r="N193" i="1"/>
  <c r="N192" i="1" s="1"/>
  <c r="N190" i="1"/>
  <c r="N189" i="1" s="1"/>
  <c r="N188" i="1" s="1"/>
  <c r="N179" i="1"/>
  <c r="N178" i="1"/>
  <c r="N177" i="1"/>
  <c r="N176" i="1"/>
  <c r="N175" i="1"/>
  <c r="N174" i="1"/>
  <c r="N173" i="1"/>
  <c r="N171" i="1"/>
  <c r="N170" i="1" s="1"/>
  <c r="N169" i="1"/>
  <c r="N168" i="1"/>
  <c r="N167" i="1"/>
  <c r="N166" i="1"/>
  <c r="N165" i="1"/>
  <c r="N164" i="1"/>
  <c r="N163" i="1"/>
  <c r="N162" i="1"/>
  <c r="N159" i="1"/>
  <c r="N158" i="1"/>
  <c r="N157" i="1"/>
  <c r="N156" i="1"/>
  <c r="N155" i="1"/>
  <c r="N154" i="1"/>
  <c r="N145" i="1"/>
  <c r="N144" i="1" s="1"/>
  <c r="N143" i="1"/>
  <c r="N142" i="1"/>
  <c r="N140" i="1"/>
  <c r="N139" i="1" s="1"/>
  <c r="N133" i="1"/>
  <c r="N132" i="1" s="1"/>
  <c r="N131" i="1"/>
  <c r="N130" i="1"/>
  <c r="N129" i="1"/>
  <c r="N128" i="1"/>
  <c r="N127" i="1"/>
  <c r="N126" i="1"/>
  <c r="N124" i="1"/>
  <c r="N123" i="1"/>
  <c r="N122" i="1"/>
  <c r="N121" i="1"/>
  <c r="N120" i="1"/>
  <c r="N118" i="1"/>
  <c r="N117" i="1"/>
  <c r="N113" i="1"/>
  <c r="N112" i="1"/>
  <c r="N110" i="1"/>
  <c r="N109" i="1"/>
  <c r="N102" i="1"/>
  <c r="N100" i="1" s="1"/>
  <c r="N99" i="1" s="1"/>
  <c r="N98" i="1"/>
  <c r="N97" i="1" s="1"/>
  <c r="N96" i="1"/>
  <c r="N95" i="1" s="1"/>
  <c r="N94" i="1"/>
  <c r="N93" i="1"/>
  <c r="N92" i="1"/>
  <c r="N91" i="1"/>
  <c r="N90" i="1"/>
  <c r="N88" i="1"/>
  <c r="N87" i="1" s="1"/>
  <c r="N83" i="1"/>
  <c r="N80" i="1" s="1"/>
  <c r="N79" i="1"/>
  <c r="N78" i="1" s="1"/>
  <c r="N75" i="1"/>
  <c r="N74" i="1" s="1"/>
  <c r="N73" i="1" s="1"/>
  <c r="N72" i="1"/>
  <c r="N71" i="1"/>
  <c r="N70" i="1"/>
  <c r="N69" i="1"/>
  <c r="N66" i="1"/>
  <c r="N65" i="1"/>
  <c r="N64" i="1"/>
  <c r="N63" i="1"/>
  <c r="N62" i="1"/>
  <c r="N61" i="1"/>
  <c r="N60" i="1"/>
  <c r="N58" i="1"/>
  <c r="N57" i="1" s="1"/>
  <c r="N56" i="1"/>
  <c r="N55" i="1"/>
  <c r="N54" i="1"/>
  <c r="N53" i="1"/>
  <c r="N52" i="1"/>
  <c r="N51" i="1"/>
  <c r="N50" i="1"/>
  <c r="N49" i="1"/>
  <c r="N47" i="1"/>
  <c r="N46" i="1"/>
  <c r="N45" i="1"/>
  <c r="N44" i="1"/>
  <c r="N43" i="1"/>
  <c r="N42" i="1"/>
  <c r="N40" i="1"/>
  <c r="N39" i="1"/>
  <c r="N38" i="1"/>
  <c r="N37" i="1"/>
  <c r="N28" i="1"/>
  <c r="N20" i="1"/>
  <c r="N19" i="1" s="1"/>
  <c r="N15" i="1"/>
  <c r="N14" i="1" s="1"/>
  <c r="N13" i="1"/>
  <c r="N12" i="1" s="1"/>
  <c r="N779" i="1"/>
  <c r="N749" i="1"/>
  <c r="N735" i="1"/>
  <c r="N672" i="1"/>
  <c r="N586" i="1"/>
  <c r="N575" i="1"/>
  <c r="N551" i="1"/>
  <c r="N528" i="1"/>
  <c r="N478" i="1"/>
  <c r="N460" i="1"/>
  <c r="N457" i="1"/>
  <c r="N452" i="1"/>
  <c r="N448" i="1"/>
  <c r="N426" i="1"/>
  <c r="N418" i="1"/>
  <c r="N404" i="1"/>
  <c r="N396" i="1"/>
  <c r="N382" i="1"/>
  <c r="N363" i="1"/>
  <c r="N358" i="1"/>
  <c r="N346" i="1"/>
  <c r="N344" i="1"/>
  <c r="N334" i="1"/>
  <c r="N332" i="1"/>
  <c r="N330" i="1"/>
  <c r="N327" i="1"/>
  <c r="N304" i="1"/>
  <c r="N302" i="1"/>
  <c r="N300" i="1"/>
  <c r="N297" i="1"/>
  <c r="N291" i="1"/>
  <c r="N288" i="1"/>
  <c r="N285" i="1"/>
  <c r="N280" i="1"/>
  <c r="N278" i="1"/>
  <c r="N275" i="1"/>
  <c r="N272" i="1"/>
  <c r="N267" i="1"/>
  <c r="N256" i="1"/>
  <c r="N241" i="1"/>
  <c r="N239" i="1"/>
  <c r="N238" i="1" s="1"/>
  <c r="N219" i="1"/>
  <c r="N185" i="1"/>
  <c r="N180" i="1"/>
  <c r="N146" i="1"/>
  <c r="N136" i="1"/>
  <c r="N103" i="1"/>
  <c r="N21" i="1"/>
  <c r="N535" i="1" l="1"/>
  <c r="N48" i="1"/>
  <c r="N59" i="1"/>
  <c r="N36" i="1"/>
  <c r="N41" i="1"/>
  <c r="N437" i="1"/>
  <c r="N505" i="1"/>
  <c r="N518" i="1"/>
  <c r="N593" i="1"/>
  <c r="N612" i="1"/>
  <c r="N767" i="1"/>
  <c r="N626" i="1"/>
  <c r="N744" i="1"/>
  <c r="N356" i="1"/>
  <c r="N380" i="1"/>
  <c r="N393" i="1"/>
  <c r="N440" i="1"/>
  <c r="N450" i="1"/>
  <c r="N508" i="1"/>
  <c r="N521" i="1"/>
  <c r="N546" i="1"/>
  <c r="N595" i="1"/>
  <c r="N605" i="1"/>
  <c r="N615" i="1"/>
  <c r="N621" i="1"/>
  <c r="N669" i="1"/>
  <c r="N680" i="1"/>
  <c r="N691" i="1"/>
  <c r="N690" i="1" s="1"/>
  <c r="N761" i="1"/>
  <c r="N734" i="1"/>
  <c r="N733" i="1" s="1"/>
  <c r="N580" i="1"/>
  <c r="N579" i="1" s="1"/>
  <c r="N740" i="1"/>
  <c r="N362" i="1"/>
  <c r="N648" i="1"/>
  <c r="N778" i="1"/>
  <c r="N341" i="1"/>
  <c r="N368" i="1"/>
  <c r="N526" i="1"/>
  <c r="N570" i="1"/>
  <c r="N600" i="1"/>
  <c r="N624" i="1"/>
  <c r="N663" i="1"/>
  <c r="N694" i="1"/>
  <c r="N730" i="1"/>
  <c r="N763" i="1"/>
  <c r="N349" i="1"/>
  <c r="N343" i="1" s="1"/>
  <c r="N480" i="1"/>
  <c r="N603" i="1"/>
  <c r="N632" i="1"/>
  <c r="N642" i="1"/>
  <c r="N703" i="1"/>
  <c r="N702" i="1" s="1"/>
  <c r="N756" i="1"/>
  <c r="N574" i="1"/>
  <c r="N671" i="1"/>
  <c r="N416" i="1"/>
  <c r="N475" i="1"/>
  <c r="N609" i="1"/>
  <c r="N640" i="1"/>
  <c r="N711" i="1"/>
  <c r="N654" i="1"/>
  <c r="N752" i="1"/>
  <c r="N284" i="1"/>
  <c r="N283" i="1" s="1"/>
  <c r="N261" i="1"/>
  <c r="N260" i="1" s="1"/>
  <c r="N255" i="1" s="1"/>
  <c r="N254" i="1" s="1"/>
  <c r="N401" i="1"/>
  <c r="N548" i="1"/>
  <c r="N773" i="1"/>
  <c r="N637" i="1"/>
  <c r="N645" i="1"/>
  <c r="N708" i="1"/>
  <c r="N141" i="1"/>
  <c r="N138" i="1" s="1"/>
  <c r="N135" i="1" s="1"/>
  <c r="N134" i="1" s="1"/>
  <c r="N194" i="1"/>
  <c r="N191" i="1" s="1"/>
  <c r="N312" i="1"/>
  <c r="N320" i="1"/>
  <c r="N319" i="1" s="1"/>
  <c r="N370" i="1"/>
  <c r="N423" i="1"/>
  <c r="N532" i="1"/>
  <c r="N554" i="1"/>
  <c r="N566" i="1"/>
  <c r="N666" i="1"/>
  <c r="N677" i="1"/>
  <c r="N727" i="1"/>
  <c r="N658" i="1"/>
  <c r="N119" i="1"/>
  <c r="N682" i="1"/>
  <c r="N108" i="1"/>
  <c r="N116" i="1"/>
  <c r="N271" i="1"/>
  <c r="N270" i="1" s="1"/>
  <c r="N125" i="1"/>
  <c r="N160" i="1"/>
  <c r="N172" i="1"/>
  <c r="N227" i="1"/>
  <c r="N226" i="1" s="1"/>
  <c r="N244" i="1"/>
  <c r="N243" i="1" s="1"/>
  <c r="N376" i="1"/>
  <c r="N430" i="1"/>
  <c r="N489" i="1"/>
  <c r="N495" i="1"/>
  <c r="N511" i="1"/>
  <c r="N559" i="1"/>
  <c r="N696" i="1"/>
  <c r="N713" i="1"/>
  <c r="N722" i="1"/>
  <c r="N18" i="1"/>
  <c r="N17" i="1" s="1"/>
  <c r="N16" i="1" s="1"/>
  <c r="N326" i="1"/>
  <c r="N325" i="1" s="1"/>
  <c r="N111" i="1"/>
  <c r="N309" i="1"/>
  <c r="N485" i="1"/>
  <c r="N11" i="1"/>
  <c r="N10" i="1" s="1"/>
  <c r="N385" i="1"/>
  <c r="N410" i="1"/>
  <c r="N464" i="1"/>
  <c r="N540" i="1"/>
  <c r="N68" i="1"/>
  <c r="N67" i="1" s="1"/>
  <c r="N89" i="1"/>
  <c r="N86" i="1" s="1"/>
  <c r="N85" i="1" s="1"/>
  <c r="N84" i="1" s="1"/>
  <c r="N153" i="1"/>
  <c r="N443" i="1"/>
  <c r="N470" i="1"/>
  <c r="N77" i="1"/>
  <c r="N35" i="1" l="1"/>
  <c r="N9" i="1"/>
  <c r="N565" i="1"/>
  <c r="N772" i="1"/>
  <c r="N439" i="1"/>
  <c r="N442" i="1"/>
  <c r="N578" i="1"/>
  <c r="N693" i="1"/>
  <c r="N751" i="1"/>
  <c r="N573" i="1"/>
  <c r="N755" i="1"/>
  <c r="N739" i="1"/>
  <c r="N732" i="1"/>
  <c r="N614" i="1"/>
  <c r="N599" i="1"/>
  <c r="N611" i="1"/>
  <c r="N456" i="1"/>
  <c r="N592" i="1"/>
  <c r="N676" i="1"/>
  <c r="N531" i="1"/>
  <c r="N644" i="1"/>
  <c r="N400" i="1"/>
  <c r="N653" i="1"/>
  <c r="N525" i="1"/>
  <c r="N340" i="1"/>
  <c r="N339" i="1" s="1"/>
  <c r="N760" i="1"/>
  <c r="N520" i="1"/>
  <c r="N392" i="1"/>
  <c r="N469" i="1"/>
  <c r="N507" i="1"/>
  <c r="N384" i="1"/>
  <c r="N665" i="1"/>
  <c r="N636" i="1"/>
  <c r="N635" i="1" s="1"/>
  <c r="N631" i="1"/>
  <c r="N361" i="1"/>
  <c r="N504" i="1"/>
  <c r="N721" i="1"/>
  <c r="N422" i="1"/>
  <c r="N707" i="1"/>
  <c r="N308" i="1"/>
  <c r="N307" i="1" s="1"/>
  <c r="N306" i="1" s="1"/>
  <c r="N553" i="1"/>
  <c r="N115" i="1"/>
  <c r="N484" i="1"/>
  <c r="N107" i="1"/>
  <c r="N366" i="1"/>
  <c r="N150" i="1"/>
  <c r="N149" i="1" s="1"/>
  <c r="N148" i="1" s="1"/>
  <c r="N367" i="1"/>
  <c r="N225" i="1"/>
  <c r="N224" i="1" s="1"/>
  <c r="M780" i="1"/>
  <c r="K780" i="1"/>
  <c r="O779" i="1"/>
  <c r="O778" i="1" s="1"/>
  <c r="J779" i="1"/>
  <c r="J778" i="1" s="1"/>
  <c r="H779" i="1"/>
  <c r="G779" i="1"/>
  <c r="G778" i="1" s="1"/>
  <c r="F779" i="1"/>
  <c r="F778" i="1" s="1"/>
  <c r="M775" i="1"/>
  <c r="K775" i="1"/>
  <c r="M774" i="1"/>
  <c r="K774" i="1"/>
  <c r="O773" i="1"/>
  <c r="O772" i="1" s="1"/>
  <c r="J773" i="1"/>
  <c r="J772" i="1" s="1"/>
  <c r="I773" i="1"/>
  <c r="H773" i="1"/>
  <c r="G773" i="1"/>
  <c r="G772" i="1" s="1"/>
  <c r="F773" i="1"/>
  <c r="F772" i="1" s="1"/>
  <c r="M768" i="1"/>
  <c r="K768" i="1"/>
  <c r="M765" i="1"/>
  <c r="K765" i="1"/>
  <c r="M764" i="1"/>
  <c r="K764" i="1"/>
  <c r="M762" i="1"/>
  <c r="K762" i="1"/>
  <c r="M757" i="1"/>
  <c r="K757" i="1"/>
  <c r="K756" i="1" s="1"/>
  <c r="K755" i="1" s="1"/>
  <c r="M754" i="1"/>
  <c r="K754" i="1"/>
  <c r="M753" i="1"/>
  <c r="K753" i="1"/>
  <c r="M750" i="1"/>
  <c r="K750" i="1"/>
  <c r="M741" i="1"/>
  <c r="K741" i="1"/>
  <c r="K740" i="1" s="1"/>
  <c r="K739" i="1" s="1"/>
  <c r="M736" i="1"/>
  <c r="K736" i="1"/>
  <c r="M731" i="1"/>
  <c r="K731" i="1"/>
  <c r="K730" i="1" s="1"/>
  <c r="M729" i="1"/>
  <c r="K729" i="1"/>
  <c r="M728" i="1"/>
  <c r="K728" i="1"/>
  <c r="M726" i="1"/>
  <c r="K726" i="1"/>
  <c r="M725" i="1"/>
  <c r="K725" i="1"/>
  <c r="M724" i="1"/>
  <c r="K724" i="1"/>
  <c r="M723" i="1"/>
  <c r="K723" i="1"/>
  <c r="M717" i="1"/>
  <c r="K717" i="1"/>
  <c r="M716" i="1"/>
  <c r="K716" i="1"/>
  <c r="M715" i="1"/>
  <c r="K715" i="1"/>
  <c r="M714" i="1"/>
  <c r="K714" i="1"/>
  <c r="M712" i="1"/>
  <c r="K712" i="1"/>
  <c r="M710" i="1"/>
  <c r="K710" i="1"/>
  <c r="M709" i="1"/>
  <c r="K709" i="1"/>
  <c r="M704" i="1"/>
  <c r="K704" i="1"/>
  <c r="K703" i="1" s="1"/>
  <c r="M701" i="1"/>
  <c r="K701" i="1"/>
  <c r="M700" i="1"/>
  <c r="K700" i="1"/>
  <c r="M699" i="1"/>
  <c r="K699" i="1"/>
  <c r="M698" i="1"/>
  <c r="K698" i="1"/>
  <c r="M697" i="1"/>
  <c r="K697" i="1"/>
  <c r="M695" i="1"/>
  <c r="K695" i="1"/>
  <c r="M692" i="1"/>
  <c r="K692" i="1"/>
  <c r="K691" i="1" s="1"/>
  <c r="M689" i="1"/>
  <c r="K689" i="1"/>
  <c r="M688" i="1"/>
  <c r="K688" i="1"/>
  <c r="M687" i="1"/>
  <c r="K687" i="1"/>
  <c r="M686" i="1"/>
  <c r="K686" i="1"/>
  <c r="M685" i="1"/>
  <c r="K685" i="1"/>
  <c r="M684" i="1"/>
  <c r="K684" i="1"/>
  <c r="M683" i="1"/>
  <c r="K683" i="1"/>
  <c r="M681" i="1"/>
  <c r="M680" i="1" s="1"/>
  <c r="K681" i="1"/>
  <c r="M679" i="1"/>
  <c r="K679" i="1"/>
  <c r="M678" i="1"/>
  <c r="K678" i="1"/>
  <c r="M673" i="1"/>
  <c r="K673" i="1"/>
  <c r="K672" i="1" s="1"/>
  <c r="M670" i="1"/>
  <c r="K670" i="1"/>
  <c r="M668" i="1"/>
  <c r="K668" i="1"/>
  <c r="M667" i="1"/>
  <c r="K667" i="1"/>
  <c r="M664" i="1"/>
  <c r="K664" i="1"/>
  <c r="K663" i="1" s="1"/>
  <c r="M662" i="1"/>
  <c r="K662" i="1"/>
  <c r="M661" i="1"/>
  <c r="M660" i="1"/>
  <c r="K660" i="1"/>
  <c r="M659" i="1"/>
  <c r="K659" i="1"/>
  <c r="M657" i="1"/>
  <c r="K657" i="1"/>
  <c r="M656" i="1"/>
  <c r="K656" i="1"/>
  <c r="M650" i="1"/>
  <c r="M649" i="1" s="1"/>
  <c r="K650" i="1"/>
  <c r="M647" i="1"/>
  <c r="K647" i="1"/>
  <c r="M646" i="1"/>
  <c r="K646" i="1"/>
  <c r="M643" i="1"/>
  <c r="K643" i="1"/>
  <c r="M641" i="1"/>
  <c r="K641" i="1"/>
  <c r="M639" i="1"/>
  <c r="K639" i="1"/>
  <c r="M638" i="1"/>
  <c r="K638" i="1"/>
  <c r="M633" i="1"/>
  <c r="K633" i="1"/>
  <c r="M628" i="1"/>
  <c r="K628" i="1"/>
  <c r="K627" i="1" s="1"/>
  <c r="M625" i="1"/>
  <c r="K625" i="1"/>
  <c r="M622" i="1"/>
  <c r="K622" i="1"/>
  <c r="M620" i="1"/>
  <c r="K620" i="1"/>
  <c r="M618" i="1"/>
  <c r="K618" i="1"/>
  <c r="M617" i="1"/>
  <c r="K617" i="1"/>
  <c r="M616" i="1"/>
  <c r="K616" i="1"/>
  <c r="M613" i="1"/>
  <c r="K613" i="1"/>
  <c r="M610" i="1"/>
  <c r="M609" i="1" s="1"/>
  <c r="K610" i="1"/>
  <c r="M608" i="1"/>
  <c r="K608" i="1"/>
  <c r="M607" i="1"/>
  <c r="K607" i="1"/>
  <c r="M604" i="1"/>
  <c r="K604" i="1"/>
  <c r="M602" i="1"/>
  <c r="K602" i="1"/>
  <c r="M601" i="1"/>
  <c r="K601" i="1"/>
  <c r="M596" i="1"/>
  <c r="M595" i="1" s="1"/>
  <c r="K596" i="1"/>
  <c r="M594" i="1"/>
  <c r="K594" i="1"/>
  <c r="M585" i="1"/>
  <c r="K585" i="1"/>
  <c r="M584" i="1"/>
  <c r="K584" i="1"/>
  <c r="M583" i="1"/>
  <c r="K583" i="1"/>
  <c r="M582" i="1"/>
  <c r="K582" i="1"/>
  <c r="M576" i="1"/>
  <c r="M575" i="1" s="1"/>
  <c r="K576" i="1"/>
  <c r="M571" i="1"/>
  <c r="K571" i="1"/>
  <c r="M569" i="1"/>
  <c r="K569" i="1"/>
  <c r="M568" i="1"/>
  <c r="K568" i="1"/>
  <c r="M567" i="1"/>
  <c r="K567" i="1"/>
  <c r="M562" i="1"/>
  <c r="K562" i="1"/>
  <c r="M561" i="1"/>
  <c r="K561" i="1"/>
  <c r="M560" i="1"/>
  <c r="K560" i="1"/>
  <c r="M558" i="1"/>
  <c r="K558" i="1"/>
  <c r="M557" i="1"/>
  <c r="K557" i="1"/>
  <c r="M556" i="1"/>
  <c r="K556" i="1"/>
  <c r="M555" i="1"/>
  <c r="K555" i="1"/>
  <c r="M550" i="1"/>
  <c r="K550" i="1"/>
  <c r="M549" i="1"/>
  <c r="K549" i="1"/>
  <c r="M547" i="1"/>
  <c r="M546" i="1" s="1"/>
  <c r="K547" i="1"/>
  <c r="M545" i="1"/>
  <c r="K545" i="1"/>
  <c r="M544" i="1"/>
  <c r="K544" i="1"/>
  <c r="M543" i="1"/>
  <c r="K543" i="1"/>
  <c r="M542" i="1"/>
  <c r="K542" i="1"/>
  <c r="M541" i="1"/>
  <c r="K541" i="1"/>
  <c r="M539" i="1"/>
  <c r="K539" i="1"/>
  <c r="M538" i="1"/>
  <c r="K538" i="1"/>
  <c r="M537" i="1"/>
  <c r="K537" i="1"/>
  <c r="M534" i="1"/>
  <c r="K534" i="1"/>
  <c r="M533" i="1"/>
  <c r="K533" i="1"/>
  <c r="M527" i="1"/>
  <c r="K527" i="1"/>
  <c r="M522" i="1"/>
  <c r="M521" i="1" s="1"/>
  <c r="K522" i="1"/>
  <c r="M519" i="1"/>
  <c r="K519" i="1"/>
  <c r="M517" i="1"/>
  <c r="K517" i="1"/>
  <c r="M516" i="1"/>
  <c r="K516" i="1"/>
  <c r="M515" i="1"/>
  <c r="K515" i="1"/>
  <c r="M514" i="1"/>
  <c r="K514" i="1"/>
  <c r="M513" i="1"/>
  <c r="K513" i="1"/>
  <c r="M512" i="1"/>
  <c r="K512" i="1"/>
  <c r="M510" i="1"/>
  <c r="K510" i="1"/>
  <c r="M506" i="1"/>
  <c r="K506" i="1"/>
  <c r="M503" i="1"/>
  <c r="K503" i="1"/>
  <c r="M502" i="1"/>
  <c r="K502" i="1"/>
  <c r="M501" i="1"/>
  <c r="K501" i="1"/>
  <c r="M500" i="1"/>
  <c r="K500" i="1"/>
  <c r="M499" i="1"/>
  <c r="K499" i="1"/>
  <c r="M498" i="1"/>
  <c r="K498" i="1"/>
  <c r="M497" i="1"/>
  <c r="K497" i="1"/>
  <c r="M496" i="1"/>
  <c r="K496" i="1"/>
  <c r="M494" i="1"/>
  <c r="K494" i="1"/>
  <c r="M493" i="1"/>
  <c r="K493" i="1"/>
  <c r="M492" i="1"/>
  <c r="K492" i="1"/>
  <c r="M491" i="1"/>
  <c r="K491" i="1"/>
  <c r="M490" i="1"/>
  <c r="K490" i="1"/>
  <c r="M487" i="1"/>
  <c r="K487" i="1"/>
  <c r="M486" i="1"/>
  <c r="K486" i="1"/>
  <c r="M481" i="1"/>
  <c r="K481" i="1"/>
  <c r="M476" i="1"/>
  <c r="K476" i="1"/>
  <c r="M474" i="1"/>
  <c r="K474" i="1"/>
  <c r="M473" i="1"/>
  <c r="K473" i="1"/>
  <c r="M472" i="1"/>
  <c r="K472" i="1"/>
  <c r="M471" i="1"/>
  <c r="K471" i="1"/>
  <c r="M468" i="1"/>
  <c r="K468" i="1"/>
  <c r="M467" i="1"/>
  <c r="K467" i="1"/>
  <c r="M466" i="1"/>
  <c r="K466" i="1"/>
  <c r="M465" i="1"/>
  <c r="K465" i="1"/>
  <c r="M459" i="1"/>
  <c r="K459" i="1"/>
  <c r="M451" i="1"/>
  <c r="K451" i="1"/>
  <c r="M446" i="1"/>
  <c r="K446" i="1"/>
  <c r="M445" i="1"/>
  <c r="K445" i="1"/>
  <c r="M444" i="1"/>
  <c r="K444" i="1"/>
  <c r="M441" i="1"/>
  <c r="M440" i="1" s="1"/>
  <c r="K441" i="1"/>
  <c r="M438" i="1"/>
  <c r="K438" i="1"/>
  <c r="M436" i="1"/>
  <c r="K436" i="1"/>
  <c r="M435" i="1"/>
  <c r="K435" i="1"/>
  <c r="M434" i="1"/>
  <c r="K434" i="1"/>
  <c r="M433" i="1"/>
  <c r="K433" i="1"/>
  <c r="M432" i="1"/>
  <c r="K432" i="1"/>
  <c r="M431" i="1"/>
  <c r="K431" i="1"/>
  <c r="M425" i="1"/>
  <c r="K425" i="1"/>
  <c r="M424" i="1"/>
  <c r="K424" i="1"/>
  <c r="M417" i="1"/>
  <c r="M416" i="1" s="1"/>
  <c r="K417" i="1"/>
  <c r="M415" i="1"/>
  <c r="K415" i="1"/>
  <c r="M414" i="1"/>
  <c r="K414" i="1"/>
  <c r="M413" i="1"/>
  <c r="K413" i="1"/>
  <c r="M403" i="1"/>
  <c r="K403" i="1"/>
  <c r="M402" i="1"/>
  <c r="K402" i="1"/>
  <c r="M394" i="1"/>
  <c r="M393" i="1" s="1"/>
  <c r="M392" i="1" s="1"/>
  <c r="K394" i="1"/>
  <c r="M389" i="1"/>
  <c r="K389" i="1"/>
  <c r="M388" i="1"/>
  <c r="K388" i="1"/>
  <c r="M387" i="1"/>
  <c r="K387" i="1"/>
  <c r="M381" i="1"/>
  <c r="K381" i="1"/>
  <c r="M379" i="1"/>
  <c r="K379" i="1"/>
  <c r="M378" i="1"/>
  <c r="K378" i="1"/>
  <c r="M377" i="1"/>
  <c r="K377" i="1"/>
  <c r="M375" i="1"/>
  <c r="K375" i="1"/>
  <c r="M374" i="1"/>
  <c r="K374" i="1"/>
  <c r="M373" i="1"/>
  <c r="K373" i="1"/>
  <c r="M372" i="1"/>
  <c r="K372" i="1"/>
  <c r="M371" i="1"/>
  <c r="K371" i="1"/>
  <c r="M369" i="1"/>
  <c r="K369" i="1"/>
  <c r="M357" i="1"/>
  <c r="M356" i="1" s="1"/>
  <c r="K357" i="1"/>
  <c r="M355" i="1"/>
  <c r="K355" i="1"/>
  <c r="M353" i="1"/>
  <c r="K353" i="1"/>
  <c r="M352" i="1"/>
  <c r="K352" i="1"/>
  <c r="M351" i="1"/>
  <c r="K351" i="1"/>
  <c r="M350" i="1"/>
  <c r="K350" i="1"/>
  <c r="M345" i="1"/>
  <c r="M344" i="1" s="1"/>
  <c r="K345" i="1"/>
  <c r="M342" i="1"/>
  <c r="K342" i="1"/>
  <c r="M324" i="1"/>
  <c r="M323" i="1" s="1"/>
  <c r="K324" i="1"/>
  <c r="K323" i="1" s="1"/>
  <c r="M322" i="1"/>
  <c r="K322" i="1"/>
  <c r="M321" i="1"/>
  <c r="K321" i="1"/>
  <c r="M318" i="1"/>
  <c r="M317" i="1" s="1"/>
  <c r="M316" i="1" s="1"/>
  <c r="K318" i="1"/>
  <c r="K317" i="1" s="1"/>
  <c r="K316" i="1" s="1"/>
  <c r="M315" i="1"/>
  <c r="K315" i="1"/>
  <c r="M314" i="1"/>
  <c r="K314" i="1"/>
  <c r="M313" i="1"/>
  <c r="K313" i="1"/>
  <c r="M311" i="1"/>
  <c r="K311" i="1"/>
  <c r="M310" i="1"/>
  <c r="M266" i="1"/>
  <c r="M265" i="1" s="1"/>
  <c r="M264" i="1" s="1"/>
  <c r="K266" i="1"/>
  <c r="K265" i="1" s="1"/>
  <c r="K264" i="1" s="1"/>
  <c r="M263" i="1"/>
  <c r="K263" i="1"/>
  <c r="M262" i="1"/>
  <c r="K262" i="1"/>
  <c r="M253" i="1"/>
  <c r="M252" i="1" s="1"/>
  <c r="K253" i="1"/>
  <c r="K252" i="1" s="1"/>
  <c r="M251" i="1"/>
  <c r="M250" i="1" s="1"/>
  <c r="M249" i="1"/>
  <c r="K249" i="1"/>
  <c r="M248" i="1"/>
  <c r="K248" i="1"/>
  <c r="M247" i="1"/>
  <c r="K247" i="1"/>
  <c r="M246" i="1"/>
  <c r="K246" i="1"/>
  <c r="M245" i="1"/>
  <c r="K245" i="1"/>
  <c r="M240" i="1"/>
  <c r="M239" i="1" s="1"/>
  <c r="M238" i="1" s="1"/>
  <c r="K240" i="1"/>
  <c r="K239" i="1" s="1"/>
  <c r="K238" i="1" s="1"/>
  <c r="M237" i="1"/>
  <c r="M236" i="1" s="1"/>
  <c r="K237" i="1"/>
  <c r="K236" i="1" s="1"/>
  <c r="M234" i="1"/>
  <c r="M233" i="1" s="1"/>
  <c r="K234" i="1"/>
  <c r="K233" i="1" s="1"/>
  <c r="M232" i="1"/>
  <c r="K232" i="1"/>
  <c r="M231" i="1"/>
  <c r="K231" i="1"/>
  <c r="M230" i="1"/>
  <c r="K230" i="1"/>
  <c r="M229" i="1"/>
  <c r="K229" i="1"/>
  <c r="K223" i="1"/>
  <c r="K222" i="1" s="1"/>
  <c r="K221" i="1" s="1"/>
  <c r="K215" i="1"/>
  <c r="K214" i="1" s="1"/>
  <c r="M213" i="1"/>
  <c r="M212" i="1" s="1"/>
  <c r="K213" i="1"/>
  <c r="K212" i="1" s="1"/>
  <c r="M200" i="1"/>
  <c r="M199" i="1" s="1"/>
  <c r="M198" i="1" s="1"/>
  <c r="K200" i="1"/>
  <c r="K199" i="1" s="1"/>
  <c r="K198" i="1" s="1"/>
  <c r="M197" i="1"/>
  <c r="K197" i="1"/>
  <c r="M196" i="1"/>
  <c r="K196" i="1"/>
  <c r="M195" i="1"/>
  <c r="K195" i="1"/>
  <c r="M193" i="1"/>
  <c r="M192" i="1" s="1"/>
  <c r="K193" i="1"/>
  <c r="K192" i="1" s="1"/>
  <c r="M190" i="1"/>
  <c r="M189" i="1" s="1"/>
  <c r="M188" i="1" s="1"/>
  <c r="M179" i="1"/>
  <c r="K179" i="1"/>
  <c r="M178" i="1"/>
  <c r="K178" i="1"/>
  <c r="M177" i="1"/>
  <c r="K177" i="1"/>
  <c r="M176" i="1"/>
  <c r="K176" i="1"/>
  <c r="M175" i="1"/>
  <c r="K175" i="1"/>
  <c r="M174" i="1"/>
  <c r="K174" i="1"/>
  <c r="M173" i="1"/>
  <c r="K173" i="1"/>
  <c r="M171" i="1"/>
  <c r="M170" i="1" s="1"/>
  <c r="K171" i="1"/>
  <c r="K170" i="1" s="1"/>
  <c r="M169" i="1"/>
  <c r="K169" i="1"/>
  <c r="M168" i="1"/>
  <c r="K168" i="1"/>
  <c r="M167" i="1"/>
  <c r="K167" i="1"/>
  <c r="M166" i="1"/>
  <c r="K166" i="1"/>
  <c r="M165" i="1"/>
  <c r="K165" i="1"/>
  <c r="M164" i="1"/>
  <c r="K164" i="1"/>
  <c r="M163" i="1"/>
  <c r="K163" i="1"/>
  <c r="M162" i="1"/>
  <c r="K162" i="1"/>
  <c r="M159" i="1"/>
  <c r="K159" i="1"/>
  <c r="M158" i="1"/>
  <c r="K158" i="1"/>
  <c r="M157" i="1"/>
  <c r="K157" i="1"/>
  <c r="M156" i="1"/>
  <c r="K156" i="1"/>
  <c r="M155" i="1"/>
  <c r="K155" i="1"/>
  <c r="M154" i="1"/>
  <c r="K154" i="1"/>
  <c r="M145" i="1"/>
  <c r="M144" i="1" s="1"/>
  <c r="K145" i="1"/>
  <c r="K144" i="1" s="1"/>
  <c r="M143" i="1"/>
  <c r="K143" i="1"/>
  <c r="M142" i="1"/>
  <c r="K142" i="1"/>
  <c r="M140" i="1"/>
  <c r="M139" i="1" s="1"/>
  <c r="K140" i="1"/>
  <c r="K139" i="1" s="1"/>
  <c r="M133" i="1"/>
  <c r="M132" i="1" s="1"/>
  <c r="K133" i="1"/>
  <c r="K132" i="1" s="1"/>
  <c r="M131" i="1"/>
  <c r="K131" i="1"/>
  <c r="M130" i="1"/>
  <c r="K130" i="1"/>
  <c r="M129" i="1"/>
  <c r="K129" i="1"/>
  <c r="M128" i="1"/>
  <c r="K128" i="1"/>
  <c r="M127" i="1"/>
  <c r="K127" i="1"/>
  <c r="M126" i="1"/>
  <c r="K126" i="1"/>
  <c r="M124" i="1"/>
  <c r="K124" i="1"/>
  <c r="M123" i="1"/>
  <c r="K123" i="1"/>
  <c r="M122" i="1"/>
  <c r="K122" i="1"/>
  <c r="M121" i="1"/>
  <c r="K121" i="1"/>
  <c r="M120" i="1"/>
  <c r="K120" i="1"/>
  <c r="M118" i="1"/>
  <c r="K118" i="1"/>
  <c r="M117" i="1"/>
  <c r="K117" i="1"/>
  <c r="M113" i="1"/>
  <c r="K113" i="1"/>
  <c r="M112" i="1"/>
  <c r="K112" i="1"/>
  <c r="M110" i="1"/>
  <c r="K110" i="1"/>
  <c r="M109" i="1"/>
  <c r="K109" i="1"/>
  <c r="M102" i="1"/>
  <c r="M100" i="1" s="1"/>
  <c r="M99" i="1" s="1"/>
  <c r="K102" i="1"/>
  <c r="K100" i="1" s="1"/>
  <c r="K99" i="1" s="1"/>
  <c r="M98" i="1"/>
  <c r="M97" i="1" s="1"/>
  <c r="K98" i="1"/>
  <c r="K97" i="1" s="1"/>
  <c r="M96" i="1"/>
  <c r="M95" i="1" s="1"/>
  <c r="K96" i="1"/>
  <c r="K95" i="1" s="1"/>
  <c r="M94" i="1"/>
  <c r="K94" i="1"/>
  <c r="M93" i="1"/>
  <c r="K93" i="1"/>
  <c r="M92" i="1"/>
  <c r="K92" i="1"/>
  <c r="M91" i="1"/>
  <c r="K91" i="1"/>
  <c r="M90" i="1"/>
  <c r="K90" i="1"/>
  <c r="M88" i="1"/>
  <c r="M87" i="1" s="1"/>
  <c r="K88" i="1"/>
  <c r="K87" i="1" s="1"/>
  <c r="M83" i="1"/>
  <c r="M80" i="1" s="1"/>
  <c r="K83" i="1"/>
  <c r="K80" i="1" s="1"/>
  <c r="M79" i="1"/>
  <c r="M78" i="1" s="1"/>
  <c r="K79" i="1"/>
  <c r="K78" i="1" s="1"/>
  <c r="M75" i="1"/>
  <c r="M74" i="1" s="1"/>
  <c r="M73" i="1" s="1"/>
  <c r="K75" i="1"/>
  <c r="K74" i="1" s="1"/>
  <c r="K73" i="1" s="1"/>
  <c r="M72" i="1"/>
  <c r="K72" i="1"/>
  <c r="M71" i="1"/>
  <c r="K71" i="1"/>
  <c r="M70" i="1"/>
  <c r="K70" i="1"/>
  <c r="M69" i="1"/>
  <c r="K69" i="1"/>
  <c r="M66" i="1"/>
  <c r="K66" i="1"/>
  <c r="M65" i="1"/>
  <c r="K65" i="1"/>
  <c r="M64" i="1"/>
  <c r="K64" i="1"/>
  <c r="M63" i="1"/>
  <c r="K63" i="1"/>
  <c r="M62" i="1"/>
  <c r="K62" i="1"/>
  <c r="M61" i="1"/>
  <c r="K61" i="1"/>
  <c r="M60" i="1"/>
  <c r="K60" i="1"/>
  <c r="M58" i="1"/>
  <c r="M57" i="1" s="1"/>
  <c r="K58" i="1"/>
  <c r="K57" i="1" s="1"/>
  <c r="M56" i="1"/>
  <c r="K56" i="1"/>
  <c r="M55" i="1"/>
  <c r="K55" i="1"/>
  <c r="M54" i="1"/>
  <c r="K54" i="1"/>
  <c r="M53" i="1"/>
  <c r="K53" i="1"/>
  <c r="M52" i="1"/>
  <c r="K52" i="1"/>
  <c r="M51" i="1"/>
  <c r="K51" i="1"/>
  <c r="M50" i="1"/>
  <c r="K50" i="1"/>
  <c r="M49" i="1"/>
  <c r="K49" i="1"/>
  <c r="M47" i="1"/>
  <c r="K47" i="1"/>
  <c r="M46" i="1"/>
  <c r="K46" i="1"/>
  <c r="M45" i="1"/>
  <c r="K45" i="1"/>
  <c r="M44" i="1"/>
  <c r="K44" i="1"/>
  <c r="M43" i="1"/>
  <c r="K43" i="1"/>
  <c r="M42" i="1"/>
  <c r="K42" i="1"/>
  <c r="M40" i="1"/>
  <c r="K40" i="1"/>
  <c r="M39" i="1"/>
  <c r="K39" i="1"/>
  <c r="M38" i="1"/>
  <c r="K38" i="1"/>
  <c r="M37" i="1"/>
  <c r="K37" i="1"/>
  <c r="M28" i="1"/>
  <c r="K28" i="1"/>
  <c r="K27" i="1"/>
  <c r="M20" i="1"/>
  <c r="M19" i="1" s="1"/>
  <c r="K20" i="1"/>
  <c r="K19" i="1" s="1"/>
  <c r="M15" i="1"/>
  <c r="M14" i="1" s="1"/>
  <c r="K15" i="1"/>
  <c r="K14" i="1" s="1"/>
  <c r="M13" i="1"/>
  <c r="M12" i="1" s="1"/>
  <c r="O767" i="1"/>
  <c r="O763" i="1"/>
  <c r="O761" i="1"/>
  <c r="O756" i="1"/>
  <c r="O755" i="1" s="1"/>
  <c r="O752" i="1"/>
  <c r="O751" i="1" s="1"/>
  <c r="O749" i="1"/>
  <c r="O744" i="1" s="1"/>
  <c r="O740" i="1"/>
  <c r="O739" i="1" s="1"/>
  <c r="O738" i="1" s="1"/>
  <c r="O737" i="1" s="1"/>
  <c r="O735" i="1"/>
  <c r="O734" i="1" s="1"/>
  <c r="O733" i="1" s="1"/>
  <c r="O732" i="1" s="1"/>
  <c r="O730" i="1"/>
  <c r="O727" i="1"/>
  <c r="O722" i="1"/>
  <c r="O713" i="1"/>
  <c r="O711" i="1"/>
  <c r="O708" i="1"/>
  <c r="O703" i="1"/>
  <c r="O702" i="1" s="1"/>
  <c r="O696" i="1"/>
  <c r="O694" i="1"/>
  <c r="O691" i="1"/>
  <c r="O690" i="1" s="1"/>
  <c r="O682" i="1"/>
  <c r="O680" i="1"/>
  <c r="O677" i="1"/>
  <c r="O672" i="1"/>
  <c r="O671" i="1" s="1"/>
  <c r="O669" i="1"/>
  <c r="O666" i="1"/>
  <c r="O663" i="1"/>
  <c r="O658" i="1"/>
  <c r="O649" i="1"/>
  <c r="O648" i="1" s="1"/>
  <c r="O645" i="1"/>
  <c r="O644" i="1" s="1"/>
  <c r="O642" i="1"/>
  <c r="O640" i="1"/>
  <c r="O637" i="1"/>
  <c r="O632" i="1"/>
  <c r="O631" i="1" s="1"/>
  <c r="O630" i="1" s="1"/>
  <c r="O629" i="1" s="1"/>
  <c r="O627" i="1"/>
  <c r="O626" i="1" s="1"/>
  <c r="O624" i="1"/>
  <c r="O615" i="1"/>
  <c r="O612" i="1"/>
  <c r="O611" i="1" s="1"/>
  <c r="O609" i="1"/>
  <c r="O603" i="1"/>
  <c r="O600" i="1"/>
  <c r="O595" i="1"/>
  <c r="O593" i="1"/>
  <c r="O586" i="1"/>
  <c r="O580" i="1" s="1"/>
  <c r="O579" i="1" s="1"/>
  <c r="O578" i="1" s="1"/>
  <c r="O577" i="1" s="1"/>
  <c r="O575" i="1"/>
  <c r="O574" i="1" s="1"/>
  <c r="O573" i="1" s="1"/>
  <c r="O572" i="1" s="1"/>
  <c r="O570" i="1"/>
  <c r="O566" i="1"/>
  <c r="O559" i="1"/>
  <c r="O554" i="1"/>
  <c r="O551" i="1"/>
  <c r="O548" i="1"/>
  <c r="O546" i="1"/>
  <c r="O540" i="1"/>
  <c r="O535" i="1"/>
  <c r="O532" i="1"/>
  <c r="O528" i="1"/>
  <c r="O526" i="1"/>
  <c r="O525" i="1" s="1"/>
  <c r="O521" i="1"/>
  <c r="O520" i="1" s="1"/>
  <c r="O518" i="1"/>
  <c r="O511" i="1"/>
  <c r="O508" i="1"/>
  <c r="O505" i="1"/>
  <c r="O504" i="1" s="1"/>
  <c r="O495" i="1"/>
  <c r="O489" i="1"/>
  <c r="O485" i="1"/>
  <c r="O480" i="1"/>
  <c r="O478" i="1"/>
  <c r="O475" i="1"/>
  <c r="O470" i="1"/>
  <c r="O464" i="1"/>
  <c r="O460" i="1"/>
  <c r="O457" i="1"/>
  <c r="O452" i="1"/>
  <c r="O450" i="1"/>
  <c r="O448" i="1"/>
  <c r="O443" i="1"/>
  <c r="O440" i="1"/>
  <c r="O439" i="1" s="1"/>
  <c r="O437" i="1"/>
  <c r="O430" i="1"/>
  <c r="O426" i="1"/>
  <c r="O423" i="1"/>
  <c r="O418" i="1"/>
  <c r="O416" i="1"/>
  <c r="O410" i="1"/>
  <c r="O404" i="1"/>
  <c r="O401" i="1"/>
  <c r="O396" i="1"/>
  <c r="O393" i="1"/>
  <c r="O392" i="1" s="1"/>
  <c r="O385" i="1"/>
  <c r="O384" i="1" s="1"/>
  <c r="O382" i="1"/>
  <c r="O380" i="1"/>
  <c r="O376" i="1"/>
  <c r="O370" i="1"/>
  <c r="O368" i="1"/>
  <c r="O363" i="1"/>
  <c r="O362" i="1" s="1"/>
  <c r="O361" i="1" s="1"/>
  <c r="O358" i="1"/>
  <c r="O356" i="1"/>
  <c r="O349" i="1"/>
  <c r="O346" i="1"/>
  <c r="O344" i="1"/>
  <c r="O341" i="1"/>
  <c r="O340" i="1" s="1"/>
  <c r="O334" i="1"/>
  <c r="O332" i="1"/>
  <c r="O330" i="1"/>
  <c r="O327" i="1"/>
  <c r="O323" i="1"/>
  <c r="O320" i="1"/>
  <c r="O317" i="1"/>
  <c r="O316" i="1" s="1"/>
  <c r="O312" i="1"/>
  <c r="O309" i="1"/>
  <c r="O304" i="1"/>
  <c r="O302" i="1"/>
  <c r="O300" i="1"/>
  <c r="O297" i="1"/>
  <c r="O291" i="1"/>
  <c r="O288" i="1"/>
  <c r="O285" i="1"/>
  <c r="O280" i="1"/>
  <c r="O278" i="1"/>
  <c r="O275" i="1"/>
  <c r="O272" i="1"/>
  <c r="O267" i="1"/>
  <c r="O265" i="1"/>
  <c r="O264" i="1" s="1"/>
  <c r="O261" i="1"/>
  <c r="O260" i="1" s="1"/>
  <c r="O256" i="1"/>
  <c r="O252" i="1"/>
  <c r="O250" i="1"/>
  <c r="O244" i="1"/>
  <c r="O241" i="1"/>
  <c r="O239" i="1"/>
  <c r="O238" i="1" s="1"/>
  <c r="O236" i="1"/>
  <c r="O233" i="1"/>
  <c r="O227" i="1"/>
  <c r="O222" i="1"/>
  <c r="O221" i="1" s="1"/>
  <c r="O219" i="1"/>
  <c r="O214" i="1"/>
  <c r="O212" i="1"/>
  <c r="O199" i="1"/>
  <c r="O198" i="1" s="1"/>
  <c r="O194" i="1"/>
  <c r="O192" i="1"/>
  <c r="O189" i="1"/>
  <c r="O188" i="1" s="1"/>
  <c r="O185" i="1"/>
  <c r="O180" i="1"/>
  <c r="O172" i="1"/>
  <c r="O170" i="1"/>
  <c r="O160" i="1"/>
  <c r="O153" i="1"/>
  <c r="O146" i="1"/>
  <c r="O144" i="1"/>
  <c r="O141" i="1"/>
  <c r="O139" i="1"/>
  <c r="O136" i="1"/>
  <c r="O132" i="1"/>
  <c r="O125" i="1"/>
  <c r="O119" i="1"/>
  <c r="O116" i="1"/>
  <c r="O111" i="1"/>
  <c r="O108" i="1"/>
  <c r="O103" i="1"/>
  <c r="O100" i="1"/>
  <c r="O99" i="1" s="1"/>
  <c r="O97" i="1"/>
  <c r="O95" i="1"/>
  <c r="O89" i="1"/>
  <c r="O87" i="1"/>
  <c r="O80" i="1"/>
  <c r="O78" i="1"/>
  <c r="O74" i="1"/>
  <c r="O73" i="1" s="1"/>
  <c r="O68" i="1"/>
  <c r="O67" i="1" s="1"/>
  <c r="O59" i="1"/>
  <c r="O57" i="1"/>
  <c r="O48" i="1"/>
  <c r="O41" i="1"/>
  <c r="O36" i="1"/>
  <c r="O31" i="1"/>
  <c r="O29" i="1"/>
  <c r="O26" i="1"/>
  <c r="O21" i="1"/>
  <c r="O19" i="1"/>
  <c r="O14" i="1"/>
  <c r="O12" i="1"/>
  <c r="M586" i="1"/>
  <c r="M551" i="1"/>
  <c r="M528" i="1"/>
  <c r="M478" i="1"/>
  <c r="M460" i="1"/>
  <c r="M452" i="1"/>
  <c r="M448" i="1"/>
  <c r="M426" i="1"/>
  <c r="M418" i="1"/>
  <c r="M404" i="1"/>
  <c r="M396" i="1"/>
  <c r="M382" i="1"/>
  <c r="M363" i="1"/>
  <c r="M358" i="1"/>
  <c r="M346" i="1"/>
  <c r="M334" i="1"/>
  <c r="M332" i="1"/>
  <c r="M330" i="1"/>
  <c r="M327" i="1"/>
  <c r="M304" i="1"/>
  <c r="M302" i="1"/>
  <c r="M300" i="1"/>
  <c r="M297" i="1"/>
  <c r="M291" i="1"/>
  <c r="M288" i="1"/>
  <c r="M285" i="1"/>
  <c r="M280" i="1"/>
  <c r="M278" i="1"/>
  <c r="M275" i="1"/>
  <c r="M272" i="1"/>
  <c r="M267" i="1"/>
  <c r="M256" i="1"/>
  <c r="M241" i="1"/>
  <c r="M219" i="1"/>
  <c r="M185" i="1"/>
  <c r="M180" i="1"/>
  <c r="M146" i="1"/>
  <c r="M136" i="1"/>
  <c r="M103" i="1"/>
  <c r="M21" i="1"/>
  <c r="K13" i="1"/>
  <c r="K12" i="1" s="1"/>
  <c r="K735" i="1"/>
  <c r="K694" i="1"/>
  <c r="K586" i="1"/>
  <c r="K551" i="1"/>
  <c r="K528" i="1"/>
  <c r="K478" i="1"/>
  <c r="K460" i="1"/>
  <c r="K452" i="1"/>
  <c r="K448" i="1"/>
  <c r="K426" i="1"/>
  <c r="K418" i="1"/>
  <c r="K404" i="1"/>
  <c r="K396" i="1"/>
  <c r="K382" i="1"/>
  <c r="K363" i="1"/>
  <c r="K358" i="1"/>
  <c r="K346" i="1"/>
  <c r="K334" i="1"/>
  <c r="K332" i="1"/>
  <c r="K330" i="1"/>
  <c r="K327" i="1"/>
  <c r="K304" i="1"/>
  <c r="K302" i="1"/>
  <c r="K300" i="1"/>
  <c r="K297" i="1"/>
  <c r="K291" i="1"/>
  <c r="K288" i="1"/>
  <c r="K285" i="1"/>
  <c r="K280" i="1"/>
  <c r="K278" i="1"/>
  <c r="K275" i="1"/>
  <c r="K272" i="1"/>
  <c r="K267" i="1"/>
  <c r="K256" i="1"/>
  <c r="K241" i="1"/>
  <c r="K219" i="1"/>
  <c r="K185" i="1"/>
  <c r="K180" i="1"/>
  <c r="K146" i="1"/>
  <c r="K136" i="1"/>
  <c r="K103" i="1"/>
  <c r="K21" i="1"/>
  <c r="N338" i="1" l="1"/>
  <c r="N675" i="1"/>
  <c r="N674" i="1" s="1"/>
  <c r="M59" i="1"/>
  <c r="M535" i="1"/>
  <c r="N706" i="1"/>
  <c r="K59" i="1"/>
  <c r="K535" i="1"/>
  <c r="K36" i="1"/>
  <c r="K41" i="1"/>
  <c r="K48" i="1"/>
  <c r="M36" i="1"/>
  <c r="M41" i="1"/>
  <c r="M48" i="1"/>
  <c r="N455" i="1"/>
  <c r="N454" i="1" s="1"/>
  <c r="N391" i="1"/>
  <c r="N390" i="1" s="1"/>
  <c r="K738" i="1"/>
  <c r="K356" i="1"/>
  <c r="K380" i="1"/>
  <c r="K416" i="1"/>
  <c r="K508" i="1"/>
  <c r="K521" i="1"/>
  <c r="K615" i="1"/>
  <c r="K621" i="1"/>
  <c r="M669" i="1"/>
  <c r="M749" i="1"/>
  <c r="M744" i="1" s="1"/>
  <c r="M761" i="1"/>
  <c r="M779" i="1"/>
  <c r="N634" i="1"/>
  <c r="N421" i="1"/>
  <c r="K702" i="1"/>
  <c r="M711" i="1"/>
  <c r="M380" i="1"/>
  <c r="M450" i="1"/>
  <c r="M475" i="1"/>
  <c r="M508" i="1"/>
  <c r="M605" i="1"/>
  <c r="M615" i="1"/>
  <c r="M621" i="1"/>
  <c r="M627" i="1"/>
  <c r="M640" i="1"/>
  <c r="K763" i="1"/>
  <c r="K767" i="1"/>
  <c r="H772" i="1"/>
  <c r="N483" i="1"/>
  <c r="N630" i="1"/>
  <c r="N738" i="1"/>
  <c r="N737" i="1" s="1"/>
  <c r="K626" i="1"/>
  <c r="K344" i="1"/>
  <c r="K450" i="1"/>
  <c r="K475" i="1"/>
  <c r="K341" i="1"/>
  <c r="K349" i="1"/>
  <c r="K368" i="1"/>
  <c r="K437" i="1"/>
  <c r="K457" i="1"/>
  <c r="K480" i="1"/>
  <c r="K505" i="1"/>
  <c r="K518" i="1"/>
  <c r="K526" i="1"/>
  <c r="K570" i="1"/>
  <c r="K580" i="1"/>
  <c r="K579" i="1" s="1"/>
  <c r="K593" i="1"/>
  <c r="K600" i="1"/>
  <c r="K603" i="1"/>
  <c r="K612" i="1"/>
  <c r="K624" i="1"/>
  <c r="K632" i="1"/>
  <c r="K642" i="1"/>
  <c r="M663" i="1"/>
  <c r="M672" i="1"/>
  <c r="M694" i="1"/>
  <c r="M703" i="1"/>
  <c r="M730" i="1"/>
  <c r="M740" i="1"/>
  <c r="M756" i="1"/>
  <c r="M763" i="1"/>
  <c r="M767" i="1"/>
  <c r="I772" i="1"/>
  <c r="N564" i="1"/>
  <c r="K393" i="1"/>
  <c r="K440" i="1"/>
  <c r="K546" i="1"/>
  <c r="K575" i="1"/>
  <c r="K595" i="1"/>
  <c r="K605" i="1"/>
  <c r="K609" i="1"/>
  <c r="K640" i="1"/>
  <c r="K649" i="1"/>
  <c r="M691" i="1"/>
  <c r="M735" i="1"/>
  <c r="I778" i="1"/>
  <c r="N759" i="1"/>
  <c r="K671" i="1"/>
  <c r="M362" i="1"/>
  <c r="M439" i="1"/>
  <c r="K362" i="1"/>
  <c r="K690" i="1"/>
  <c r="K734" i="1"/>
  <c r="M520" i="1"/>
  <c r="M574" i="1"/>
  <c r="M648" i="1"/>
  <c r="M341" i="1"/>
  <c r="M349" i="1"/>
  <c r="M343" i="1" s="1"/>
  <c r="M368" i="1"/>
  <c r="M437" i="1"/>
  <c r="M457" i="1"/>
  <c r="M480" i="1"/>
  <c r="M505" i="1"/>
  <c r="M518" i="1"/>
  <c r="M526" i="1"/>
  <c r="M570" i="1"/>
  <c r="M580" i="1"/>
  <c r="M579" i="1" s="1"/>
  <c r="M593" i="1"/>
  <c r="M600" i="1"/>
  <c r="M603" i="1"/>
  <c r="M612" i="1"/>
  <c r="M624" i="1"/>
  <c r="M632" i="1"/>
  <c r="M642" i="1"/>
  <c r="K669" i="1"/>
  <c r="K680" i="1"/>
  <c r="K711" i="1"/>
  <c r="K749" i="1"/>
  <c r="K761" i="1"/>
  <c r="H778" i="1"/>
  <c r="K779" i="1"/>
  <c r="N365" i="1"/>
  <c r="N652" i="1"/>
  <c r="N577" i="1"/>
  <c r="N591" i="1"/>
  <c r="N598" i="1"/>
  <c r="N572" i="1"/>
  <c r="N743" i="1"/>
  <c r="O150" i="1"/>
  <c r="K654" i="1"/>
  <c r="O442" i="1"/>
  <c r="M654" i="1"/>
  <c r="M77" i="1"/>
  <c r="O107" i="1"/>
  <c r="O592" i="1"/>
  <c r="O591" i="1" s="1"/>
  <c r="O590" i="1" s="1"/>
  <c r="O636" i="1"/>
  <c r="O635" i="1" s="1"/>
  <c r="O634" i="1" s="1"/>
  <c r="K18" i="1"/>
  <c r="K17" i="1" s="1"/>
  <c r="K16" i="1" s="1"/>
  <c r="K284" i="1"/>
  <c r="K283" i="1" s="1"/>
  <c r="O400" i="1"/>
  <c r="O391" i="1" s="1"/>
  <c r="O390" i="1" s="1"/>
  <c r="O693" i="1"/>
  <c r="N524" i="1"/>
  <c r="M637" i="1"/>
  <c r="K722" i="1"/>
  <c r="N106" i="1"/>
  <c r="N105" i="1" s="1"/>
  <c r="K645" i="1"/>
  <c r="M666" i="1"/>
  <c r="M677" i="1"/>
  <c r="M696" i="1"/>
  <c r="M727" i="1"/>
  <c r="M752" i="1"/>
  <c r="K752" i="1"/>
  <c r="K751" i="1" s="1"/>
  <c r="K244" i="1"/>
  <c r="M370" i="1"/>
  <c r="M423" i="1"/>
  <c r="M227" i="1"/>
  <c r="M226" i="1" s="1"/>
  <c r="M244" i="1"/>
  <c r="M243" i="1" s="1"/>
  <c r="K309" i="1"/>
  <c r="K320" i="1"/>
  <c r="K319" i="1" s="1"/>
  <c r="K172" i="1"/>
  <c r="K153" i="1"/>
  <c r="K68" i="1"/>
  <c r="K67" i="1" s="1"/>
  <c r="K108" i="1"/>
  <c r="K111" i="1"/>
  <c r="K116" i="1"/>
  <c r="K141" i="1"/>
  <c r="K138" i="1" s="1"/>
  <c r="K135" i="1" s="1"/>
  <c r="K134" i="1" s="1"/>
  <c r="M111" i="1"/>
  <c r="M722" i="1"/>
  <c r="M713" i="1"/>
  <c r="M708" i="1"/>
  <c r="M682" i="1"/>
  <c r="M554" i="1"/>
  <c r="K370" i="1"/>
  <c r="K376" i="1"/>
  <c r="K385" i="1"/>
  <c r="K495" i="1"/>
  <c r="M645" i="1"/>
  <c r="M658" i="1"/>
  <c r="K666" i="1"/>
  <c r="K677" i="1"/>
  <c r="K682" i="1"/>
  <c r="K708" i="1"/>
  <c r="K410" i="1"/>
  <c r="K464" i="1"/>
  <c r="K489" i="1"/>
  <c r="K532" i="1"/>
  <c r="K540" i="1"/>
  <c r="K554" i="1"/>
  <c r="K559" i="1"/>
  <c r="K637" i="1"/>
  <c r="O422" i="1"/>
  <c r="O484" i="1"/>
  <c r="O507" i="1"/>
  <c r="O553" i="1"/>
  <c r="M773" i="1"/>
  <c r="M772" i="1" s="1"/>
  <c r="K470" i="1"/>
  <c r="M194" i="1"/>
  <c r="M191" i="1" s="1"/>
  <c r="K511" i="1"/>
  <c r="M68" i="1"/>
  <c r="M67" i="1" s="1"/>
  <c r="M89" i="1"/>
  <c r="M86" i="1" s="1"/>
  <c r="M85" i="1" s="1"/>
  <c r="M84" i="1" s="1"/>
  <c r="M116" i="1"/>
  <c r="M119" i="1"/>
  <c r="M125" i="1"/>
  <c r="M141" i="1"/>
  <c r="M138" i="1" s="1"/>
  <c r="M135" i="1" s="1"/>
  <c r="M134" i="1" s="1"/>
  <c r="M153" i="1"/>
  <c r="M160" i="1"/>
  <c r="M172" i="1"/>
  <c r="M309" i="1"/>
  <c r="M312" i="1"/>
  <c r="M320" i="1"/>
  <c r="M319" i="1" s="1"/>
  <c r="M376" i="1"/>
  <c r="M401" i="1"/>
  <c r="M410" i="1"/>
  <c r="M430" i="1"/>
  <c r="M464" i="1"/>
  <c r="M495" i="1"/>
  <c r="M532" i="1"/>
  <c r="M540" i="1"/>
  <c r="M548" i="1"/>
  <c r="M566" i="1"/>
  <c r="M511" i="1"/>
  <c r="K485" i="1"/>
  <c r="M485" i="1"/>
  <c r="K443" i="1"/>
  <c r="M261" i="1"/>
  <c r="M260" i="1" s="1"/>
  <c r="M255" i="1" s="1"/>
  <c r="M254" i="1" s="1"/>
  <c r="M284" i="1"/>
  <c r="M283" i="1" s="1"/>
  <c r="O343" i="1"/>
  <c r="O339" i="1" s="1"/>
  <c r="O338" i="1" s="1"/>
  <c r="O614" i="1"/>
  <c r="K326" i="1"/>
  <c r="K325" i="1" s="1"/>
  <c r="O676" i="1"/>
  <c r="M326" i="1"/>
  <c r="M325" i="1" s="1"/>
  <c r="O11" i="1"/>
  <c r="O10" i="1" s="1"/>
  <c r="O9" i="1" s="1"/>
  <c r="O25" i="1"/>
  <c r="O456" i="1"/>
  <c r="O531" i="1"/>
  <c r="O565" i="1"/>
  <c r="O564" i="1" s="1"/>
  <c r="O563" i="1" s="1"/>
  <c r="O469" i="1"/>
  <c r="O599" i="1"/>
  <c r="M271" i="1"/>
  <c r="M270" i="1" s="1"/>
  <c r="K11" i="1"/>
  <c r="K10" i="1" s="1"/>
  <c r="O86" i="1"/>
  <c r="O85" i="1" s="1"/>
  <c r="O84" i="1" s="1"/>
  <c r="O284" i="1"/>
  <c r="O283" i="1" s="1"/>
  <c r="O326" i="1"/>
  <c r="O325" i="1" s="1"/>
  <c r="O367" i="1"/>
  <c r="O665" i="1"/>
  <c r="O760" i="1"/>
  <c r="O759" i="1" s="1"/>
  <c r="O758" i="1" s="1"/>
  <c r="O18" i="1"/>
  <c r="O17" i="1" s="1"/>
  <c r="O16" i="1" s="1"/>
  <c r="O115" i="1"/>
  <c r="O211" i="1"/>
  <c r="O226" i="1"/>
  <c r="O319" i="1"/>
  <c r="O653" i="1"/>
  <c r="O721" i="1"/>
  <c r="M108" i="1"/>
  <c r="M385" i="1"/>
  <c r="M443" i="1"/>
  <c r="M470" i="1"/>
  <c r="M489" i="1"/>
  <c r="M559" i="1"/>
  <c r="K271" i="1"/>
  <c r="K270" i="1" s="1"/>
  <c r="M18" i="1"/>
  <c r="M17" i="1" s="1"/>
  <c r="M16" i="1" s="1"/>
  <c r="O35" i="1"/>
  <c r="O77" i="1"/>
  <c r="O138" i="1"/>
  <c r="O135" i="1" s="1"/>
  <c r="O134" i="1" s="1"/>
  <c r="O191" i="1"/>
  <c r="O243" i="1"/>
  <c r="O271" i="1"/>
  <c r="O270" i="1" s="1"/>
  <c r="O308" i="1"/>
  <c r="O707" i="1"/>
  <c r="K26" i="1"/>
  <c r="K89" i="1"/>
  <c r="K86" i="1" s="1"/>
  <c r="K85" i="1" s="1"/>
  <c r="K84" i="1" s="1"/>
  <c r="K119" i="1"/>
  <c r="K125" i="1"/>
  <c r="K194" i="1"/>
  <c r="K191" i="1" s="1"/>
  <c r="K227" i="1"/>
  <c r="K226" i="1" s="1"/>
  <c r="K312" i="1"/>
  <c r="K401" i="1"/>
  <c r="K423" i="1"/>
  <c r="K430" i="1"/>
  <c r="K548" i="1"/>
  <c r="K566" i="1"/>
  <c r="K658" i="1"/>
  <c r="K696" i="1"/>
  <c r="K713" i="1"/>
  <c r="K727" i="1"/>
  <c r="K773" i="1"/>
  <c r="K261" i="1"/>
  <c r="K260" i="1" s="1"/>
  <c r="K255" i="1" s="1"/>
  <c r="K254" i="1" s="1"/>
  <c r="K160" i="1"/>
  <c r="K211" i="1"/>
  <c r="K207" i="1" s="1"/>
  <c r="K206" i="1" s="1"/>
  <c r="M11" i="1"/>
  <c r="M10" i="1" s="1"/>
  <c r="O255" i="1"/>
  <c r="O254" i="1" s="1"/>
  <c r="O743" i="1"/>
  <c r="O742" i="1" s="1"/>
  <c r="O207" i="1"/>
  <c r="O206" i="1" s="1"/>
  <c r="O366" i="1"/>
  <c r="O365" i="1" s="1"/>
  <c r="K77" i="1"/>
  <c r="N913" i="1" l="1"/>
  <c r="K343" i="1"/>
  <c r="M35" i="1"/>
  <c r="K35" i="1"/>
  <c r="K9" i="1"/>
  <c r="M9" i="1"/>
  <c r="M665" i="1"/>
  <c r="O421" i="1"/>
  <c r="O420" i="1" s="1"/>
  <c r="K400" i="1"/>
  <c r="M578" i="1"/>
  <c r="M577" i="1" s="1"/>
  <c r="K456" i="1"/>
  <c r="M751" i="1"/>
  <c r="M636" i="1"/>
  <c r="K574" i="1"/>
  <c r="M614" i="1"/>
  <c r="N420" i="1"/>
  <c r="M778" i="1"/>
  <c r="K565" i="1"/>
  <c r="M469" i="1"/>
  <c r="K442" i="1"/>
  <c r="M565" i="1"/>
  <c r="M400" i="1"/>
  <c r="M391" i="1" s="1"/>
  <c r="K507" i="1"/>
  <c r="M592" i="1"/>
  <c r="K665" i="1"/>
  <c r="K384" i="1"/>
  <c r="K644" i="1"/>
  <c r="N651" i="1"/>
  <c r="K778" i="1"/>
  <c r="M340" i="1"/>
  <c r="M339" i="1" s="1"/>
  <c r="M361" i="1"/>
  <c r="N758" i="1"/>
  <c r="N563" i="1"/>
  <c r="M739" i="1"/>
  <c r="M702" i="1"/>
  <c r="M671" i="1"/>
  <c r="K592" i="1"/>
  <c r="M626" i="1"/>
  <c r="K614" i="1"/>
  <c r="K578" i="1"/>
  <c r="K577" i="1" s="1"/>
  <c r="M531" i="1"/>
  <c r="M690" i="1"/>
  <c r="M456" i="1"/>
  <c r="K636" i="1"/>
  <c r="K531" i="1"/>
  <c r="M693" i="1"/>
  <c r="N705" i="1"/>
  <c r="N742" i="1"/>
  <c r="N590" i="1"/>
  <c r="K760" i="1"/>
  <c r="M631" i="1"/>
  <c r="M611" i="1"/>
  <c r="M599" i="1"/>
  <c r="M525" i="1"/>
  <c r="M504" i="1"/>
  <c r="M573" i="1"/>
  <c r="K733" i="1"/>
  <c r="M734" i="1"/>
  <c r="K648" i="1"/>
  <c r="K392" i="1"/>
  <c r="K599" i="1"/>
  <c r="K340" i="1"/>
  <c r="N629" i="1"/>
  <c r="M760" i="1"/>
  <c r="K520" i="1"/>
  <c r="K737" i="1"/>
  <c r="M507" i="1"/>
  <c r="K744" i="1"/>
  <c r="K743" i="1" s="1"/>
  <c r="K361" i="1"/>
  <c r="K439" i="1"/>
  <c r="K693" i="1"/>
  <c r="M442" i="1"/>
  <c r="K772" i="1"/>
  <c r="M384" i="1"/>
  <c r="K469" i="1"/>
  <c r="M644" i="1"/>
  <c r="M653" i="1"/>
  <c r="N597" i="1"/>
  <c r="M755" i="1"/>
  <c r="K631" i="1"/>
  <c r="K611" i="1"/>
  <c r="K525" i="1"/>
  <c r="K504" i="1"/>
  <c r="N482" i="1"/>
  <c r="N523" i="1"/>
  <c r="O106" i="1"/>
  <c r="O105" i="1" s="1"/>
  <c r="O598" i="1"/>
  <c r="O597" i="1" s="1"/>
  <c r="O483" i="1"/>
  <c r="O482" i="1" s="1"/>
  <c r="O149" i="1"/>
  <c r="O148" i="1" s="1"/>
  <c r="O675" i="1"/>
  <c r="O674" i="1" s="1"/>
  <c r="O524" i="1"/>
  <c r="O523" i="1" s="1"/>
  <c r="O706" i="1"/>
  <c r="O705" i="1" s="1"/>
  <c r="K721" i="1"/>
  <c r="M676" i="1"/>
  <c r="M367" i="1"/>
  <c r="M707" i="1"/>
  <c r="M721" i="1"/>
  <c r="K707" i="1"/>
  <c r="K367" i="1"/>
  <c r="K107" i="1"/>
  <c r="K366" i="1"/>
  <c r="M553" i="1"/>
  <c r="K308" i="1"/>
  <c r="K307" i="1" s="1"/>
  <c r="K306" i="1" s="1"/>
  <c r="M107" i="1"/>
  <c r="M422" i="1"/>
  <c r="K676" i="1"/>
  <c r="M150" i="1"/>
  <c r="M149" i="1" s="1"/>
  <c r="M148" i="1" s="1"/>
  <c r="K150" i="1"/>
  <c r="K553" i="1"/>
  <c r="M484" i="1"/>
  <c r="K484" i="1"/>
  <c r="M366" i="1"/>
  <c r="M115" i="1"/>
  <c r="O455" i="1"/>
  <c r="O454" i="1" s="1"/>
  <c r="M308" i="1"/>
  <c r="M307" i="1" s="1"/>
  <c r="M306" i="1" s="1"/>
  <c r="K422" i="1"/>
  <c r="O652" i="1"/>
  <c r="O651" i="1" s="1"/>
  <c r="K115" i="1"/>
  <c r="O24" i="1"/>
  <c r="O23" i="1" s="1"/>
  <c r="O307" i="1"/>
  <c r="O306" i="1" s="1"/>
  <c r="O225" i="1"/>
  <c r="M225" i="1"/>
  <c r="M224" i="1" s="1"/>
  <c r="M455" i="1" l="1"/>
  <c r="K706" i="1"/>
  <c r="M338" i="1"/>
  <c r="K391" i="1"/>
  <c r="K390" i="1" s="1"/>
  <c r="M706" i="1"/>
  <c r="M705" i="1" s="1"/>
  <c r="O224" i="1"/>
  <c r="O8" i="1" s="1"/>
  <c r="O7" i="1" s="1"/>
  <c r="O208" i="1"/>
  <c r="K455" i="1"/>
  <c r="K454" i="1" s="1"/>
  <c r="M652" i="1"/>
  <c r="M651" i="1" s="1"/>
  <c r="K742" i="1"/>
  <c r="M365" i="1"/>
  <c r="M733" i="1"/>
  <c r="M732" i="1" s="1"/>
  <c r="M738" i="1"/>
  <c r="M564" i="1"/>
  <c r="K421" i="1"/>
  <c r="K483" i="1"/>
  <c r="M421" i="1"/>
  <c r="K365" i="1"/>
  <c r="K630" i="1"/>
  <c r="K759" i="1"/>
  <c r="K675" i="1"/>
  <c r="K339" i="1"/>
  <c r="M483" i="1"/>
  <c r="M675" i="1"/>
  <c r="K598" i="1"/>
  <c r="K732" i="1"/>
  <c r="M598" i="1"/>
  <c r="M591" i="1"/>
  <c r="M743" i="1"/>
  <c r="M759" i="1"/>
  <c r="M572" i="1"/>
  <c r="M454" i="1"/>
  <c r="M635" i="1"/>
  <c r="K635" i="1"/>
  <c r="M630" i="1"/>
  <c r="K591" i="1"/>
  <c r="K564" i="1"/>
  <c r="K573" i="1"/>
  <c r="M390" i="1"/>
  <c r="O912" i="1"/>
  <c r="O913" i="1"/>
  <c r="K106" i="1"/>
  <c r="K105" i="1" s="1"/>
  <c r="M106" i="1"/>
  <c r="M105" i="1" s="1"/>
  <c r="K524" i="1"/>
  <c r="M524" i="1"/>
  <c r="M913" i="1" l="1"/>
  <c r="K338" i="1"/>
  <c r="M629" i="1"/>
  <c r="M597" i="1"/>
  <c r="M482" i="1"/>
  <c r="K674" i="1"/>
  <c r="K629" i="1"/>
  <c r="K705" i="1"/>
  <c r="M420" i="1"/>
  <c r="K420" i="1"/>
  <c r="M563" i="1"/>
  <c r="M737" i="1"/>
  <c r="M634" i="1"/>
  <c r="K572" i="1"/>
  <c r="K563" i="1"/>
  <c r="M590" i="1"/>
  <c r="K597" i="1"/>
  <c r="K590" i="1"/>
  <c r="K758" i="1"/>
  <c r="K634" i="1"/>
  <c r="M758" i="1"/>
  <c r="M742" i="1"/>
  <c r="M674" i="1"/>
  <c r="K482" i="1"/>
  <c r="K523" i="1"/>
  <c r="M523" i="1"/>
  <c r="O911" i="1"/>
  <c r="O910" i="1" s="1"/>
  <c r="H1105" i="23"/>
  <c r="H1103" i="23"/>
  <c r="H1100" i="23"/>
  <c r="G1105" i="23"/>
  <c r="G1103" i="23"/>
  <c r="G1100" i="23"/>
  <c r="H1065" i="23"/>
  <c r="G1065" i="23"/>
  <c r="H1061" i="23"/>
  <c r="G1061" i="23"/>
  <c r="H1058" i="23"/>
  <c r="G1058" i="23"/>
  <c r="H1056" i="23"/>
  <c r="G1056" i="23"/>
  <c r="H1014" i="23"/>
  <c r="H1012" i="23"/>
  <c r="H1009" i="23"/>
  <c r="G1014" i="23"/>
  <c r="G1012" i="23"/>
  <c r="G1009" i="23"/>
  <c r="H953" i="23"/>
  <c r="H951" i="23"/>
  <c r="H945" i="23"/>
  <c r="H941" i="23"/>
  <c r="H937" i="23"/>
  <c r="H933" i="23"/>
  <c r="H930" i="23"/>
  <c r="H929" i="23" s="1"/>
  <c r="G953" i="23"/>
  <c r="G951" i="23"/>
  <c r="G945" i="23"/>
  <c r="G941" i="23"/>
  <c r="G937" i="23"/>
  <c r="G933" i="23"/>
  <c r="G930" i="23"/>
  <c r="G929" i="23" s="1"/>
  <c r="H925" i="23"/>
  <c r="H922" i="23"/>
  <c r="H919" i="23"/>
  <c r="G925" i="23"/>
  <c r="G922" i="23"/>
  <c r="G919" i="23"/>
  <c r="H545" i="23"/>
  <c r="H544" i="23" s="1"/>
  <c r="H542" i="23"/>
  <c r="H540" i="23"/>
  <c r="H539" i="23" s="1"/>
  <c r="H536" i="23"/>
  <c r="H535" i="23" s="1"/>
  <c r="H530" i="23"/>
  <c r="H529" i="23" s="1"/>
  <c r="H527" i="23"/>
  <c r="H524" i="23"/>
  <c r="H516" i="23"/>
  <c r="H512" i="23"/>
  <c r="H510" i="23"/>
  <c r="H505" i="23"/>
  <c r="H502" i="23"/>
  <c r="H500" i="23"/>
  <c r="H497" i="23"/>
  <c r="H495" i="23"/>
  <c r="H490" i="23"/>
  <c r="G545" i="23"/>
  <c r="G544" i="23" s="1"/>
  <c r="G542" i="23"/>
  <c r="G540" i="23"/>
  <c r="G539" i="23" s="1"/>
  <c r="G536" i="23"/>
  <c r="G535" i="23" s="1"/>
  <c r="G530" i="23"/>
  <c r="G529" i="23" s="1"/>
  <c r="G527" i="23"/>
  <c r="G524" i="23"/>
  <c r="G516" i="23"/>
  <c r="G512" i="23"/>
  <c r="G510" i="23"/>
  <c r="G505" i="23"/>
  <c r="G502" i="23"/>
  <c r="G500" i="23"/>
  <c r="G497" i="23"/>
  <c r="G495" i="23"/>
  <c r="G490" i="23"/>
  <c r="H411" i="23"/>
  <c r="H410" i="23" s="1"/>
  <c r="H404" i="23"/>
  <c r="H400" i="23"/>
  <c r="H398" i="23"/>
  <c r="H395" i="23"/>
  <c r="H394" i="23" s="1"/>
  <c r="G411" i="23"/>
  <c r="G410" i="23" s="1"/>
  <c r="G404" i="23"/>
  <c r="G400" i="23"/>
  <c r="G398" i="23"/>
  <c r="G395" i="23"/>
  <c r="G394" i="23" s="1"/>
  <c r="H345" i="23"/>
  <c r="H344" i="23" s="1"/>
  <c r="H341" i="23"/>
  <c r="H340" i="23" s="1"/>
  <c r="H335" i="23"/>
  <c r="H326" i="23"/>
  <c r="H319" i="23"/>
  <c r="H317" i="23"/>
  <c r="H313" i="23"/>
  <c r="H312" i="23" s="1"/>
  <c r="G345" i="23"/>
  <c r="G344" i="23" s="1"/>
  <c r="G341" i="23"/>
  <c r="G340" i="23" s="1"/>
  <c r="G335" i="23"/>
  <c r="G326" i="23"/>
  <c r="G319" i="23"/>
  <c r="G317" i="23"/>
  <c r="G313" i="23"/>
  <c r="G312" i="23" s="1"/>
  <c r="H308" i="23"/>
  <c r="H306" i="23"/>
  <c r="H303" i="23"/>
  <c r="H301" i="23"/>
  <c r="H296" i="23"/>
  <c r="H293" i="23"/>
  <c r="H292" i="23" s="1"/>
  <c r="H290" i="23"/>
  <c r="H287" i="23"/>
  <c r="H285" i="23"/>
  <c r="H276" i="23"/>
  <c r="H270" i="23"/>
  <c r="H267" i="23"/>
  <c r="G308" i="23"/>
  <c r="G306" i="23"/>
  <c r="G303" i="23"/>
  <c r="G301" i="23"/>
  <c r="G296" i="23"/>
  <c r="G293" i="23"/>
  <c r="G292" i="23" s="1"/>
  <c r="G290" i="23"/>
  <c r="G287" i="23"/>
  <c r="G285" i="23"/>
  <c r="G276" i="23"/>
  <c r="G270" i="23"/>
  <c r="G267" i="23"/>
  <c r="G918" i="23" l="1"/>
  <c r="G917" i="23" s="1"/>
  <c r="G916" i="23" s="1"/>
  <c r="H918" i="23"/>
  <c r="H917" i="23" s="1"/>
  <c r="H916" i="23" s="1"/>
  <c r="G305" i="23"/>
  <c r="H305" i="23"/>
  <c r="H316" i="23"/>
  <c r="H311" i="23" s="1"/>
  <c r="H310" i="23" s="1"/>
  <c r="H397" i="23"/>
  <c r="H393" i="23" s="1"/>
  <c r="H392" i="23" s="1"/>
  <c r="G538" i="23"/>
  <c r="G316" i="23"/>
  <c r="G311" i="23" s="1"/>
  <c r="G310" i="23" s="1"/>
  <c r="H494" i="23"/>
  <c r="H489" i="23" s="1"/>
  <c r="H509" i="23"/>
  <c r="H504" i="23" s="1"/>
  <c r="G509" i="23"/>
  <c r="G504" i="23" s="1"/>
  <c r="H538" i="23"/>
  <c r="G295" i="23"/>
  <c r="H295" i="23"/>
  <c r="H266" i="23"/>
  <c r="G397" i="23"/>
  <c r="G393" i="23" s="1"/>
  <c r="G392" i="23" s="1"/>
  <c r="G494" i="23"/>
  <c r="G489" i="23" s="1"/>
  <c r="H936" i="23"/>
  <c r="H928" i="23" s="1"/>
  <c r="H927" i="23" s="1"/>
  <c r="G936" i="23"/>
  <c r="G928" i="23" s="1"/>
  <c r="G927" i="23" s="1"/>
  <c r="H488" i="23" l="1"/>
  <c r="G488" i="23"/>
  <c r="K1424" i="23" l="1"/>
  <c r="I17" i="5" s="1"/>
  <c r="K1287" i="23"/>
  <c r="K1286" i="23" s="1"/>
  <c r="K1265" i="23"/>
  <c r="K1264" i="23" s="1"/>
  <c r="K1260" i="23"/>
  <c r="K1259" i="23" s="1"/>
  <c r="K1256" i="23"/>
  <c r="K1255" i="23" s="1"/>
  <c r="K1253" i="23"/>
  <c r="K1251" i="23"/>
  <c r="K1246" i="23"/>
  <c r="K1245" i="23" s="1"/>
  <c r="K1241" i="23"/>
  <c r="K1240" i="23" s="1"/>
  <c r="K1236" i="23"/>
  <c r="K1235" i="23" s="1"/>
  <c r="K1223" i="23"/>
  <c r="K1221" i="23"/>
  <c r="K1217" i="23"/>
  <c r="K1215" i="23"/>
  <c r="K1213" i="23"/>
  <c r="K1209" i="23"/>
  <c r="K1208" i="23" s="1"/>
  <c r="K1205" i="23"/>
  <c r="K1204" i="23" s="1"/>
  <c r="K1202" i="23"/>
  <c r="K1200" i="23"/>
  <c r="K1196" i="23"/>
  <c r="K1195" i="23" s="1"/>
  <c r="K1145" i="23"/>
  <c r="K1144" i="23" s="1"/>
  <c r="K1142" i="23"/>
  <c r="K1133" i="23" s="1"/>
  <c r="K1126" i="23"/>
  <c r="K1108" i="23" s="1"/>
  <c r="K1105" i="23"/>
  <c r="K1103" i="23"/>
  <c r="K1100" i="23"/>
  <c r="K1095" i="23"/>
  <c r="K1094" i="23"/>
  <c r="K1084" i="23"/>
  <c r="K1083" i="23" s="1"/>
  <c r="K1081" i="23"/>
  <c r="K1080" i="23" s="1"/>
  <c r="K1078" i="23"/>
  <c r="K1060" i="23" s="1"/>
  <c r="K1058" i="23"/>
  <c r="K1056" i="23"/>
  <c r="K1051" i="23"/>
  <c r="K1050" i="23" s="1"/>
  <c r="K1048" i="23"/>
  <c r="K1046" i="23"/>
  <c r="K1038" i="23"/>
  <c r="K1037" i="23" s="1"/>
  <c r="K1035" i="23"/>
  <c r="K1033" i="23"/>
  <c r="K1014" i="23"/>
  <c r="K1012" i="23"/>
  <c r="K1009" i="23"/>
  <c r="K1003" i="23"/>
  <c r="K1002" i="23" s="1"/>
  <c r="K1001" i="23" s="1"/>
  <c r="K1000" i="23" s="1"/>
  <c r="K998" i="23"/>
  <c r="K997" i="23" s="1"/>
  <c r="K995" i="23"/>
  <c r="K991" i="23" s="1"/>
  <c r="K989" i="23"/>
  <c r="K987" i="23"/>
  <c r="K984" i="23"/>
  <c r="K981" i="23"/>
  <c r="K978" i="23"/>
  <c r="K977" i="23" s="1"/>
  <c r="K973" i="23"/>
  <c r="K972" i="23" s="1"/>
  <c r="K969" i="23"/>
  <c r="K966" i="23"/>
  <c r="K964" i="23"/>
  <c r="K961" i="23"/>
  <c r="K958" i="23"/>
  <c r="K957" i="23" s="1"/>
  <c r="K953" i="23"/>
  <c r="K951" i="23"/>
  <c r="K941" i="23"/>
  <c r="K930" i="23"/>
  <c r="K929" i="23" s="1"/>
  <c r="K925" i="23"/>
  <c r="K918" i="23" s="1"/>
  <c r="K870" i="23"/>
  <c r="K869" i="23" s="1"/>
  <c r="K867" i="23"/>
  <c r="K860" i="23"/>
  <c r="K857" i="23"/>
  <c r="K854" i="23"/>
  <c r="K853" i="23" s="1"/>
  <c r="K851" i="23"/>
  <c r="K850" i="23" s="1"/>
  <c r="K845" i="23"/>
  <c r="K835" i="23"/>
  <c r="K829" i="23"/>
  <c r="K824" i="23"/>
  <c r="K819" i="23"/>
  <c r="K815" i="23"/>
  <c r="K810" i="23"/>
  <c r="K809" i="23" s="1"/>
  <c r="K807" i="23"/>
  <c r="K802" i="23"/>
  <c r="K797" i="23"/>
  <c r="K791" i="23"/>
  <c r="K789" i="23"/>
  <c r="K781" i="23"/>
  <c r="K775" i="23"/>
  <c r="K771" i="23"/>
  <c r="K766" i="23"/>
  <c r="K764" i="23"/>
  <c r="K762" i="23"/>
  <c r="K757" i="23"/>
  <c r="K756" i="23" s="1"/>
  <c r="K746" i="23"/>
  <c r="K740" i="23"/>
  <c r="K731" i="23"/>
  <c r="K719" i="23"/>
  <c r="K710" i="23"/>
  <c r="K709" i="23" s="1"/>
  <c r="K705" i="23"/>
  <c r="K704" i="23" s="1"/>
  <c r="K703" i="23" s="1"/>
  <c r="K702" i="23" s="1"/>
  <c r="K700" i="23"/>
  <c r="K699" i="23" s="1"/>
  <c r="K698" i="23" s="1"/>
  <c r="K697" i="23" s="1"/>
  <c r="K688" i="23"/>
  <c r="K687" i="23" s="1"/>
  <c r="K686" i="23" s="1"/>
  <c r="K685" i="23" s="1"/>
  <c r="K681" i="23"/>
  <c r="K677" i="23"/>
  <c r="K671" i="23"/>
  <c r="K669" i="23"/>
  <c r="K663" i="23"/>
  <c r="K658" i="23"/>
  <c r="K654" i="23"/>
  <c r="K648" i="23"/>
  <c r="K647" i="23" s="1"/>
  <c r="K644" i="23"/>
  <c r="K643" i="23" s="1"/>
  <c r="K626" i="23"/>
  <c r="K625" i="23" s="1"/>
  <c r="K620" i="23"/>
  <c r="K619" i="23" s="1"/>
  <c r="K598" i="23"/>
  <c r="K597" i="23" s="1"/>
  <c r="K596" i="23" s="1"/>
  <c r="K595" i="23" s="1"/>
  <c r="K593" i="23"/>
  <c r="K592" i="23" s="1"/>
  <c r="K591" i="23" s="1"/>
  <c r="K590" i="23" s="1"/>
  <c r="K580" i="23"/>
  <c r="K576" i="23"/>
  <c r="K545" i="23"/>
  <c r="K544" i="23" s="1"/>
  <c r="K540" i="23"/>
  <c r="K539" i="23" s="1"/>
  <c r="K536" i="23"/>
  <c r="K535" i="23" s="1"/>
  <c r="K529" i="23"/>
  <c r="K510" i="23"/>
  <c r="K509" i="23" s="1"/>
  <c r="K505" i="23"/>
  <c r="K500" i="23"/>
  <c r="K495" i="23"/>
  <c r="K490" i="23"/>
  <c r="K476" i="23"/>
  <c r="K455" i="23"/>
  <c r="K454" i="23" s="1"/>
  <c r="K448" i="23"/>
  <c r="K447" i="23" s="1"/>
  <c r="K435" i="23"/>
  <c r="K428" i="23"/>
  <c r="K423" i="23"/>
  <c r="K421" i="23"/>
  <c r="K411" i="23"/>
  <c r="K410" i="23" s="1"/>
  <c r="K398" i="23"/>
  <c r="K397" i="23" s="1"/>
  <c r="K395" i="23"/>
  <c r="K394" i="23" s="1"/>
  <c r="K386" i="23"/>
  <c r="K385" i="23" s="1"/>
  <c r="K383" i="23"/>
  <c r="K382" i="23" s="1"/>
  <c r="K380" i="23"/>
  <c r="K377" i="23"/>
  <c r="K375" i="23"/>
  <c r="K373" i="23"/>
  <c r="K344" i="23"/>
  <c r="K341" i="23"/>
  <c r="K340" i="23" s="1"/>
  <c r="K317" i="23"/>
  <c r="K316" i="23" s="1"/>
  <c r="K313" i="23"/>
  <c r="K312" i="23" s="1"/>
  <c r="K234" i="23"/>
  <c r="K233" i="23" s="1"/>
  <c r="K231" i="23"/>
  <c r="K230" i="23" s="1"/>
  <c r="K222" i="23"/>
  <c r="K221" i="23" s="1"/>
  <c r="K219" i="23"/>
  <c r="K217" i="23"/>
  <c r="K198" i="23"/>
  <c r="K197" i="23" s="1"/>
  <c r="K182" i="23"/>
  <c r="K174" i="23"/>
  <c r="K168" i="23"/>
  <c r="K166" i="23"/>
  <c r="K163" i="23"/>
  <c r="K162" i="23" s="1"/>
  <c r="K159" i="23"/>
  <c r="K158" i="23" s="1"/>
  <c r="K151" i="23"/>
  <c r="K150" i="23" s="1"/>
  <c r="K149" i="23" s="1"/>
  <c r="K144" i="23"/>
  <c r="K143" i="23" s="1"/>
  <c r="K139" i="23"/>
  <c r="K138" i="23" s="1"/>
  <c r="K131" i="23"/>
  <c r="K130" i="23" s="1"/>
  <c r="K129" i="23" s="1"/>
  <c r="K128" i="23" s="1"/>
  <c r="K126" i="23"/>
  <c r="K125" i="23" s="1"/>
  <c r="K94" i="23"/>
  <c r="K92" i="23"/>
  <c r="K90" i="23"/>
  <c r="K80" i="23"/>
  <c r="K77" i="23"/>
  <c r="K67" i="23"/>
  <c r="K55" i="23"/>
  <c r="K47" i="23"/>
  <c r="K37" i="23"/>
  <c r="K31" i="23"/>
  <c r="K30" i="23" s="1"/>
  <c r="K21" i="23"/>
  <c r="K20" i="23" s="1"/>
  <c r="K18" i="23"/>
  <c r="K17" i="23" s="1"/>
  <c r="K14" i="23"/>
  <c r="K13" i="23" s="1"/>
  <c r="K12" i="23" s="1"/>
  <c r="K10" i="23"/>
  <c r="K9" i="23" s="1"/>
  <c r="K8" i="23" s="1"/>
  <c r="J1424" i="23"/>
  <c r="H17" i="5" s="1"/>
  <c r="J1287" i="23"/>
  <c r="J1286" i="23" s="1"/>
  <c r="J1265" i="23"/>
  <c r="J1264" i="23" s="1"/>
  <c r="J1260" i="23"/>
  <c r="J1259" i="23" s="1"/>
  <c r="J1256" i="23"/>
  <c r="J1255" i="23" s="1"/>
  <c r="J1253" i="23"/>
  <c r="J1251" i="23"/>
  <c r="J1246" i="23"/>
  <c r="J1245" i="23" s="1"/>
  <c r="J1241" i="23"/>
  <c r="J1240" i="23" s="1"/>
  <c r="J1236" i="23"/>
  <c r="J1235" i="23" s="1"/>
  <c r="J1223" i="23"/>
  <c r="J1221" i="23"/>
  <c r="J1217" i="23"/>
  <c r="J1215" i="23"/>
  <c r="J1213" i="23"/>
  <c r="J1209" i="23"/>
  <c r="J1208" i="23" s="1"/>
  <c r="J1205" i="23"/>
  <c r="J1204" i="23" s="1"/>
  <c r="J1202" i="23"/>
  <c r="J1200" i="23"/>
  <c r="J1196" i="23"/>
  <c r="J1195" i="23" s="1"/>
  <c r="J1145" i="23"/>
  <c r="J1144" i="23" s="1"/>
  <c r="J1142" i="23"/>
  <c r="J1133" i="23" s="1"/>
  <c r="J1126" i="23"/>
  <c r="J1108" i="23" s="1"/>
  <c r="J1105" i="23"/>
  <c r="J1103" i="23"/>
  <c r="J1100" i="23"/>
  <c r="J1095" i="23"/>
  <c r="J1094" i="23"/>
  <c r="J1092" i="23"/>
  <c r="J1084" i="23"/>
  <c r="J1081" i="23"/>
  <c r="J1080" i="23" s="1"/>
  <c r="J1078" i="23"/>
  <c r="J1060" i="23" s="1"/>
  <c r="J1058" i="23"/>
  <c r="J1056" i="23"/>
  <c r="J1051" i="23"/>
  <c r="J1050" i="23" s="1"/>
  <c r="J1048" i="23"/>
  <c r="J1046" i="23"/>
  <c r="J1038" i="23"/>
  <c r="J1037" i="23" s="1"/>
  <c r="J1035" i="23"/>
  <c r="J1033" i="23"/>
  <c r="J1014" i="23"/>
  <c r="J1012" i="23"/>
  <c r="J1009" i="23"/>
  <c r="J1003" i="23"/>
  <c r="J1002" i="23" s="1"/>
  <c r="J1001" i="23" s="1"/>
  <c r="J1000" i="23" s="1"/>
  <c r="J998" i="23"/>
  <c r="J997" i="23" s="1"/>
  <c r="J995" i="23"/>
  <c r="J991" i="23" s="1"/>
  <c r="J989" i="23"/>
  <c r="J987" i="23"/>
  <c r="J984" i="23"/>
  <c r="J981" i="23"/>
  <c r="J978" i="23"/>
  <c r="J977" i="23" s="1"/>
  <c r="J973" i="23"/>
  <c r="J972" i="23" s="1"/>
  <c r="J969" i="23"/>
  <c r="J966" i="23"/>
  <c r="J964" i="23"/>
  <c r="J961" i="23"/>
  <c r="J958" i="23"/>
  <c r="J957" i="23" s="1"/>
  <c r="J953" i="23"/>
  <c r="J951" i="23"/>
  <c r="J941" i="23"/>
  <c r="J930" i="23"/>
  <c r="J929" i="23" s="1"/>
  <c r="J925" i="23"/>
  <c r="J918" i="23" s="1"/>
  <c r="J870" i="23"/>
  <c r="J869" i="23" s="1"/>
  <c r="J867" i="23"/>
  <c r="J860" i="23"/>
  <c r="J857" i="23"/>
  <c r="J854" i="23"/>
  <c r="J853" i="23" s="1"/>
  <c r="J851" i="23"/>
  <c r="J850" i="23" s="1"/>
  <c r="J845" i="23"/>
  <c r="J835" i="23"/>
  <c r="J829" i="23"/>
  <c r="J824" i="23"/>
  <c r="J819" i="23"/>
  <c r="J815" i="23"/>
  <c r="J810" i="23"/>
  <c r="J809" i="23" s="1"/>
  <c r="J807" i="23"/>
  <c r="J802" i="23"/>
  <c r="J797" i="23"/>
  <c r="J791" i="23"/>
  <c r="J789" i="23"/>
  <c r="J781" i="23"/>
  <c r="J775" i="23"/>
  <c r="J771" i="23"/>
  <c r="J766" i="23"/>
  <c r="J764" i="23"/>
  <c r="J762" i="23"/>
  <c r="J757" i="23"/>
  <c r="J756" i="23" s="1"/>
  <c r="J746" i="23"/>
  <c r="J740" i="23"/>
  <c r="J731" i="23"/>
  <c r="J719" i="23"/>
  <c r="J710" i="23"/>
  <c r="J709" i="23" s="1"/>
  <c r="J705" i="23"/>
  <c r="J704" i="23" s="1"/>
  <c r="J703" i="23" s="1"/>
  <c r="J702" i="23" s="1"/>
  <c r="J700" i="23"/>
  <c r="J699" i="23" s="1"/>
  <c r="J698" i="23" s="1"/>
  <c r="J697" i="23" s="1"/>
  <c r="J688" i="23"/>
  <c r="J687" i="23" s="1"/>
  <c r="J686" i="23" s="1"/>
  <c r="J685" i="23" s="1"/>
  <c r="J681" i="23"/>
  <c r="J677" i="23"/>
  <c r="J671" i="23"/>
  <c r="J669" i="23"/>
  <c r="J663" i="23"/>
  <c r="J658" i="23"/>
  <c r="J654" i="23"/>
  <c r="J648" i="23"/>
  <c r="J647" i="23" s="1"/>
  <c r="J644" i="23"/>
  <c r="J643" i="23" s="1"/>
  <c r="J626" i="23"/>
  <c r="J625" i="23" s="1"/>
  <c r="J620" i="23"/>
  <c r="J619" i="23" s="1"/>
  <c r="J598" i="23"/>
  <c r="J597" i="23" s="1"/>
  <c r="J596" i="23" s="1"/>
  <c r="J595" i="23" s="1"/>
  <c r="J593" i="23"/>
  <c r="J592" i="23" s="1"/>
  <c r="J591" i="23" s="1"/>
  <c r="J590" i="23" s="1"/>
  <c r="J580" i="23"/>
  <c r="J576" i="23"/>
  <c r="J545" i="23"/>
  <c r="J544" i="23" s="1"/>
  <c r="J540" i="23"/>
  <c r="J539" i="23" s="1"/>
  <c r="J536" i="23"/>
  <c r="J535" i="23" s="1"/>
  <c r="J529" i="23"/>
  <c r="J510" i="23"/>
  <c r="J509" i="23" s="1"/>
  <c r="J505" i="23"/>
  <c r="J500" i="23"/>
  <c r="J495" i="23"/>
  <c r="J490" i="23"/>
  <c r="J476" i="23"/>
  <c r="J460" i="23" s="1"/>
  <c r="J455" i="23"/>
  <c r="J454" i="23" s="1"/>
  <c r="J448" i="23"/>
  <c r="J447" i="23" s="1"/>
  <c r="J435" i="23"/>
  <c r="J428" i="23"/>
  <c r="J423" i="23"/>
  <c r="J421" i="23"/>
  <c r="J411" i="23"/>
  <c r="J410" i="23" s="1"/>
  <c r="J398" i="23"/>
  <c r="J397" i="23" s="1"/>
  <c r="J395" i="23"/>
  <c r="J394" i="23" s="1"/>
  <c r="J386" i="23"/>
  <c r="J385" i="23" s="1"/>
  <c r="J383" i="23"/>
  <c r="J382" i="23" s="1"/>
  <c r="J380" i="23"/>
  <c r="J377" i="23"/>
  <c r="J375" i="23"/>
  <c r="J373" i="23"/>
  <c r="J344" i="23"/>
  <c r="J341" i="23"/>
  <c r="J340" i="23" s="1"/>
  <c r="J317" i="23"/>
  <c r="J316" i="23" s="1"/>
  <c r="J313" i="23"/>
  <c r="J312" i="23" s="1"/>
  <c r="J234" i="23"/>
  <c r="J233" i="23" s="1"/>
  <c r="J231" i="23"/>
  <c r="J230" i="23" s="1"/>
  <c r="J222" i="23"/>
  <c r="J221" i="23" s="1"/>
  <c r="J219" i="23"/>
  <c r="J217" i="23"/>
  <c r="J198" i="23"/>
  <c r="J197" i="23" s="1"/>
  <c r="J174" i="23"/>
  <c r="J166" i="23"/>
  <c r="J163" i="23"/>
  <c r="J162" i="23" s="1"/>
  <c r="J159" i="23"/>
  <c r="J158" i="23" s="1"/>
  <c r="J151" i="23"/>
  <c r="J150" i="23" s="1"/>
  <c r="J149" i="23" s="1"/>
  <c r="J144" i="23"/>
  <c r="J143" i="23" s="1"/>
  <c r="J139" i="23"/>
  <c r="J138" i="23" s="1"/>
  <c r="J131" i="23"/>
  <c r="J130" i="23" s="1"/>
  <c r="J129" i="23" s="1"/>
  <c r="J128" i="23" s="1"/>
  <c r="J126" i="23"/>
  <c r="J125" i="23" s="1"/>
  <c r="J94" i="23"/>
  <c r="J92" i="23"/>
  <c r="J90" i="23"/>
  <c r="J80" i="23"/>
  <c r="J77" i="23"/>
  <c r="J67" i="23"/>
  <c r="J55" i="23"/>
  <c r="J47" i="23"/>
  <c r="J37" i="23"/>
  <c r="J31" i="23"/>
  <c r="J30" i="23" s="1"/>
  <c r="J21" i="23"/>
  <c r="J20" i="23" s="1"/>
  <c r="J18" i="23"/>
  <c r="J17" i="23" s="1"/>
  <c r="J14" i="23"/>
  <c r="J13" i="23" s="1"/>
  <c r="J12" i="23" s="1"/>
  <c r="J10" i="23"/>
  <c r="J9" i="23" s="1"/>
  <c r="J8" i="23" s="1"/>
  <c r="I1424" i="23"/>
  <c r="G17" i="5" s="1"/>
  <c r="I1287" i="23"/>
  <c r="I1286" i="23" s="1"/>
  <c r="I1281" i="23"/>
  <c r="I1280" i="23" s="1"/>
  <c r="I1275" i="23"/>
  <c r="I1268" i="23"/>
  <c r="I1265" i="23"/>
  <c r="I1264" i="23" s="1"/>
  <c r="I1260" i="23"/>
  <c r="I1259" i="23" s="1"/>
  <c r="I1256" i="23"/>
  <c r="I1255" i="23" s="1"/>
  <c r="I1253" i="23"/>
  <c r="I1251" i="23"/>
  <c r="I1246" i="23"/>
  <c r="I1245" i="23" s="1"/>
  <c r="I1241" i="23"/>
  <c r="I1240" i="23" s="1"/>
  <c r="I1236" i="23"/>
  <c r="I1235" i="23" s="1"/>
  <c r="I1224" i="23"/>
  <c r="I1223" i="23" s="1"/>
  <c r="I1221" i="23"/>
  <c r="I1217" i="23"/>
  <c r="I1215" i="23"/>
  <c r="I1213" i="23"/>
  <c r="I1209" i="23"/>
  <c r="I1208" i="23" s="1"/>
  <c r="I1205" i="23"/>
  <c r="I1204" i="23" s="1"/>
  <c r="I1202" i="23"/>
  <c r="I1200" i="23"/>
  <c r="I1196" i="23"/>
  <c r="I1195" i="23" s="1"/>
  <c r="I1145" i="23"/>
  <c r="I1144" i="23" s="1"/>
  <c r="I1142" i="23"/>
  <c r="I1139" i="23"/>
  <c r="I1134" i="23"/>
  <c r="I1126" i="23"/>
  <c r="I1119" i="23"/>
  <c r="I1113" i="23"/>
  <c r="I1109" i="23"/>
  <c r="I1105" i="23"/>
  <c r="I1103" i="23"/>
  <c r="I1100" i="23"/>
  <c r="I1095" i="23"/>
  <c r="I1094" i="23"/>
  <c r="I1092" i="23"/>
  <c r="I1086" i="23"/>
  <c r="I1084" i="23"/>
  <c r="I1081" i="23"/>
  <c r="I1080" i="23" s="1"/>
  <c r="I1078" i="23"/>
  <c r="I1069" i="23"/>
  <c r="I1065" i="23"/>
  <c r="I1061" i="23"/>
  <c r="I1058" i="23"/>
  <c r="I1056" i="23"/>
  <c r="I1051" i="23"/>
  <c r="I1050" i="23" s="1"/>
  <c r="I1048" i="23"/>
  <c r="I1046" i="23"/>
  <c r="I1041" i="23"/>
  <c r="I1038" i="23"/>
  <c r="I1037" i="23" s="1"/>
  <c r="I1035" i="23"/>
  <c r="I1033" i="23"/>
  <c r="I1028" i="23"/>
  <c r="I1022" i="23"/>
  <c r="I1018" i="23"/>
  <c r="I1014" i="23"/>
  <c r="I1012" i="23"/>
  <c r="I1009" i="23"/>
  <c r="I1003" i="23"/>
  <c r="I1002" i="23" s="1"/>
  <c r="I1001" i="23" s="1"/>
  <c r="I1000" i="23" s="1"/>
  <c r="I998" i="23"/>
  <c r="I997" i="23" s="1"/>
  <c r="I995" i="23"/>
  <c r="I992" i="23"/>
  <c r="I989" i="23"/>
  <c r="I987" i="23"/>
  <c r="I984" i="23"/>
  <c r="I981" i="23"/>
  <c r="I978" i="23"/>
  <c r="I977" i="23" s="1"/>
  <c r="I973" i="23"/>
  <c r="I972" i="23" s="1"/>
  <c r="I969" i="23"/>
  <c r="I966" i="23"/>
  <c r="I964" i="23"/>
  <c r="I958" i="23"/>
  <c r="I957" i="23" s="1"/>
  <c r="I953" i="23"/>
  <c r="I951" i="23"/>
  <c r="I945" i="23"/>
  <c r="I941" i="23"/>
  <c r="I937" i="23"/>
  <c r="I930" i="23"/>
  <c r="I929" i="23" s="1"/>
  <c r="I925" i="23"/>
  <c r="I922" i="23"/>
  <c r="I919" i="23"/>
  <c r="I870" i="23"/>
  <c r="I869" i="23" s="1"/>
  <c r="I867" i="23"/>
  <c r="I860" i="23"/>
  <c r="I857" i="23"/>
  <c r="I854" i="23"/>
  <c r="I853" i="23" s="1"/>
  <c r="I851" i="23"/>
  <c r="I850" i="23" s="1"/>
  <c r="I845" i="23"/>
  <c r="I835" i="23"/>
  <c r="I829" i="23"/>
  <c r="I824" i="23"/>
  <c r="I819" i="23"/>
  <c r="I815" i="23"/>
  <c r="I810" i="23"/>
  <c r="I809" i="23" s="1"/>
  <c r="I807" i="23"/>
  <c r="I802" i="23"/>
  <c r="I797" i="23"/>
  <c r="I791" i="23"/>
  <c r="I789" i="23"/>
  <c r="I781" i="23"/>
  <c r="I775" i="23"/>
  <c r="I771" i="23"/>
  <c r="I766" i="23"/>
  <c r="I764" i="23"/>
  <c r="I762" i="23"/>
  <c r="I757" i="23"/>
  <c r="I756" i="23" s="1"/>
  <c r="I740" i="23"/>
  <c r="I731" i="23"/>
  <c r="I719" i="23"/>
  <c r="I710" i="23"/>
  <c r="I709" i="23" s="1"/>
  <c r="I705" i="23"/>
  <c r="I704" i="23" s="1"/>
  <c r="I703" i="23" s="1"/>
  <c r="I702" i="23" s="1"/>
  <c r="I700" i="23"/>
  <c r="I699" i="23" s="1"/>
  <c r="I698" i="23" s="1"/>
  <c r="I697" i="23" s="1"/>
  <c r="I688" i="23"/>
  <c r="I687" i="23" s="1"/>
  <c r="I686" i="23" s="1"/>
  <c r="I685" i="23" s="1"/>
  <c r="I681" i="23"/>
  <c r="I677" i="23"/>
  <c r="I671" i="23"/>
  <c r="I669" i="23"/>
  <c r="I663" i="23"/>
  <c r="I658" i="23"/>
  <c r="I654" i="23"/>
  <c r="I648" i="23"/>
  <c r="I647" i="23" s="1"/>
  <c r="I644" i="23"/>
  <c r="I643" i="23" s="1"/>
  <c r="I626" i="23"/>
  <c r="I625" i="23" s="1"/>
  <c r="I620" i="23"/>
  <c r="I619" i="23" s="1"/>
  <c r="I598" i="23"/>
  <c r="I597" i="23" s="1"/>
  <c r="I596" i="23" s="1"/>
  <c r="I595" i="23" s="1"/>
  <c r="I593" i="23"/>
  <c r="I592" i="23" s="1"/>
  <c r="I591" i="23" s="1"/>
  <c r="I590" i="23" s="1"/>
  <c r="I580" i="23"/>
  <c r="I576" i="23"/>
  <c r="I545" i="23"/>
  <c r="I544" i="23" s="1"/>
  <c r="I540" i="23"/>
  <c r="I539" i="23" s="1"/>
  <c r="I536" i="23"/>
  <c r="I535" i="23" s="1"/>
  <c r="I530" i="23"/>
  <c r="I529" i="23" s="1"/>
  <c r="I524" i="23"/>
  <c r="I516" i="23"/>
  <c r="I512" i="23"/>
  <c r="I510" i="23"/>
  <c r="I505" i="23"/>
  <c r="I500" i="23"/>
  <c r="I497" i="23"/>
  <c r="I495" i="23"/>
  <c r="I490" i="23"/>
  <c r="I476" i="23"/>
  <c r="I469" i="23"/>
  <c r="I461" i="23"/>
  <c r="I455" i="23"/>
  <c r="I454" i="23" s="1"/>
  <c r="I448" i="23"/>
  <c r="I447" i="23" s="1"/>
  <c r="I435" i="23"/>
  <c r="I428" i="23"/>
  <c r="I423" i="23"/>
  <c r="I421" i="23"/>
  <c r="I411" i="23"/>
  <c r="I410" i="23" s="1"/>
  <c r="I404" i="23"/>
  <c r="I400" i="23"/>
  <c r="I398" i="23"/>
  <c r="I395" i="23"/>
  <c r="I394" i="23" s="1"/>
  <c r="I386" i="23"/>
  <c r="I385" i="23" s="1"/>
  <c r="I383" i="23"/>
  <c r="I382" i="23" s="1"/>
  <c r="I380" i="23"/>
  <c r="I377" i="23"/>
  <c r="I375" i="23"/>
  <c r="I373" i="23"/>
  <c r="I345" i="23"/>
  <c r="I344" i="23" s="1"/>
  <c r="I341" i="23"/>
  <c r="I340" i="23" s="1"/>
  <c r="I335" i="23"/>
  <c r="I326" i="23"/>
  <c r="I319" i="23"/>
  <c r="I317" i="23"/>
  <c r="I313" i="23"/>
  <c r="I312" i="23" s="1"/>
  <c r="I308" i="23"/>
  <c r="I306" i="23"/>
  <c r="I303" i="23"/>
  <c r="I296" i="23"/>
  <c r="I293" i="23"/>
  <c r="I292" i="23" s="1"/>
  <c r="I290" i="23"/>
  <c r="I287" i="23"/>
  <c r="I285" i="23"/>
  <c r="I276" i="23"/>
  <c r="I244" i="23"/>
  <c r="I242" i="23"/>
  <c r="I237" i="23"/>
  <c r="I234" i="23"/>
  <c r="I233" i="23" s="1"/>
  <c r="I231" i="23"/>
  <c r="I230" i="23" s="1"/>
  <c r="I227" i="23"/>
  <c r="I222" i="23"/>
  <c r="I219" i="23"/>
  <c r="I217" i="23"/>
  <c r="I213" i="23"/>
  <c r="I207" i="23"/>
  <c r="I200" i="23"/>
  <c r="I198" i="23"/>
  <c r="I182" i="23"/>
  <c r="I174" i="23"/>
  <c r="I166" i="23"/>
  <c r="I163" i="23"/>
  <c r="I162" i="23" s="1"/>
  <c r="I159" i="23"/>
  <c r="I158" i="23" s="1"/>
  <c r="I131" i="23"/>
  <c r="I130" i="23" s="1"/>
  <c r="I129" i="23" s="1"/>
  <c r="I128" i="23" s="1"/>
  <c r="I126" i="23"/>
  <c r="I125" i="23" s="1"/>
  <c r="I94" i="23"/>
  <c r="I92" i="23"/>
  <c r="I90" i="23"/>
  <c r="I80" i="23"/>
  <c r="I77" i="23"/>
  <c r="I67" i="23"/>
  <c r="I55" i="23"/>
  <c r="I47" i="23"/>
  <c r="I37" i="23"/>
  <c r="I36" i="23" s="1"/>
  <c r="I31" i="23"/>
  <c r="I30" i="23" s="1"/>
  <c r="I21" i="23"/>
  <c r="I20" i="23" s="1"/>
  <c r="I18" i="23"/>
  <c r="I17" i="23" s="1"/>
  <c r="I14" i="23"/>
  <c r="I13" i="23" s="1"/>
  <c r="I12" i="23" s="1"/>
  <c r="I10" i="23"/>
  <c r="I9" i="23" s="1"/>
  <c r="I8" i="23" s="1"/>
  <c r="H1424" i="23"/>
  <c r="F17" i="5" s="1"/>
  <c r="H1287" i="23"/>
  <c r="H1286" i="23" s="1"/>
  <c r="H1281" i="23"/>
  <c r="H1280" i="23" s="1"/>
  <c r="H1275" i="23"/>
  <c r="H1268" i="23"/>
  <c r="H1265" i="23"/>
  <c r="H1264" i="23" s="1"/>
  <c r="H1260" i="23"/>
  <c r="H1259" i="23" s="1"/>
  <c r="H1256" i="23"/>
  <c r="H1255" i="23" s="1"/>
  <c r="H1253" i="23"/>
  <c r="H1251" i="23"/>
  <c r="H1246" i="23"/>
  <c r="H1245" i="23" s="1"/>
  <c r="H1241" i="23"/>
  <c r="H1240" i="23" s="1"/>
  <c r="H1236" i="23"/>
  <c r="H1235" i="23" s="1"/>
  <c r="H1224" i="23"/>
  <c r="H1223" i="23" s="1"/>
  <c r="H1221" i="23"/>
  <c r="H1217" i="23"/>
  <c r="H1215" i="23"/>
  <c r="H1213" i="23"/>
  <c r="H1209" i="23"/>
  <c r="H1208" i="23" s="1"/>
  <c r="H1205" i="23"/>
  <c r="H1204" i="23" s="1"/>
  <c r="H1202" i="23"/>
  <c r="H1200" i="23"/>
  <c r="H1196" i="23"/>
  <c r="H1195" i="23" s="1"/>
  <c r="H1145" i="23"/>
  <c r="H1144" i="23" s="1"/>
  <c r="H1142" i="23"/>
  <c r="H1139" i="23"/>
  <c r="H1134" i="23"/>
  <c r="H1128" i="23"/>
  <c r="H1126" i="23"/>
  <c r="H1119" i="23"/>
  <c r="H1113" i="23"/>
  <c r="H1109" i="23"/>
  <c r="H1099" i="23"/>
  <c r="H1095" i="23"/>
  <c r="H1094" i="23"/>
  <c r="H1092" i="23"/>
  <c r="H1086" i="23"/>
  <c r="H1084" i="23"/>
  <c r="H1081" i="23"/>
  <c r="H1080" i="23" s="1"/>
  <c r="H1078" i="23"/>
  <c r="H1069" i="23"/>
  <c r="H1055" i="23"/>
  <c r="H1051" i="23"/>
  <c r="H1050" i="23" s="1"/>
  <c r="H1048" i="23"/>
  <c r="H1046" i="23"/>
  <c r="H1041" i="23"/>
  <c r="H1038" i="23"/>
  <c r="H1037" i="23" s="1"/>
  <c r="H1035" i="23"/>
  <c r="H1033" i="23"/>
  <c r="H1028" i="23"/>
  <c r="H1022" i="23"/>
  <c r="H1018" i="23"/>
  <c r="H1008" i="23"/>
  <c r="H1003" i="23"/>
  <c r="H1002" i="23" s="1"/>
  <c r="H1001" i="23" s="1"/>
  <c r="H1000" i="23" s="1"/>
  <c r="H998" i="23"/>
  <c r="H997" i="23" s="1"/>
  <c r="H995" i="23"/>
  <c r="H992" i="23"/>
  <c r="H989" i="23"/>
  <c r="H987" i="23"/>
  <c r="H984" i="23"/>
  <c r="H981" i="23"/>
  <c r="H978" i="23"/>
  <c r="H977" i="23" s="1"/>
  <c r="H973" i="23"/>
  <c r="H972" i="23" s="1"/>
  <c r="H969" i="23"/>
  <c r="H966" i="23"/>
  <c r="H964" i="23"/>
  <c r="H961" i="23"/>
  <c r="H958" i="23"/>
  <c r="H957" i="23" s="1"/>
  <c r="H870" i="23"/>
  <c r="H869" i="23" s="1"/>
  <c r="H867" i="23"/>
  <c r="H860" i="23"/>
  <c r="H857" i="23"/>
  <c r="H854" i="23"/>
  <c r="H853" i="23" s="1"/>
  <c r="H851" i="23"/>
  <c r="H850" i="23" s="1"/>
  <c r="H845" i="23"/>
  <c r="H835" i="23"/>
  <c r="H829" i="23"/>
  <c r="H824" i="23"/>
  <c r="H819" i="23"/>
  <c r="H815" i="23"/>
  <c r="H810" i="23"/>
  <c r="H809" i="23" s="1"/>
  <c r="H807" i="23"/>
  <c r="H802" i="23"/>
  <c r="H797" i="23"/>
  <c r="H791" i="23"/>
  <c r="H789" i="23"/>
  <c r="H781" i="23"/>
  <c r="H775" i="23"/>
  <c r="H771" i="23"/>
  <c r="H766" i="23"/>
  <c r="H764" i="23"/>
  <c r="H762" i="23"/>
  <c r="H757" i="23"/>
  <c r="H756" i="23" s="1"/>
  <c r="H746" i="23"/>
  <c r="H740" i="23"/>
  <c r="H731" i="23"/>
  <c r="H719" i="23"/>
  <c r="H710" i="23"/>
  <c r="H709" i="23" s="1"/>
  <c r="H705" i="23"/>
  <c r="H704" i="23" s="1"/>
  <c r="H703" i="23" s="1"/>
  <c r="H702" i="23" s="1"/>
  <c r="H700" i="23"/>
  <c r="H699" i="23" s="1"/>
  <c r="H698" i="23" s="1"/>
  <c r="H697" i="23" s="1"/>
  <c r="H688" i="23"/>
  <c r="H687" i="23" s="1"/>
  <c r="H686" i="23" s="1"/>
  <c r="H685" i="23" s="1"/>
  <c r="H681" i="23"/>
  <c r="H677" i="23"/>
  <c r="H671" i="23"/>
  <c r="H669" i="23"/>
  <c r="H663" i="23"/>
  <c r="H658" i="23"/>
  <c r="H654" i="23"/>
  <c r="H648" i="23"/>
  <c r="H647" i="23" s="1"/>
  <c r="H644" i="23"/>
  <c r="H643" i="23" s="1"/>
  <c r="H626" i="23"/>
  <c r="H625" i="23" s="1"/>
  <c r="H620" i="23"/>
  <c r="H619" i="23" s="1"/>
  <c r="H598" i="23"/>
  <c r="H597" i="23" s="1"/>
  <c r="H596" i="23" s="1"/>
  <c r="H595" i="23" s="1"/>
  <c r="H593" i="23"/>
  <c r="H592" i="23" s="1"/>
  <c r="H591" i="23" s="1"/>
  <c r="H590" i="23" s="1"/>
  <c r="H580" i="23"/>
  <c r="H576" i="23"/>
  <c r="H476" i="23"/>
  <c r="H469" i="23"/>
  <c r="H461" i="23"/>
  <c r="H455" i="23"/>
  <c r="H454" i="23" s="1"/>
  <c r="H448" i="23"/>
  <c r="H447" i="23" s="1"/>
  <c r="H435" i="23"/>
  <c r="H428" i="23"/>
  <c r="H423" i="23"/>
  <c r="H421" i="23"/>
  <c r="H386" i="23"/>
  <c r="H385" i="23" s="1"/>
  <c r="H383" i="23"/>
  <c r="H382" i="23" s="1"/>
  <c r="H380" i="23"/>
  <c r="H377" i="23"/>
  <c r="H375" i="23"/>
  <c r="H373" i="23"/>
  <c r="H244" i="23"/>
  <c r="H242" i="23"/>
  <c r="H237" i="23"/>
  <c r="H234" i="23"/>
  <c r="H233" i="23" s="1"/>
  <c r="H231" i="23"/>
  <c r="H230" i="23" s="1"/>
  <c r="H227" i="23"/>
  <c r="H222" i="23"/>
  <c r="H219" i="23"/>
  <c r="H217" i="23"/>
  <c r="H213" i="23"/>
  <c r="H207" i="23"/>
  <c r="H200" i="23"/>
  <c r="H198" i="23"/>
  <c r="H182" i="23"/>
  <c r="H174" i="23"/>
  <c r="H166" i="23"/>
  <c r="H163" i="23"/>
  <c r="H162" i="23" s="1"/>
  <c r="H159" i="23"/>
  <c r="H158" i="23" s="1"/>
  <c r="H151" i="23"/>
  <c r="H150" i="23" s="1"/>
  <c r="H149" i="23" s="1"/>
  <c r="H144" i="23"/>
  <c r="H143" i="23" s="1"/>
  <c r="H139" i="23"/>
  <c r="H138" i="23" s="1"/>
  <c r="H131" i="23"/>
  <c r="H130" i="23" s="1"/>
  <c r="H129" i="23" s="1"/>
  <c r="H128" i="23" s="1"/>
  <c r="H126" i="23"/>
  <c r="H125" i="23" s="1"/>
  <c r="H94" i="23"/>
  <c r="H92" i="23"/>
  <c r="H90" i="23"/>
  <c r="H80" i="23"/>
  <c r="H77" i="23"/>
  <c r="H67" i="23"/>
  <c r="H55" i="23"/>
  <c r="H47" i="23"/>
  <c r="H37" i="23"/>
  <c r="H36" i="23" s="1"/>
  <c r="H31" i="23"/>
  <c r="H30" i="23" s="1"/>
  <c r="H21" i="23"/>
  <c r="H20" i="23" s="1"/>
  <c r="H18" i="23"/>
  <c r="H17" i="23" s="1"/>
  <c r="H14" i="23"/>
  <c r="H13" i="23" s="1"/>
  <c r="H12" i="23" s="1"/>
  <c r="H10" i="23"/>
  <c r="H9" i="23" s="1"/>
  <c r="H8" i="23" s="1"/>
  <c r="G1424" i="23"/>
  <c r="E17" i="5" s="1"/>
  <c r="G1287" i="23"/>
  <c r="G1286" i="23" s="1"/>
  <c r="G1281" i="23"/>
  <c r="G1280" i="23" s="1"/>
  <c r="G1275" i="23"/>
  <c r="G1268" i="23"/>
  <c r="G1265" i="23"/>
  <c r="G1264" i="23" s="1"/>
  <c r="G1260" i="23"/>
  <c r="G1259" i="23" s="1"/>
  <c r="G1256" i="23"/>
  <c r="G1255" i="23" s="1"/>
  <c r="G1253" i="23"/>
  <c r="G1251" i="23"/>
  <c r="G1246" i="23"/>
  <c r="G1245" i="23" s="1"/>
  <c r="G1241" i="23"/>
  <c r="G1240" i="23" s="1"/>
  <c r="G1236" i="23"/>
  <c r="G1235" i="23" s="1"/>
  <c r="G1224" i="23"/>
  <c r="G1223" i="23" s="1"/>
  <c r="G1221" i="23"/>
  <c r="G1217" i="23"/>
  <c r="G1215" i="23"/>
  <c r="G1213" i="23"/>
  <c r="G1209" i="23"/>
  <c r="G1208" i="23" s="1"/>
  <c r="G1205" i="23"/>
  <c r="G1204" i="23" s="1"/>
  <c r="G1202" i="23"/>
  <c r="G1200" i="23"/>
  <c r="G1196" i="23"/>
  <c r="G1195" i="23" s="1"/>
  <c r="G1145" i="23"/>
  <c r="G1144" i="23" s="1"/>
  <c r="G1142" i="23"/>
  <c r="G1139" i="23"/>
  <c r="G1134" i="23"/>
  <c r="G1128" i="23"/>
  <c r="G1126" i="23"/>
  <c r="G1119" i="23"/>
  <c r="G1113" i="23"/>
  <c r="G1109" i="23"/>
  <c r="G1099" i="23"/>
  <c r="G1095" i="23"/>
  <c r="G1094" i="23"/>
  <c r="G1092" i="23"/>
  <c r="G1086" i="23"/>
  <c r="G1084" i="23"/>
  <c r="G1081" i="23"/>
  <c r="G1080" i="23" s="1"/>
  <c r="G1078" i="23"/>
  <c r="G1069" i="23"/>
  <c r="G1055" i="23"/>
  <c r="G1051" i="23"/>
  <c r="G1050" i="23" s="1"/>
  <c r="G1048" i="23"/>
  <c r="G1046" i="23"/>
  <c r="G1041" i="23"/>
  <c r="G1038" i="23"/>
  <c r="G1037" i="23" s="1"/>
  <c r="G1035" i="23"/>
  <c r="G1033" i="23"/>
  <c r="G1028" i="23"/>
  <c r="G1022" i="23"/>
  <c r="G1018" i="23"/>
  <c r="G1008" i="23"/>
  <c r="G1003" i="23"/>
  <c r="G1002" i="23" s="1"/>
  <c r="G1001" i="23" s="1"/>
  <c r="G1000" i="23" s="1"/>
  <c r="G998" i="23"/>
  <c r="G997" i="23" s="1"/>
  <c r="G995" i="23"/>
  <c r="G992" i="23"/>
  <c r="G989" i="23"/>
  <c r="G987" i="23"/>
  <c r="G984" i="23"/>
  <c r="G981" i="23"/>
  <c r="G978" i="23"/>
  <c r="G977" i="23" s="1"/>
  <c r="G973" i="23"/>
  <c r="G972" i="23" s="1"/>
  <c r="G969" i="23"/>
  <c r="G966" i="23"/>
  <c r="G964" i="23"/>
  <c r="G961" i="23"/>
  <c r="G958" i="23"/>
  <c r="G957" i="23" s="1"/>
  <c r="G870" i="23"/>
  <c r="G869" i="23" s="1"/>
  <c r="G867" i="23"/>
  <c r="G860" i="23"/>
  <c r="G857" i="23"/>
  <c r="G854" i="23"/>
  <c r="G853" i="23" s="1"/>
  <c r="G851" i="23"/>
  <c r="G850" i="23" s="1"/>
  <c r="G845" i="23"/>
  <c r="G835" i="23"/>
  <c r="G829" i="23"/>
  <c r="G824" i="23"/>
  <c r="G819" i="23"/>
  <c r="G815" i="23"/>
  <c r="G810" i="23"/>
  <c r="G809" i="23" s="1"/>
  <c r="G807" i="23"/>
  <c r="G802" i="23"/>
  <c r="G797" i="23"/>
  <c r="G791" i="23"/>
  <c r="G789" i="23"/>
  <c r="G781" i="23"/>
  <c r="G775" i="23"/>
  <c r="G771" i="23"/>
  <c r="G766" i="23"/>
  <c r="G764" i="23"/>
  <c r="G762" i="23"/>
  <c r="G757" i="23"/>
  <c r="G756" i="23" s="1"/>
  <c r="G746" i="23"/>
  <c r="G740" i="23"/>
  <c r="G731" i="23"/>
  <c r="G719" i="23"/>
  <c r="G710" i="23"/>
  <c r="G709" i="23" s="1"/>
  <c r="G705" i="23"/>
  <c r="G704" i="23" s="1"/>
  <c r="G703" i="23" s="1"/>
  <c r="G702" i="23" s="1"/>
  <c r="G700" i="23"/>
  <c r="G699" i="23" s="1"/>
  <c r="G698" i="23" s="1"/>
  <c r="G697" i="23" s="1"/>
  <c r="G688" i="23"/>
  <c r="G687" i="23" s="1"/>
  <c r="G686" i="23" s="1"/>
  <c r="G685" i="23" s="1"/>
  <c r="G681" i="23"/>
  <c r="G677" i="23"/>
  <c r="G671" i="23"/>
  <c r="G669" i="23"/>
  <c r="G663" i="23"/>
  <c r="G658" i="23"/>
  <c r="G654" i="23"/>
  <c r="G648" i="23"/>
  <c r="G647" i="23" s="1"/>
  <c r="G644" i="23"/>
  <c r="G643" i="23" s="1"/>
  <c r="G626" i="23"/>
  <c r="G625" i="23" s="1"/>
  <c r="G620" i="23"/>
  <c r="G619" i="23" s="1"/>
  <c r="G598" i="23"/>
  <c r="G597" i="23" s="1"/>
  <c r="G596" i="23" s="1"/>
  <c r="G595" i="23" s="1"/>
  <c r="G593" i="23"/>
  <c r="G592" i="23" s="1"/>
  <c r="G591" i="23" s="1"/>
  <c r="G590" i="23" s="1"/>
  <c r="G580" i="23"/>
  <c r="G576" i="23"/>
  <c r="G476" i="23"/>
  <c r="G469" i="23"/>
  <c r="G461" i="23"/>
  <c r="G455" i="23"/>
  <c r="G454" i="23" s="1"/>
  <c r="G448" i="23"/>
  <c r="G447" i="23" s="1"/>
  <c r="G435" i="23"/>
  <c r="G428" i="23"/>
  <c r="G423" i="23"/>
  <c r="G421" i="23"/>
  <c r="G386" i="23"/>
  <c r="G385" i="23" s="1"/>
  <c r="G383" i="23"/>
  <c r="G382" i="23" s="1"/>
  <c r="G380" i="23"/>
  <c r="G377" i="23"/>
  <c r="G375" i="23"/>
  <c r="G373" i="23"/>
  <c r="G266" i="23"/>
  <c r="G244" i="23"/>
  <c r="G242" i="23"/>
  <c r="G237" i="23"/>
  <c r="G234" i="23"/>
  <c r="G233" i="23" s="1"/>
  <c r="G231" i="23"/>
  <c r="G230" i="23" s="1"/>
  <c r="G227" i="23"/>
  <c r="G222" i="23"/>
  <c r="G219" i="23"/>
  <c r="G217" i="23"/>
  <c r="G213" i="23"/>
  <c r="G207" i="23"/>
  <c r="G200" i="23"/>
  <c r="G198" i="23"/>
  <c r="G182" i="23"/>
  <c r="G174" i="23"/>
  <c r="G166" i="23"/>
  <c r="G163" i="23"/>
  <c r="G162" i="23" s="1"/>
  <c r="G159" i="23"/>
  <c r="G158" i="23" s="1"/>
  <c r="G151" i="23"/>
  <c r="G150" i="23" s="1"/>
  <c r="G149" i="23" s="1"/>
  <c r="G144" i="23"/>
  <c r="G143" i="23" s="1"/>
  <c r="G139" i="23"/>
  <c r="G138" i="23" s="1"/>
  <c r="G131" i="23"/>
  <c r="G130" i="23" s="1"/>
  <c r="G129" i="23" s="1"/>
  <c r="G126" i="23"/>
  <c r="G125" i="23" s="1"/>
  <c r="G94" i="23"/>
  <c r="G92" i="23"/>
  <c r="G90" i="23"/>
  <c r="G80" i="23"/>
  <c r="G77" i="23"/>
  <c r="G67" i="23"/>
  <c r="G55" i="23"/>
  <c r="G47" i="23"/>
  <c r="G37" i="23"/>
  <c r="G36" i="23" s="1"/>
  <c r="G31" i="23"/>
  <c r="G30" i="23" s="1"/>
  <c r="G21" i="23"/>
  <c r="G20" i="23" s="1"/>
  <c r="G18" i="23"/>
  <c r="G17" i="23" s="1"/>
  <c r="G14" i="23"/>
  <c r="G13" i="23" s="1"/>
  <c r="G12" i="23" s="1"/>
  <c r="G10" i="23"/>
  <c r="G9" i="23" s="1"/>
  <c r="G8" i="23" s="1"/>
  <c r="E1424" i="23"/>
  <c r="F607" i="23"/>
  <c r="F605" i="23" s="1"/>
  <c r="F604" i="23" s="1"/>
  <c r="F600" i="23" s="1"/>
  <c r="F1288" i="23"/>
  <c r="F1287" i="23" s="1"/>
  <c r="F1286" i="23" s="1"/>
  <c r="E1287" i="23"/>
  <c r="E1286" i="23" s="1"/>
  <c r="D1287" i="23"/>
  <c r="D1286" i="23" s="1"/>
  <c r="C1287" i="23"/>
  <c r="C1286" i="23" s="1"/>
  <c r="F1283" i="23"/>
  <c r="F1282" i="23"/>
  <c r="E1281" i="23"/>
  <c r="E1280" i="23" s="1"/>
  <c r="D1281" i="23"/>
  <c r="D1280" i="23" s="1"/>
  <c r="C1281" i="23"/>
  <c r="C1280" i="23" s="1"/>
  <c r="F1277" i="23"/>
  <c r="F1276" i="23"/>
  <c r="E1275" i="23"/>
  <c r="F1275" i="23" s="1"/>
  <c r="F1273" i="23"/>
  <c r="F1272" i="23"/>
  <c r="E1271" i="23"/>
  <c r="F1271" i="23" s="1"/>
  <c r="F1270" i="23"/>
  <c r="F1269" i="23"/>
  <c r="E1268" i="23"/>
  <c r="F1266" i="23"/>
  <c r="F1265" i="23" s="1"/>
  <c r="F1264" i="23" s="1"/>
  <c r="C1265" i="23"/>
  <c r="C1264" i="23" s="1"/>
  <c r="F1261" i="23"/>
  <c r="E1260" i="23"/>
  <c r="E1259" i="23" s="1"/>
  <c r="D1260" i="23"/>
  <c r="D1259" i="23" s="1"/>
  <c r="C1260" i="23"/>
  <c r="F1258" i="23"/>
  <c r="F1257" i="23"/>
  <c r="E1256" i="23"/>
  <c r="E1255" i="23" s="1"/>
  <c r="D1256" i="23"/>
  <c r="C1256" i="23"/>
  <c r="C1255" i="23" s="1"/>
  <c r="E1253" i="23"/>
  <c r="D1253" i="23"/>
  <c r="C1253" i="23"/>
  <c r="F1251" i="23"/>
  <c r="E1251" i="23"/>
  <c r="D1251" i="23"/>
  <c r="C1251" i="23"/>
  <c r="F1247" i="23"/>
  <c r="F1246" i="23" s="1"/>
  <c r="F1245" i="23" s="1"/>
  <c r="E1246" i="23"/>
  <c r="E1245" i="23" s="1"/>
  <c r="D1246" i="23"/>
  <c r="D1245" i="23" s="1"/>
  <c r="C1246" i="23"/>
  <c r="C1245" i="23" s="1"/>
  <c r="F1242" i="23"/>
  <c r="F1241" i="23" s="1"/>
  <c r="F1240" i="23" s="1"/>
  <c r="E1241" i="23"/>
  <c r="E1240" i="23" s="1"/>
  <c r="D1241" i="23"/>
  <c r="D1240" i="23" s="1"/>
  <c r="C1241" i="23"/>
  <c r="C1240" i="23" s="1"/>
  <c r="F1239" i="23"/>
  <c r="F1238" i="23"/>
  <c r="F1237" i="23"/>
  <c r="E1236" i="23"/>
  <c r="E1235" i="23" s="1"/>
  <c r="D1236" i="23"/>
  <c r="D1235" i="23" s="1"/>
  <c r="C1236" i="23"/>
  <c r="C1235" i="23" s="1"/>
  <c r="D1229" i="23"/>
  <c r="C1229" i="23"/>
  <c r="F1226" i="23"/>
  <c r="F1225" i="23"/>
  <c r="E1224" i="23"/>
  <c r="E1223" i="23" s="1"/>
  <c r="D1224" i="23"/>
  <c r="D1223" i="23" s="1"/>
  <c r="C1224" i="23"/>
  <c r="C1223" i="23" s="1"/>
  <c r="F1221" i="23"/>
  <c r="E1221" i="23"/>
  <c r="D1221" i="23"/>
  <c r="C1221" i="23"/>
  <c r="F1218" i="23"/>
  <c r="F1217" i="23" s="1"/>
  <c r="E1217" i="23"/>
  <c r="D1217" i="23"/>
  <c r="C1217" i="23"/>
  <c r="D1215" i="23"/>
  <c r="C1215" i="23"/>
  <c r="E1215" i="23"/>
  <c r="F1214" i="23"/>
  <c r="F1213" i="23" s="1"/>
  <c r="E1213" i="23"/>
  <c r="D1213" i="23"/>
  <c r="E1209" i="23"/>
  <c r="E1208" i="23" s="1"/>
  <c r="D1209" i="23"/>
  <c r="D1208" i="23" s="1"/>
  <c r="F1206" i="23"/>
  <c r="F1205" i="23" s="1"/>
  <c r="F1204" i="23" s="1"/>
  <c r="E1205" i="23"/>
  <c r="E1204" i="23" s="1"/>
  <c r="D1205" i="23"/>
  <c r="D1204" i="23" s="1"/>
  <c r="F1203" i="23"/>
  <c r="F1202" i="23" s="1"/>
  <c r="E1202" i="23"/>
  <c r="D1202" i="23"/>
  <c r="C1202" i="23"/>
  <c r="F1201" i="23"/>
  <c r="F1200" i="23" s="1"/>
  <c r="E1200" i="23"/>
  <c r="D1200" i="23"/>
  <c r="C1200" i="23"/>
  <c r="F1198" i="23"/>
  <c r="F1197" i="23"/>
  <c r="E1196" i="23"/>
  <c r="E1195" i="23" s="1"/>
  <c r="D1196" i="23"/>
  <c r="D1195" i="23" s="1"/>
  <c r="C1196" i="23"/>
  <c r="C1195" i="23" s="1"/>
  <c r="F1146" i="23"/>
  <c r="F1145" i="23" s="1"/>
  <c r="F1144" i="23" s="1"/>
  <c r="E1145" i="23"/>
  <c r="E1144" i="23" s="1"/>
  <c r="D1145" i="23"/>
  <c r="D1144" i="23" s="1"/>
  <c r="C1145" i="23"/>
  <c r="C1144" i="23" s="1"/>
  <c r="F1143" i="23"/>
  <c r="F1142" i="23" s="1"/>
  <c r="E1142" i="23"/>
  <c r="D1142" i="23"/>
  <c r="C1142" i="23"/>
  <c r="F1141" i="23"/>
  <c r="F1140" i="23"/>
  <c r="E1139" i="23"/>
  <c r="D1139" i="23"/>
  <c r="C1139" i="23"/>
  <c r="F1138" i="23"/>
  <c r="F1137" i="23"/>
  <c r="F1136" i="23"/>
  <c r="F1135" i="23"/>
  <c r="E1134" i="23"/>
  <c r="D1134" i="23"/>
  <c r="C1134" i="23"/>
  <c r="F1129" i="23"/>
  <c r="F1128" i="23" s="1"/>
  <c r="F1127" i="23"/>
  <c r="F1126" i="23" s="1"/>
  <c r="E1126" i="23"/>
  <c r="D1126" i="23"/>
  <c r="C1126" i="23"/>
  <c r="F1125" i="23"/>
  <c r="F1124" i="23"/>
  <c r="F1123" i="23"/>
  <c r="F1122" i="23"/>
  <c r="F1121" i="23"/>
  <c r="F1120" i="23"/>
  <c r="E1119" i="23"/>
  <c r="D1119" i="23"/>
  <c r="C1119" i="23"/>
  <c r="F1118" i="23"/>
  <c r="F1117" i="23"/>
  <c r="F1116" i="23"/>
  <c r="F1115" i="23"/>
  <c r="F1114" i="23"/>
  <c r="E1113" i="23"/>
  <c r="D1113" i="23"/>
  <c r="C1113" i="23"/>
  <c r="F1112" i="23"/>
  <c r="F1111" i="23"/>
  <c r="F1110" i="23"/>
  <c r="E1109" i="23"/>
  <c r="D1109" i="23"/>
  <c r="C1109" i="23"/>
  <c r="F1107" i="23"/>
  <c r="F1106" i="23"/>
  <c r="E1105" i="23"/>
  <c r="D1105" i="23"/>
  <c r="C1105" i="23"/>
  <c r="F1104" i="23"/>
  <c r="F1103" i="23" s="1"/>
  <c r="E1103" i="23"/>
  <c r="D1103" i="23"/>
  <c r="C1103" i="23"/>
  <c r="F1102" i="23"/>
  <c r="F1101" i="23"/>
  <c r="E1100" i="23"/>
  <c r="D1100" i="23"/>
  <c r="C1100" i="23"/>
  <c r="F1096" i="23"/>
  <c r="F1095" i="23" s="1"/>
  <c r="E1095" i="23"/>
  <c r="D1095" i="23"/>
  <c r="C1095" i="23"/>
  <c r="E1094" i="23"/>
  <c r="D1094" i="23"/>
  <c r="C1094" i="23"/>
  <c r="F1093" i="23"/>
  <c r="F1092" i="23" s="1"/>
  <c r="E1092" i="23"/>
  <c r="D1092" i="23"/>
  <c r="C1092" i="23"/>
  <c r="F1091" i="23"/>
  <c r="F1090" i="23"/>
  <c r="F1089" i="23"/>
  <c r="F1088" i="23"/>
  <c r="F1087" i="23"/>
  <c r="E1086" i="23"/>
  <c r="D1086" i="23"/>
  <c r="C1086" i="23"/>
  <c r="F1085" i="23"/>
  <c r="F1084" i="23" s="1"/>
  <c r="E1084" i="23"/>
  <c r="D1084" i="23"/>
  <c r="C1084" i="23"/>
  <c r="F1082" i="23"/>
  <c r="F1081" i="23" s="1"/>
  <c r="F1080" i="23" s="1"/>
  <c r="E1081" i="23"/>
  <c r="E1080" i="23" s="1"/>
  <c r="D1081" i="23"/>
  <c r="D1080" i="23" s="1"/>
  <c r="C1081" i="23"/>
  <c r="C1080" i="23" s="1"/>
  <c r="F1079" i="23"/>
  <c r="F1078" i="23" s="1"/>
  <c r="E1078" i="23"/>
  <c r="D1078" i="23"/>
  <c r="C1078" i="23"/>
  <c r="F1077" i="23"/>
  <c r="F1076" i="23"/>
  <c r="F1075" i="23"/>
  <c r="F1074" i="23"/>
  <c r="F1073" i="23"/>
  <c r="F1072" i="23"/>
  <c r="F1071" i="23"/>
  <c r="F1070" i="23"/>
  <c r="E1069" i="23"/>
  <c r="D1069" i="23"/>
  <c r="C1069" i="23"/>
  <c r="F1068" i="23"/>
  <c r="F1067" i="23"/>
  <c r="F1066" i="23"/>
  <c r="E1065" i="23"/>
  <c r="D1065" i="23"/>
  <c r="C1065" i="23"/>
  <c r="F1064" i="23"/>
  <c r="F1063" i="23"/>
  <c r="F1062" i="23"/>
  <c r="E1061" i="23"/>
  <c r="D1061" i="23"/>
  <c r="C1061" i="23"/>
  <c r="F1059" i="23"/>
  <c r="F1058" i="23" s="1"/>
  <c r="E1058" i="23"/>
  <c r="D1058" i="23"/>
  <c r="C1058" i="23"/>
  <c r="F1057" i="23"/>
  <c r="F1056" i="23" s="1"/>
  <c r="E1056" i="23"/>
  <c r="D1056" i="23"/>
  <c r="C1056" i="23"/>
  <c r="F1052" i="23"/>
  <c r="F1051" i="23" s="1"/>
  <c r="F1050" i="23" s="1"/>
  <c r="E1051" i="23"/>
  <c r="E1050" i="23" s="1"/>
  <c r="D1051" i="23"/>
  <c r="D1050" i="23" s="1"/>
  <c r="C1051" i="23"/>
  <c r="C1050" i="23" s="1"/>
  <c r="F1049" i="23"/>
  <c r="F1048" i="23" s="1"/>
  <c r="E1048" i="23"/>
  <c r="D1048" i="23"/>
  <c r="C1048" i="23"/>
  <c r="F1047" i="23"/>
  <c r="F1046" i="23" s="1"/>
  <c r="E1046" i="23"/>
  <c r="D1046" i="23"/>
  <c r="C1046" i="23"/>
  <c r="F1045" i="23"/>
  <c r="F1044" i="23"/>
  <c r="F1043" i="23"/>
  <c r="F1042" i="23"/>
  <c r="E1041" i="23"/>
  <c r="D1041" i="23"/>
  <c r="C1041" i="23"/>
  <c r="F1039" i="23"/>
  <c r="F1038" i="23" s="1"/>
  <c r="F1037" i="23" s="1"/>
  <c r="E1038" i="23"/>
  <c r="E1037" i="23" s="1"/>
  <c r="D1038" i="23"/>
  <c r="D1037" i="23" s="1"/>
  <c r="C1038" i="23"/>
  <c r="C1037" i="23" s="1"/>
  <c r="F1036" i="23"/>
  <c r="F1035" i="23" s="1"/>
  <c r="E1035" i="23"/>
  <c r="D1035" i="23"/>
  <c r="C1035" i="23"/>
  <c r="F1034" i="23"/>
  <c r="F1033" i="23" s="1"/>
  <c r="E1033" i="23"/>
  <c r="D1033" i="23"/>
  <c r="C1033" i="23"/>
  <c r="F1032" i="23"/>
  <c r="F1031" i="23"/>
  <c r="F1030" i="23"/>
  <c r="F1029" i="23"/>
  <c r="E1028" i="23"/>
  <c r="D1028" i="23"/>
  <c r="C1028" i="23"/>
  <c r="F1027" i="23"/>
  <c r="F1026" i="23"/>
  <c r="F1025" i="23"/>
  <c r="F1024" i="23"/>
  <c r="F1023" i="23"/>
  <c r="E1022" i="23"/>
  <c r="D1022" i="23"/>
  <c r="C1022" i="23"/>
  <c r="F1021" i="23"/>
  <c r="F1020" i="23"/>
  <c r="F1019" i="23"/>
  <c r="E1018" i="23"/>
  <c r="D1018" i="23"/>
  <c r="C1018" i="23"/>
  <c r="F1016" i="23"/>
  <c r="F1015" i="23"/>
  <c r="E1014" i="23"/>
  <c r="D1014" i="23"/>
  <c r="C1014" i="23"/>
  <c r="F1013" i="23"/>
  <c r="F1012" i="23" s="1"/>
  <c r="E1012" i="23"/>
  <c r="D1012" i="23"/>
  <c r="C1012" i="23"/>
  <c r="F1011" i="23"/>
  <c r="F1010" i="23"/>
  <c r="E1009" i="23"/>
  <c r="D1009" i="23"/>
  <c r="C1009" i="23"/>
  <c r="F1004" i="23"/>
  <c r="E1003" i="23"/>
  <c r="E1002" i="23" s="1"/>
  <c r="E1001" i="23" s="1"/>
  <c r="E1000" i="23" s="1"/>
  <c r="D1003" i="23"/>
  <c r="D1002" i="23" s="1"/>
  <c r="D1001" i="23" s="1"/>
  <c r="D1000" i="23" s="1"/>
  <c r="C1003" i="23"/>
  <c r="C1002" i="23" s="1"/>
  <c r="C1001" i="23" s="1"/>
  <c r="C1000" i="23" s="1"/>
  <c r="F999" i="23"/>
  <c r="F998" i="23" s="1"/>
  <c r="F997" i="23" s="1"/>
  <c r="E998" i="23"/>
  <c r="E997" i="23" s="1"/>
  <c r="D998" i="23"/>
  <c r="D997" i="23" s="1"/>
  <c r="C998" i="23"/>
  <c r="C997" i="23" s="1"/>
  <c r="F996" i="23"/>
  <c r="F995" i="23" s="1"/>
  <c r="E995" i="23"/>
  <c r="D995" i="23"/>
  <c r="C995" i="23"/>
  <c r="F994" i="23"/>
  <c r="F993" i="23"/>
  <c r="E992" i="23"/>
  <c r="D992" i="23"/>
  <c r="C992" i="23"/>
  <c r="F990" i="23"/>
  <c r="F989" i="23" s="1"/>
  <c r="E989" i="23"/>
  <c r="D989" i="23"/>
  <c r="C989" i="23"/>
  <c r="F988" i="23"/>
  <c r="F987" i="23" s="1"/>
  <c r="E987" i="23"/>
  <c r="D987" i="23"/>
  <c r="C987" i="23"/>
  <c r="F986" i="23"/>
  <c r="F985" i="23"/>
  <c r="E984" i="23"/>
  <c r="D984" i="23"/>
  <c r="C984" i="23"/>
  <c r="F983" i="23"/>
  <c r="F982" i="23"/>
  <c r="E981" i="23"/>
  <c r="D981" i="23"/>
  <c r="C981" i="23"/>
  <c r="F979" i="23"/>
  <c r="F978" i="23" s="1"/>
  <c r="F977" i="23" s="1"/>
  <c r="E978" i="23"/>
  <c r="E977" i="23" s="1"/>
  <c r="D978" i="23"/>
  <c r="D977" i="23" s="1"/>
  <c r="C978" i="23"/>
  <c r="C977" i="23" s="1"/>
  <c r="F974" i="23"/>
  <c r="F973" i="23" s="1"/>
  <c r="F972" i="23" s="1"/>
  <c r="E973" i="23"/>
  <c r="E972" i="23" s="1"/>
  <c r="D973" i="23"/>
  <c r="D972" i="23" s="1"/>
  <c r="C973" i="23"/>
  <c r="C972" i="23" s="1"/>
  <c r="F971" i="23"/>
  <c r="F970" i="23"/>
  <c r="E969" i="23"/>
  <c r="D969" i="23"/>
  <c r="D968" i="23" s="1"/>
  <c r="C969" i="23"/>
  <c r="C968" i="23" s="1"/>
  <c r="F967" i="23"/>
  <c r="F966" i="23" s="1"/>
  <c r="E966" i="23"/>
  <c r="D966" i="23"/>
  <c r="C966" i="23"/>
  <c r="F965" i="23"/>
  <c r="F964" i="23" s="1"/>
  <c r="E964" i="23"/>
  <c r="D964" i="23"/>
  <c r="C964" i="23"/>
  <c r="F963" i="23"/>
  <c r="I961" i="23" s="1"/>
  <c r="F962" i="23"/>
  <c r="F959" i="23"/>
  <c r="F958" i="23" s="1"/>
  <c r="F957" i="23" s="1"/>
  <c r="E958" i="23"/>
  <c r="E957" i="23" s="1"/>
  <c r="D958" i="23"/>
  <c r="D957" i="23" s="1"/>
  <c r="C958" i="23"/>
  <c r="C957" i="23" s="1"/>
  <c r="F954" i="23"/>
  <c r="F953" i="23" s="1"/>
  <c r="E953" i="23"/>
  <c r="D953" i="23"/>
  <c r="C953" i="23"/>
  <c r="F952" i="23"/>
  <c r="F951" i="23" s="1"/>
  <c r="E951" i="23"/>
  <c r="D951" i="23"/>
  <c r="C951" i="23"/>
  <c r="F950" i="23"/>
  <c r="F949" i="23"/>
  <c r="F948" i="23"/>
  <c r="F947" i="23"/>
  <c r="E945" i="23"/>
  <c r="D945" i="23"/>
  <c r="C945" i="23"/>
  <c r="F942" i="23"/>
  <c r="F941" i="23" s="1"/>
  <c r="E941" i="23"/>
  <c r="D941" i="23"/>
  <c r="C941" i="23"/>
  <c r="F939" i="23"/>
  <c r="F938" i="23"/>
  <c r="E937" i="23"/>
  <c r="D937" i="23"/>
  <c r="C937" i="23"/>
  <c r="D933" i="23"/>
  <c r="C933" i="23"/>
  <c r="F931" i="23"/>
  <c r="F930" i="23" s="1"/>
  <c r="F929" i="23" s="1"/>
  <c r="E930" i="23"/>
  <c r="E929" i="23" s="1"/>
  <c r="D930" i="23"/>
  <c r="D929" i="23" s="1"/>
  <c r="C930" i="23"/>
  <c r="C929" i="23" s="1"/>
  <c r="F926" i="23"/>
  <c r="F925" i="23" s="1"/>
  <c r="E925" i="23"/>
  <c r="D925" i="23"/>
  <c r="C925" i="23"/>
  <c r="F924" i="23"/>
  <c r="F923" i="23"/>
  <c r="E922" i="23"/>
  <c r="D922" i="23"/>
  <c r="C922" i="23"/>
  <c r="F921" i="23"/>
  <c r="F920" i="23"/>
  <c r="E919" i="23"/>
  <c r="D919" i="23"/>
  <c r="C919" i="23"/>
  <c r="D914" i="23"/>
  <c r="C914" i="23"/>
  <c r="D909" i="23"/>
  <c r="C909" i="23"/>
  <c r="D907" i="23"/>
  <c r="C907" i="23"/>
  <c r="D899" i="23"/>
  <c r="C899" i="23"/>
  <c r="D892" i="23"/>
  <c r="C892" i="23"/>
  <c r="D888" i="23"/>
  <c r="C888" i="23"/>
  <c r="D884" i="23"/>
  <c r="C884" i="23"/>
  <c r="D881" i="23"/>
  <c r="C881" i="23"/>
  <c r="D877" i="23"/>
  <c r="C877" i="23"/>
  <c r="D874" i="23"/>
  <c r="C874" i="23"/>
  <c r="F871" i="23"/>
  <c r="F870" i="23" s="1"/>
  <c r="F869" i="23" s="1"/>
  <c r="E870" i="23"/>
  <c r="E869" i="23" s="1"/>
  <c r="D870" i="23"/>
  <c r="D869" i="23" s="1"/>
  <c r="C870" i="23"/>
  <c r="C869" i="23" s="1"/>
  <c r="F868" i="23"/>
  <c r="F867" i="23" s="1"/>
  <c r="E867" i="23"/>
  <c r="D867" i="23"/>
  <c r="C867" i="23"/>
  <c r="F866" i="23"/>
  <c r="F865" i="23"/>
  <c r="F864" i="23"/>
  <c r="F863" i="23"/>
  <c r="F862" i="23"/>
  <c r="F861" i="23"/>
  <c r="E860" i="23"/>
  <c r="D860" i="23"/>
  <c r="C860" i="23"/>
  <c r="F859" i="23"/>
  <c r="F857" i="23" s="1"/>
  <c r="E857" i="23"/>
  <c r="D857" i="23"/>
  <c r="C857" i="23"/>
  <c r="F855" i="23"/>
  <c r="F854" i="23" s="1"/>
  <c r="F853" i="23" s="1"/>
  <c r="E854" i="23"/>
  <c r="E853" i="23" s="1"/>
  <c r="D854" i="23"/>
  <c r="D853" i="23" s="1"/>
  <c r="C854" i="23"/>
  <c r="C853" i="23" s="1"/>
  <c r="F852" i="23"/>
  <c r="F851" i="23" s="1"/>
  <c r="F850" i="23" s="1"/>
  <c r="E851" i="23"/>
  <c r="E850" i="23" s="1"/>
  <c r="D851" i="23"/>
  <c r="D850" i="23" s="1"/>
  <c r="C851" i="23"/>
  <c r="C850" i="23" s="1"/>
  <c r="F848" i="23"/>
  <c r="F847" i="23" s="1"/>
  <c r="F846" i="23"/>
  <c r="F845" i="23" s="1"/>
  <c r="F844" i="23"/>
  <c r="F843" i="23"/>
  <c r="F842" i="23"/>
  <c r="F841" i="23"/>
  <c r="F840" i="23"/>
  <c r="F839" i="23"/>
  <c r="F838" i="23"/>
  <c r="F837" i="23"/>
  <c r="F836" i="23"/>
  <c r="E835" i="23"/>
  <c r="D835" i="23"/>
  <c r="C835" i="23"/>
  <c r="F834" i="23"/>
  <c r="F833" i="23"/>
  <c r="F832" i="23"/>
  <c r="F831" i="23"/>
  <c r="F830" i="23"/>
  <c r="E829" i="23"/>
  <c r="D829" i="23"/>
  <c r="C829" i="23"/>
  <c r="F827" i="23"/>
  <c r="F826" i="23"/>
  <c r="F825" i="23"/>
  <c r="E824" i="23"/>
  <c r="D824" i="23"/>
  <c r="C824" i="23"/>
  <c r="F821" i="23"/>
  <c r="F819" i="23" s="1"/>
  <c r="E819" i="23"/>
  <c r="D819" i="23"/>
  <c r="C819" i="23"/>
  <c r="D817" i="23"/>
  <c r="C817" i="23"/>
  <c r="F816" i="23"/>
  <c r="F815" i="23" s="1"/>
  <c r="E815" i="23"/>
  <c r="D815" i="23"/>
  <c r="C815" i="23"/>
  <c r="F811" i="23"/>
  <c r="F810" i="23" s="1"/>
  <c r="F809" i="23" s="1"/>
  <c r="E810" i="23"/>
  <c r="E809" i="23" s="1"/>
  <c r="D810" i="23"/>
  <c r="D809" i="23" s="1"/>
  <c r="C810" i="23"/>
  <c r="C809" i="23" s="1"/>
  <c r="F808" i="23"/>
  <c r="F807" i="23" s="1"/>
  <c r="E807" i="23"/>
  <c r="D807" i="23"/>
  <c r="C807" i="23"/>
  <c r="D805" i="23"/>
  <c r="C805" i="23"/>
  <c r="F803" i="23"/>
  <c r="F802" i="23" s="1"/>
  <c r="E802" i="23"/>
  <c r="D802" i="23"/>
  <c r="C802" i="23"/>
  <c r="F801" i="23"/>
  <c r="F800" i="23"/>
  <c r="F799" i="23"/>
  <c r="F798" i="23"/>
  <c r="E797" i="23"/>
  <c r="D797" i="23"/>
  <c r="C797" i="23"/>
  <c r="D794" i="23"/>
  <c r="C794" i="23"/>
  <c r="F793" i="23"/>
  <c r="F791" i="23" s="1"/>
  <c r="E791" i="23"/>
  <c r="D791" i="23"/>
  <c r="C791" i="23"/>
  <c r="F790" i="23"/>
  <c r="F789" i="23" s="1"/>
  <c r="E789" i="23"/>
  <c r="D789" i="23"/>
  <c r="C789" i="23"/>
  <c r="F788" i="23"/>
  <c r="F787" i="23"/>
  <c r="F786" i="23"/>
  <c r="F785" i="23"/>
  <c r="F784" i="23"/>
  <c r="F783" i="23"/>
  <c r="F782" i="23"/>
  <c r="E781" i="23"/>
  <c r="D781" i="23"/>
  <c r="C781" i="23"/>
  <c r="F780" i="23"/>
  <c r="F779" i="23"/>
  <c r="F778" i="23"/>
  <c r="F777" i="23"/>
  <c r="F776" i="23"/>
  <c r="E775" i="23"/>
  <c r="D775" i="23"/>
  <c r="C775" i="23"/>
  <c r="F774" i="23"/>
  <c r="F773" i="23"/>
  <c r="F772" i="23"/>
  <c r="E771" i="23"/>
  <c r="D771" i="23"/>
  <c r="C771" i="23"/>
  <c r="F768" i="23"/>
  <c r="F766" i="23" s="1"/>
  <c r="E766" i="23"/>
  <c r="D766" i="23"/>
  <c r="C766" i="23"/>
  <c r="F765" i="23"/>
  <c r="F764" i="23" s="1"/>
  <c r="E764" i="23"/>
  <c r="D764" i="23"/>
  <c r="C764" i="23"/>
  <c r="F763" i="23"/>
  <c r="F762" i="23" s="1"/>
  <c r="E762" i="23"/>
  <c r="D762" i="23"/>
  <c r="C762" i="23"/>
  <c r="F758" i="23"/>
  <c r="F757" i="23" s="1"/>
  <c r="F756" i="23" s="1"/>
  <c r="E757" i="23"/>
  <c r="E756" i="23" s="1"/>
  <c r="D757" i="23"/>
  <c r="D756" i="23" s="1"/>
  <c r="C757" i="23"/>
  <c r="C756" i="23" s="1"/>
  <c r="D754" i="23"/>
  <c r="C754" i="23"/>
  <c r="D752" i="23"/>
  <c r="C752" i="23"/>
  <c r="F750" i="23"/>
  <c r="F749" i="23"/>
  <c r="F748" i="23"/>
  <c r="E746" i="23"/>
  <c r="D744" i="23"/>
  <c r="C744" i="23"/>
  <c r="D742" i="23"/>
  <c r="C742" i="23"/>
  <c r="F741" i="23"/>
  <c r="F740" i="23" s="1"/>
  <c r="E740" i="23"/>
  <c r="D740" i="23"/>
  <c r="C740" i="23"/>
  <c r="F739" i="23"/>
  <c r="F738" i="23"/>
  <c r="F737" i="23"/>
  <c r="F735" i="23"/>
  <c r="F734" i="23"/>
  <c r="F733" i="23"/>
  <c r="E731" i="23"/>
  <c r="D731" i="23"/>
  <c r="F728" i="23"/>
  <c r="F727" i="23"/>
  <c r="F726" i="23"/>
  <c r="F725" i="23"/>
  <c r="F724" i="23"/>
  <c r="F723" i="23" s="1"/>
  <c r="F722" i="23"/>
  <c r="F721" i="23"/>
  <c r="F720" i="23"/>
  <c r="F716" i="23"/>
  <c r="F715" i="23"/>
  <c r="D714" i="23"/>
  <c r="C714" i="23"/>
  <c r="F713" i="23"/>
  <c r="D712" i="23"/>
  <c r="C712" i="23"/>
  <c r="F711" i="23"/>
  <c r="F710" i="23" s="1"/>
  <c r="F706" i="23"/>
  <c r="F705" i="23" s="1"/>
  <c r="F704" i="23" s="1"/>
  <c r="F703" i="23" s="1"/>
  <c r="F702" i="23" s="1"/>
  <c r="E705" i="23"/>
  <c r="E704" i="23" s="1"/>
  <c r="E703" i="23" s="1"/>
  <c r="E702" i="23" s="1"/>
  <c r="D705" i="23"/>
  <c r="D704" i="23" s="1"/>
  <c r="D703" i="23" s="1"/>
  <c r="D702" i="23" s="1"/>
  <c r="C705" i="23"/>
  <c r="C704" i="23" s="1"/>
  <c r="C703" i="23" s="1"/>
  <c r="C702" i="23" s="1"/>
  <c r="F701" i="23"/>
  <c r="F700" i="23" s="1"/>
  <c r="F699" i="23" s="1"/>
  <c r="F698" i="23" s="1"/>
  <c r="F697" i="23" s="1"/>
  <c r="E700" i="23"/>
  <c r="E699" i="23" s="1"/>
  <c r="E698" i="23" s="1"/>
  <c r="E697" i="23" s="1"/>
  <c r="D700" i="23"/>
  <c r="D699" i="23" s="1"/>
  <c r="D698" i="23" s="1"/>
  <c r="D697" i="23" s="1"/>
  <c r="C700" i="23"/>
  <c r="C699" i="23" s="1"/>
  <c r="C698" i="23" s="1"/>
  <c r="C697" i="23" s="1"/>
  <c r="D693" i="23"/>
  <c r="C693" i="23"/>
  <c r="F692" i="23"/>
  <c r="F691" i="23"/>
  <c r="F690" i="23"/>
  <c r="F689" i="23"/>
  <c r="E688" i="23"/>
  <c r="E687" i="23" s="1"/>
  <c r="E686" i="23" s="1"/>
  <c r="E685" i="23" s="1"/>
  <c r="D688" i="23"/>
  <c r="D687" i="23" s="1"/>
  <c r="D686" i="23" s="1"/>
  <c r="D685" i="23" s="1"/>
  <c r="C688" i="23"/>
  <c r="C687" i="23" s="1"/>
  <c r="C686" i="23" s="1"/>
  <c r="C685" i="23" s="1"/>
  <c r="F684" i="23"/>
  <c r="F683" i="23"/>
  <c r="F682" i="23"/>
  <c r="E681" i="23"/>
  <c r="D681" i="23"/>
  <c r="C681" i="23"/>
  <c r="F680" i="23"/>
  <c r="F679" i="23"/>
  <c r="F678" i="23"/>
  <c r="E677" i="23"/>
  <c r="D677" i="23"/>
  <c r="C677" i="23"/>
  <c r="D674" i="23"/>
  <c r="C674" i="23"/>
  <c r="F672" i="23"/>
  <c r="F671" i="23" s="1"/>
  <c r="E671" i="23"/>
  <c r="D671" i="23"/>
  <c r="C671" i="23"/>
  <c r="F670" i="23"/>
  <c r="F669" i="23" s="1"/>
  <c r="E669" i="23"/>
  <c r="D669" i="23"/>
  <c r="C669" i="23"/>
  <c r="F668" i="23"/>
  <c r="F667" i="23"/>
  <c r="F666" i="23"/>
  <c r="F665" i="23"/>
  <c r="F664" i="23"/>
  <c r="E663" i="23"/>
  <c r="D663" i="23"/>
  <c r="C663" i="23"/>
  <c r="F662" i="23"/>
  <c r="F661" i="23"/>
  <c r="F660" i="23"/>
  <c r="F657" i="23"/>
  <c r="F656" i="23"/>
  <c r="F655" i="23"/>
  <c r="E654" i="23"/>
  <c r="D654" i="23"/>
  <c r="C654" i="23"/>
  <c r="F649" i="23"/>
  <c r="F648" i="23" s="1"/>
  <c r="F647" i="23" s="1"/>
  <c r="E648" i="23"/>
  <c r="E647" i="23" s="1"/>
  <c r="D648" i="23"/>
  <c r="D647" i="23" s="1"/>
  <c r="C648" i="23"/>
  <c r="C647" i="23" s="1"/>
  <c r="F645" i="23"/>
  <c r="F644" i="23" s="1"/>
  <c r="F643" i="23" s="1"/>
  <c r="E644" i="23"/>
  <c r="E643" i="23" s="1"/>
  <c r="D644" i="23"/>
  <c r="D643" i="23" s="1"/>
  <c r="C644" i="23"/>
  <c r="C643" i="23" s="1"/>
  <c r="D640" i="23"/>
  <c r="C640" i="23"/>
  <c r="D638" i="23"/>
  <c r="C638" i="23"/>
  <c r="D635" i="23"/>
  <c r="C635" i="23"/>
  <c r="F634" i="23"/>
  <c r="F633" i="23"/>
  <c r="F632" i="23"/>
  <c r="D631" i="23"/>
  <c r="D625" i="23" s="1"/>
  <c r="C631" i="23"/>
  <c r="C625" i="23" s="1"/>
  <c r="F630" i="23"/>
  <c r="D629" i="23"/>
  <c r="C629" i="23"/>
  <c r="F628" i="23"/>
  <c r="F627" i="23"/>
  <c r="F626" i="23" s="1"/>
  <c r="D622" i="23"/>
  <c r="C622" i="23"/>
  <c r="F621" i="23"/>
  <c r="F620" i="23" s="1"/>
  <c r="F619" i="23" s="1"/>
  <c r="E620" i="23"/>
  <c r="E619" i="23" s="1"/>
  <c r="D620" i="23"/>
  <c r="D619" i="23" s="1"/>
  <c r="C620" i="23"/>
  <c r="C619" i="23" s="1"/>
  <c r="F599" i="23"/>
  <c r="F598" i="23" s="1"/>
  <c r="F597" i="23" s="1"/>
  <c r="F596" i="23" s="1"/>
  <c r="E598" i="23"/>
  <c r="E597" i="23" s="1"/>
  <c r="E596" i="23" s="1"/>
  <c r="E595" i="23" s="1"/>
  <c r="D598" i="23"/>
  <c r="D597" i="23" s="1"/>
  <c r="D596" i="23" s="1"/>
  <c r="D595" i="23" s="1"/>
  <c r="C598" i="23"/>
  <c r="C597" i="23" s="1"/>
  <c r="C596" i="23" s="1"/>
  <c r="F594" i="23"/>
  <c r="F593" i="23" s="1"/>
  <c r="F592" i="23" s="1"/>
  <c r="F591" i="23" s="1"/>
  <c r="F590" i="23" s="1"/>
  <c r="E593" i="23"/>
  <c r="E592" i="23" s="1"/>
  <c r="E591" i="23" s="1"/>
  <c r="E590" i="23" s="1"/>
  <c r="D593" i="23"/>
  <c r="D592" i="23" s="1"/>
  <c r="D591" i="23" s="1"/>
  <c r="D590" i="23" s="1"/>
  <c r="C593" i="23"/>
  <c r="C592" i="23" s="1"/>
  <c r="C591" i="23" s="1"/>
  <c r="C590" i="23" s="1"/>
  <c r="D588" i="23"/>
  <c r="D587" i="23" s="1"/>
  <c r="D586" i="23" s="1"/>
  <c r="C588" i="23"/>
  <c r="C587" i="23" s="1"/>
  <c r="C586" i="23" s="1"/>
  <c r="D584" i="23"/>
  <c r="D583" i="23" s="1"/>
  <c r="D582" i="23" s="1"/>
  <c r="D580" i="23" s="1"/>
  <c r="C584" i="23"/>
  <c r="C583" i="23" s="1"/>
  <c r="C582" i="23" s="1"/>
  <c r="C580" i="23" s="1"/>
  <c r="F581" i="23"/>
  <c r="E580" i="23"/>
  <c r="F579" i="23"/>
  <c r="F578" i="23"/>
  <c r="F577" i="23"/>
  <c r="E576" i="23"/>
  <c r="D576" i="23"/>
  <c r="C576" i="23"/>
  <c r="D569" i="23"/>
  <c r="C569" i="23"/>
  <c r="D567" i="23"/>
  <c r="C567" i="23"/>
  <c r="D564" i="23"/>
  <c r="C564" i="23"/>
  <c r="D562" i="23"/>
  <c r="C562" i="23"/>
  <c r="D558" i="23"/>
  <c r="C558" i="23"/>
  <c r="D553" i="23"/>
  <c r="C553" i="23"/>
  <c r="D551" i="23"/>
  <c r="C551" i="23"/>
  <c r="D547" i="23"/>
  <c r="C547" i="23"/>
  <c r="F546" i="23"/>
  <c r="F545" i="23" s="1"/>
  <c r="F544" i="23" s="1"/>
  <c r="E545" i="23"/>
  <c r="E544" i="23" s="1"/>
  <c r="D545" i="23"/>
  <c r="D544" i="23" s="1"/>
  <c r="C545" i="23"/>
  <c r="C544" i="23" s="1"/>
  <c r="D542" i="23"/>
  <c r="C542" i="23"/>
  <c r="F541" i="23"/>
  <c r="F540" i="23" s="1"/>
  <c r="F539" i="23" s="1"/>
  <c r="E540" i="23"/>
  <c r="E539" i="23" s="1"/>
  <c r="D540" i="23"/>
  <c r="D539" i="23" s="1"/>
  <c r="C540" i="23"/>
  <c r="C539" i="23" s="1"/>
  <c r="F537" i="23"/>
  <c r="F536" i="23" s="1"/>
  <c r="F535" i="23" s="1"/>
  <c r="E536" i="23"/>
  <c r="E535" i="23" s="1"/>
  <c r="D536" i="23"/>
  <c r="D535" i="23" s="1"/>
  <c r="C536" i="23"/>
  <c r="C535" i="23" s="1"/>
  <c r="F533" i="23"/>
  <c r="F532" i="23"/>
  <c r="F531" i="23"/>
  <c r="E530" i="23"/>
  <c r="E529" i="23" s="1"/>
  <c r="D530" i="23"/>
  <c r="D529" i="23" s="1"/>
  <c r="C530" i="23"/>
  <c r="C529" i="23" s="1"/>
  <c r="D527" i="23"/>
  <c r="C527" i="23"/>
  <c r="F526" i="23"/>
  <c r="F525" i="23"/>
  <c r="E524" i="23"/>
  <c r="D524" i="23"/>
  <c r="C524" i="23"/>
  <c r="F523" i="23"/>
  <c r="F522" i="23"/>
  <c r="F521" i="23"/>
  <c r="F520" i="23"/>
  <c r="F519" i="23"/>
  <c r="F518" i="23"/>
  <c r="F517" i="23"/>
  <c r="E516" i="23"/>
  <c r="D516" i="23"/>
  <c r="C516" i="23"/>
  <c r="F515" i="23"/>
  <c r="F514" i="23"/>
  <c r="F513" i="23"/>
  <c r="E512" i="23"/>
  <c r="D512" i="23"/>
  <c r="C512" i="23"/>
  <c r="F511" i="23"/>
  <c r="F510" i="23" s="1"/>
  <c r="E510" i="23"/>
  <c r="D510" i="23"/>
  <c r="C510" i="23"/>
  <c r="F508" i="23"/>
  <c r="E505" i="23"/>
  <c r="D505" i="23"/>
  <c r="C505" i="23"/>
  <c r="D502" i="23"/>
  <c r="C502" i="23"/>
  <c r="F501" i="23"/>
  <c r="F500" i="23" s="1"/>
  <c r="E500" i="23"/>
  <c r="D500" i="23"/>
  <c r="C500" i="23"/>
  <c r="F499" i="23"/>
  <c r="F498" i="23"/>
  <c r="E497" i="23"/>
  <c r="D497" i="23"/>
  <c r="C497" i="23"/>
  <c r="F496" i="23"/>
  <c r="F495" i="23" s="1"/>
  <c r="E495" i="23"/>
  <c r="D495" i="23"/>
  <c r="C495" i="23"/>
  <c r="F493" i="23"/>
  <c r="E490" i="23"/>
  <c r="D490" i="23"/>
  <c r="C490" i="23"/>
  <c r="D486" i="23"/>
  <c r="C486" i="23"/>
  <c r="D484" i="23"/>
  <c r="C484" i="23"/>
  <c r="D482" i="23"/>
  <c r="C482" i="23"/>
  <c r="C478" i="23"/>
  <c r="F477" i="23"/>
  <c r="F476" i="23" s="1"/>
  <c r="E476" i="23"/>
  <c r="D476" i="23"/>
  <c r="C476" i="23"/>
  <c r="F475" i="23"/>
  <c r="F474" i="23"/>
  <c r="F473" i="23"/>
  <c r="E469" i="23"/>
  <c r="D469" i="23"/>
  <c r="C469" i="23"/>
  <c r="D464" i="23"/>
  <c r="C464" i="23"/>
  <c r="F463" i="23"/>
  <c r="F462" i="23"/>
  <c r="E461" i="23"/>
  <c r="D461" i="23"/>
  <c r="C461" i="23"/>
  <c r="D457" i="23"/>
  <c r="C457" i="23"/>
  <c r="F456" i="23"/>
  <c r="F455" i="23" s="1"/>
  <c r="F454" i="23" s="1"/>
  <c r="E455" i="23"/>
  <c r="E454" i="23" s="1"/>
  <c r="D455" i="23"/>
  <c r="D454" i="23" s="1"/>
  <c r="C455" i="23"/>
  <c r="C454" i="23" s="1"/>
  <c r="F451" i="23"/>
  <c r="F450" i="23"/>
  <c r="F449" i="23"/>
  <c r="E448" i="23"/>
  <c r="E447" i="23" s="1"/>
  <c r="D448" i="23"/>
  <c r="D447" i="23" s="1"/>
  <c r="C448" i="23"/>
  <c r="C447" i="23" s="1"/>
  <c r="D445" i="23"/>
  <c r="C445" i="23"/>
  <c r="D443" i="23"/>
  <c r="C443" i="23"/>
  <c r="D441" i="23"/>
  <c r="C441" i="23"/>
  <c r="D437" i="23"/>
  <c r="C437" i="23"/>
  <c r="F436" i="23"/>
  <c r="F435" i="23" s="1"/>
  <c r="E435" i="23"/>
  <c r="D435" i="23"/>
  <c r="C435" i="23"/>
  <c r="F434" i="23"/>
  <c r="F433" i="23"/>
  <c r="F432" i="23"/>
  <c r="F431" i="23"/>
  <c r="E428" i="23"/>
  <c r="D428" i="23"/>
  <c r="C428" i="23"/>
  <c r="F427" i="23"/>
  <c r="F426" i="23"/>
  <c r="F425" i="23"/>
  <c r="F424" i="23"/>
  <c r="E423" i="23"/>
  <c r="D423" i="23"/>
  <c r="C423" i="23"/>
  <c r="F422" i="23"/>
  <c r="F421" i="23" s="1"/>
  <c r="E421" i="23"/>
  <c r="D421" i="23"/>
  <c r="C421" i="23"/>
  <c r="D417" i="23"/>
  <c r="C417" i="23"/>
  <c r="D415" i="23"/>
  <c r="C415" i="23"/>
  <c r="F412" i="23"/>
  <c r="F411" i="23" s="1"/>
  <c r="F410" i="23" s="1"/>
  <c r="E411" i="23"/>
  <c r="E410" i="23" s="1"/>
  <c r="D411" i="23"/>
  <c r="D410" i="23" s="1"/>
  <c r="C411" i="23"/>
  <c r="C410" i="23" s="1"/>
  <c r="F409" i="23"/>
  <c r="F408" i="23" s="1"/>
  <c r="E408" i="23"/>
  <c r="D408" i="23"/>
  <c r="F407" i="23"/>
  <c r="F406" i="23"/>
  <c r="F405" i="23"/>
  <c r="E404" i="23"/>
  <c r="D404" i="23"/>
  <c r="C404" i="23"/>
  <c r="F403" i="23"/>
  <c r="F402" i="23"/>
  <c r="F401" i="23"/>
  <c r="E400" i="23"/>
  <c r="D400" i="23"/>
  <c r="C400" i="23"/>
  <c r="F399" i="23"/>
  <c r="F398" i="23" s="1"/>
  <c r="E398" i="23"/>
  <c r="D398" i="23"/>
  <c r="C398" i="23"/>
  <c r="F396" i="23"/>
  <c r="F395" i="23" s="1"/>
  <c r="F394" i="23" s="1"/>
  <c r="E395" i="23"/>
  <c r="E394" i="23" s="1"/>
  <c r="D395" i="23"/>
  <c r="D394" i="23" s="1"/>
  <c r="C395" i="23"/>
  <c r="C394" i="23" s="1"/>
  <c r="D390" i="23"/>
  <c r="C390" i="23"/>
  <c r="D389" i="23"/>
  <c r="D388" i="23" s="1"/>
  <c r="C389" i="23"/>
  <c r="C388" i="23" s="1"/>
  <c r="F387" i="23"/>
  <c r="F386" i="23" s="1"/>
  <c r="F385" i="23" s="1"/>
  <c r="E386" i="23"/>
  <c r="E385" i="23" s="1"/>
  <c r="D386" i="23"/>
  <c r="D385" i="23" s="1"/>
  <c r="C386" i="23"/>
  <c r="C385" i="23" s="1"/>
  <c r="F384" i="23"/>
  <c r="F383" i="23" s="1"/>
  <c r="F382" i="23" s="1"/>
  <c r="E383" i="23"/>
  <c r="E382" i="23" s="1"/>
  <c r="D383" i="23"/>
  <c r="D382" i="23" s="1"/>
  <c r="C383" i="23"/>
  <c r="C382" i="23" s="1"/>
  <c r="F381" i="23"/>
  <c r="F380" i="23" s="1"/>
  <c r="E380" i="23"/>
  <c r="D380" i="23"/>
  <c r="C380" i="23"/>
  <c r="F379" i="23"/>
  <c r="F378" i="23"/>
  <c r="E377" i="23"/>
  <c r="D377" i="23"/>
  <c r="C377" i="23"/>
  <c r="F376" i="23"/>
  <c r="F375" i="23" s="1"/>
  <c r="E375" i="23"/>
  <c r="D375" i="23"/>
  <c r="C375" i="23"/>
  <c r="F374" i="23"/>
  <c r="F373" i="23" s="1"/>
  <c r="E373" i="23"/>
  <c r="D373" i="23"/>
  <c r="C373" i="23"/>
  <c r="D368" i="23"/>
  <c r="D367" i="23" s="1"/>
  <c r="D366" i="23" s="1"/>
  <c r="C368" i="23"/>
  <c r="C367" i="23" s="1"/>
  <c r="C366" i="23" s="1"/>
  <c r="D364" i="23"/>
  <c r="C364" i="23"/>
  <c r="D362" i="23"/>
  <c r="C362" i="23"/>
  <c r="D358" i="23"/>
  <c r="D357" i="23" s="1"/>
  <c r="D356" i="23" s="1"/>
  <c r="C358" i="23"/>
  <c r="C357" i="23" s="1"/>
  <c r="C356" i="23" s="1"/>
  <c r="D354" i="23"/>
  <c r="C354" i="23"/>
  <c r="D352" i="23"/>
  <c r="C352" i="23"/>
  <c r="F349" i="23"/>
  <c r="F348" i="23"/>
  <c r="F347" i="23"/>
  <c r="F346" i="23"/>
  <c r="E345" i="23"/>
  <c r="E344" i="23" s="1"/>
  <c r="D345" i="23"/>
  <c r="D344" i="23" s="1"/>
  <c r="C345" i="23"/>
  <c r="C344" i="23" s="1"/>
  <c r="F342" i="23"/>
  <c r="F341" i="23" s="1"/>
  <c r="F340" i="23" s="1"/>
  <c r="E341" i="23"/>
  <c r="E340" i="23" s="1"/>
  <c r="D341" i="23"/>
  <c r="D340" i="23" s="1"/>
  <c r="C341" i="23"/>
  <c r="C340" i="23" s="1"/>
  <c r="F339" i="23"/>
  <c r="F338" i="23"/>
  <c r="F337" i="23"/>
  <c r="F336" i="23"/>
  <c r="E335" i="23"/>
  <c r="D335" i="23"/>
  <c r="C335" i="23"/>
  <c r="F334" i="23"/>
  <c r="F333" i="23"/>
  <c r="F332" i="23"/>
  <c r="F331" i="23"/>
  <c r="F329" i="23"/>
  <c r="F328" i="23"/>
  <c r="F327" i="23"/>
  <c r="E326" i="23"/>
  <c r="D326" i="23"/>
  <c r="C326" i="23"/>
  <c r="F325" i="23"/>
  <c r="F324" i="23"/>
  <c r="F323" i="23"/>
  <c r="F322" i="23"/>
  <c r="F321" i="23"/>
  <c r="F320" i="23"/>
  <c r="E319" i="23"/>
  <c r="D319" i="23"/>
  <c r="C319" i="23"/>
  <c r="F318" i="23"/>
  <c r="F317" i="23" s="1"/>
  <c r="E317" i="23"/>
  <c r="D317" i="23"/>
  <c r="C317" i="23"/>
  <c r="F315" i="23"/>
  <c r="F313" i="23" s="1"/>
  <c r="F312" i="23" s="1"/>
  <c r="E313" i="23"/>
  <c r="E312" i="23" s="1"/>
  <c r="D313" i="23"/>
  <c r="D312" i="23" s="1"/>
  <c r="C313" i="23"/>
  <c r="C312" i="23" s="1"/>
  <c r="F309" i="23"/>
  <c r="F308" i="23" s="1"/>
  <c r="E308" i="23"/>
  <c r="D308" i="23"/>
  <c r="C308" i="23"/>
  <c r="F307" i="23"/>
  <c r="F306" i="23" s="1"/>
  <c r="E306" i="23"/>
  <c r="D306" i="23"/>
  <c r="C306" i="23"/>
  <c r="F304" i="23"/>
  <c r="F303" i="23" s="1"/>
  <c r="E303" i="23"/>
  <c r="D303" i="23"/>
  <c r="C303" i="23"/>
  <c r="D301" i="23"/>
  <c r="C301" i="23"/>
  <c r="F298" i="23"/>
  <c r="F297" i="23"/>
  <c r="E296" i="23"/>
  <c r="D296" i="23"/>
  <c r="C296" i="23"/>
  <c r="F294" i="23"/>
  <c r="F293" i="23" s="1"/>
  <c r="F292" i="23" s="1"/>
  <c r="E293" i="23"/>
  <c r="E292" i="23" s="1"/>
  <c r="D293" i="23"/>
  <c r="D292" i="23" s="1"/>
  <c r="C293" i="23"/>
  <c r="C292" i="23" s="1"/>
  <c r="F291" i="23"/>
  <c r="F290" i="23" s="1"/>
  <c r="E290" i="23"/>
  <c r="D290" i="23"/>
  <c r="C290" i="23"/>
  <c r="F289" i="23"/>
  <c r="F288" i="23"/>
  <c r="E287" i="23"/>
  <c r="D287" i="23"/>
  <c r="C287" i="23"/>
  <c r="F286" i="23"/>
  <c r="F285" i="23" s="1"/>
  <c r="E285" i="23"/>
  <c r="D285" i="23"/>
  <c r="C285" i="23"/>
  <c r="F284" i="23"/>
  <c r="F283" i="23"/>
  <c r="F282" i="23"/>
  <c r="F281" i="23"/>
  <c r="F280" i="23"/>
  <c r="F279" i="23"/>
  <c r="F278" i="23"/>
  <c r="F277" i="23"/>
  <c r="E276" i="23"/>
  <c r="D276" i="23"/>
  <c r="C276" i="23"/>
  <c r="F275" i="23"/>
  <c r="F274" i="23"/>
  <c r="F273" i="23"/>
  <c r="F272" i="23"/>
  <c r="F271" i="23"/>
  <c r="E270" i="23"/>
  <c r="D270" i="23"/>
  <c r="C270" i="23"/>
  <c r="F269" i="23"/>
  <c r="F268" i="23"/>
  <c r="E267" i="23"/>
  <c r="D267" i="23"/>
  <c r="C267" i="23"/>
  <c r="D262" i="23"/>
  <c r="C262" i="23"/>
  <c r="D260" i="23"/>
  <c r="C260" i="23"/>
  <c r="D257" i="23"/>
  <c r="C257" i="23"/>
  <c r="D255" i="23"/>
  <c r="C255" i="23"/>
  <c r="D252" i="23"/>
  <c r="C252" i="23"/>
  <c r="D250" i="23"/>
  <c r="C250" i="23"/>
  <c r="D246" i="23"/>
  <c r="C246" i="23"/>
  <c r="F245" i="23"/>
  <c r="F244" i="23" s="1"/>
  <c r="E244" i="23"/>
  <c r="D244" i="23"/>
  <c r="C244" i="23"/>
  <c r="F243" i="23"/>
  <c r="F242" i="23" s="1"/>
  <c r="E242" i="23"/>
  <c r="D242" i="23"/>
  <c r="C242" i="23"/>
  <c r="F241" i="23"/>
  <c r="F240" i="23"/>
  <c r="F239" i="23"/>
  <c r="F238" i="23"/>
  <c r="E237" i="23"/>
  <c r="D237" i="23"/>
  <c r="C237" i="23"/>
  <c r="F235" i="23"/>
  <c r="F234" i="23" s="1"/>
  <c r="F233" i="23" s="1"/>
  <c r="E234" i="23"/>
  <c r="E233" i="23" s="1"/>
  <c r="D234" i="23"/>
  <c r="D233" i="23" s="1"/>
  <c r="C234" i="23"/>
  <c r="C233" i="23" s="1"/>
  <c r="F232" i="23"/>
  <c r="F231" i="23" s="1"/>
  <c r="F230" i="23" s="1"/>
  <c r="E231" i="23"/>
  <c r="E230" i="23" s="1"/>
  <c r="D231" i="23"/>
  <c r="D230" i="23" s="1"/>
  <c r="C231" i="23"/>
  <c r="C230" i="23" s="1"/>
  <c r="F229" i="23"/>
  <c r="F228" i="23"/>
  <c r="E227" i="23"/>
  <c r="D227" i="23"/>
  <c r="C227" i="23"/>
  <c r="F224" i="23"/>
  <c r="F222" i="23" s="1"/>
  <c r="E222" i="23"/>
  <c r="D222" i="23"/>
  <c r="C222" i="23"/>
  <c r="F220" i="23"/>
  <c r="F219" i="23" s="1"/>
  <c r="E219" i="23"/>
  <c r="D219" i="23"/>
  <c r="C219" i="23"/>
  <c r="F218" i="23"/>
  <c r="F217" i="23" s="1"/>
  <c r="E217" i="23"/>
  <c r="D217" i="23"/>
  <c r="C217" i="23"/>
  <c r="F215" i="23"/>
  <c r="F214" i="23"/>
  <c r="E213" i="23"/>
  <c r="D213" i="23"/>
  <c r="C213" i="23"/>
  <c r="F212" i="23"/>
  <c r="F211" i="23"/>
  <c r="F210" i="23"/>
  <c r="F209" i="23"/>
  <c r="F208" i="23"/>
  <c r="E207" i="23"/>
  <c r="D207" i="23"/>
  <c r="C207" i="23"/>
  <c r="F206" i="23"/>
  <c r="F205" i="23"/>
  <c r="F204" i="23"/>
  <c r="F203" i="23"/>
  <c r="F202" i="23"/>
  <c r="F201" i="23"/>
  <c r="E200" i="23"/>
  <c r="D200" i="23"/>
  <c r="C200" i="23"/>
  <c r="F199" i="23"/>
  <c r="F198" i="23" s="1"/>
  <c r="E198" i="23"/>
  <c r="D198" i="23"/>
  <c r="C198" i="23"/>
  <c r="D192" i="23"/>
  <c r="D191" i="23" s="1"/>
  <c r="D190" i="23" s="1"/>
  <c r="C192" i="23"/>
  <c r="C191" i="23" s="1"/>
  <c r="C190" i="23" s="1"/>
  <c r="D188" i="23"/>
  <c r="C188" i="23"/>
  <c r="C184" i="23"/>
  <c r="F183" i="23"/>
  <c r="F182" i="23" s="1"/>
  <c r="E182" i="23"/>
  <c r="D182" i="23"/>
  <c r="C182" i="23"/>
  <c r="F181" i="23"/>
  <c r="F179" i="23"/>
  <c r="F178" i="23"/>
  <c r="F177" i="23"/>
  <c r="F176" i="23"/>
  <c r="F175" i="23"/>
  <c r="E174" i="23"/>
  <c r="D174" i="23"/>
  <c r="C174" i="23"/>
  <c r="F173" i="23"/>
  <c r="F172" i="23"/>
  <c r="F171" i="23"/>
  <c r="F170" i="23"/>
  <c r="F169" i="23"/>
  <c r="F167" i="23"/>
  <c r="F166" i="23" s="1"/>
  <c r="E166" i="23"/>
  <c r="D166" i="23"/>
  <c r="C166" i="23"/>
  <c r="F164" i="23"/>
  <c r="F163" i="23" s="1"/>
  <c r="F162" i="23" s="1"/>
  <c r="E163" i="23"/>
  <c r="E162" i="23" s="1"/>
  <c r="D163" i="23"/>
  <c r="D162" i="23" s="1"/>
  <c r="C163" i="23"/>
  <c r="C162" i="23" s="1"/>
  <c r="F159" i="23"/>
  <c r="F158" i="23" s="1"/>
  <c r="E159" i="23"/>
  <c r="E158" i="23" s="1"/>
  <c r="D159" i="23"/>
  <c r="D158" i="23" s="1"/>
  <c r="C159" i="23"/>
  <c r="C158" i="23" s="1"/>
  <c r="D155" i="23"/>
  <c r="D154" i="23" s="1"/>
  <c r="D153" i="23" s="1"/>
  <c r="C155" i="23"/>
  <c r="C154" i="23" s="1"/>
  <c r="C153" i="23" s="1"/>
  <c r="F152" i="23"/>
  <c r="F151" i="23" s="1"/>
  <c r="F150" i="23" s="1"/>
  <c r="F149" i="23" s="1"/>
  <c r="E151" i="23"/>
  <c r="E150" i="23" s="1"/>
  <c r="E149" i="23" s="1"/>
  <c r="D151" i="23"/>
  <c r="D150" i="23" s="1"/>
  <c r="D149" i="23" s="1"/>
  <c r="C151" i="23"/>
  <c r="C150" i="23" s="1"/>
  <c r="C149" i="23" s="1"/>
  <c r="D147" i="23"/>
  <c r="D146" i="23" s="1"/>
  <c r="C147" i="23"/>
  <c r="C146" i="23" s="1"/>
  <c r="F145" i="23"/>
  <c r="F144" i="23" s="1"/>
  <c r="F143" i="23" s="1"/>
  <c r="E144" i="23"/>
  <c r="E143" i="23" s="1"/>
  <c r="D144" i="23"/>
  <c r="D143" i="23" s="1"/>
  <c r="C144" i="23"/>
  <c r="C143" i="23" s="1"/>
  <c r="D141" i="23"/>
  <c r="C141" i="23"/>
  <c r="F140" i="23"/>
  <c r="F139" i="23" s="1"/>
  <c r="F138" i="23" s="1"/>
  <c r="E139" i="23"/>
  <c r="E138" i="23" s="1"/>
  <c r="D139" i="23"/>
  <c r="D138" i="23" s="1"/>
  <c r="C139" i="23"/>
  <c r="C138" i="23" s="1"/>
  <c r="D134" i="23"/>
  <c r="D133" i="23" s="1"/>
  <c r="C134" i="23"/>
  <c r="C133" i="23" s="1"/>
  <c r="F132" i="23"/>
  <c r="F131" i="23" s="1"/>
  <c r="F130" i="23" s="1"/>
  <c r="F129" i="23" s="1"/>
  <c r="F128" i="23" s="1"/>
  <c r="E131" i="23"/>
  <c r="E130" i="23" s="1"/>
  <c r="E129" i="23" s="1"/>
  <c r="E128" i="23" s="1"/>
  <c r="D131" i="23"/>
  <c r="D130" i="23" s="1"/>
  <c r="D129" i="23" s="1"/>
  <c r="C131" i="23"/>
  <c r="C130" i="23" s="1"/>
  <c r="C129" i="23" s="1"/>
  <c r="F127" i="23"/>
  <c r="F126" i="23" s="1"/>
  <c r="F125" i="23" s="1"/>
  <c r="E126" i="23"/>
  <c r="E125" i="23" s="1"/>
  <c r="D126" i="23"/>
  <c r="D125" i="23" s="1"/>
  <c r="C126" i="23"/>
  <c r="C125" i="23" s="1"/>
  <c r="D123" i="23"/>
  <c r="D122" i="23" s="1"/>
  <c r="D121" i="23" s="1"/>
  <c r="C123" i="23"/>
  <c r="C122" i="23" s="1"/>
  <c r="C121" i="23" s="1"/>
  <c r="D118" i="23"/>
  <c r="C118" i="23"/>
  <c r="D114" i="23"/>
  <c r="C114" i="23"/>
  <c r="D112" i="23"/>
  <c r="C112" i="23"/>
  <c r="D107" i="23"/>
  <c r="C107" i="23"/>
  <c r="D105" i="23"/>
  <c r="C105" i="23"/>
  <c r="D103" i="23"/>
  <c r="C103" i="23"/>
  <c r="D101" i="23"/>
  <c r="C101" i="23"/>
  <c r="D97" i="23"/>
  <c r="C97" i="23"/>
  <c r="F95" i="23"/>
  <c r="F94" i="23" s="1"/>
  <c r="E94" i="23"/>
  <c r="D94" i="23"/>
  <c r="C94" i="23"/>
  <c r="F93" i="23"/>
  <c r="F92" i="23" s="1"/>
  <c r="E92" i="23"/>
  <c r="D92" i="23"/>
  <c r="C92" i="23"/>
  <c r="F91" i="23"/>
  <c r="F90" i="23" s="1"/>
  <c r="E90" i="23"/>
  <c r="D90" i="23"/>
  <c r="C90" i="23"/>
  <c r="F89" i="23"/>
  <c r="F88" i="23"/>
  <c r="F87" i="23"/>
  <c r="E80" i="23"/>
  <c r="D80" i="23"/>
  <c r="C80" i="23"/>
  <c r="F79" i="23"/>
  <c r="F78" i="23"/>
  <c r="E77" i="23"/>
  <c r="D69" i="23"/>
  <c r="C69" i="23"/>
  <c r="F68" i="23"/>
  <c r="F67" i="23" s="1"/>
  <c r="E67" i="23"/>
  <c r="D67" i="23"/>
  <c r="C67" i="23"/>
  <c r="D65" i="23"/>
  <c r="C65" i="23"/>
  <c r="F58" i="23"/>
  <c r="F55" i="23" s="1"/>
  <c r="E55" i="23"/>
  <c r="D55" i="23"/>
  <c r="C55" i="23"/>
  <c r="F47" i="23"/>
  <c r="E47" i="23"/>
  <c r="D47" i="23"/>
  <c r="C47" i="23"/>
  <c r="D44" i="23"/>
  <c r="D43" i="23" s="1"/>
  <c r="C44" i="23"/>
  <c r="C43" i="23" s="1"/>
  <c r="C41" i="23"/>
  <c r="F40" i="23"/>
  <c r="F37" i="23" s="1"/>
  <c r="F36" i="23" s="1"/>
  <c r="E37" i="23"/>
  <c r="D37" i="23"/>
  <c r="D36" i="23" s="1"/>
  <c r="C37" i="23"/>
  <c r="D34" i="23"/>
  <c r="C34" i="23"/>
  <c r="F32" i="23"/>
  <c r="F31" i="23" s="1"/>
  <c r="F30" i="23" s="1"/>
  <c r="E31" i="23"/>
  <c r="E30" i="23" s="1"/>
  <c r="D31" i="23"/>
  <c r="D30" i="23" s="1"/>
  <c r="C31" i="23"/>
  <c r="C30" i="23" s="1"/>
  <c r="D28" i="23"/>
  <c r="C28" i="23"/>
  <c r="D26" i="23"/>
  <c r="C26" i="23"/>
  <c r="C24" i="23"/>
  <c r="F23" i="23"/>
  <c r="F22" i="23"/>
  <c r="E21" i="23"/>
  <c r="E20" i="23" s="1"/>
  <c r="D21" i="23"/>
  <c r="D20" i="23" s="1"/>
  <c r="C21" i="23"/>
  <c r="F19" i="23"/>
  <c r="F18" i="23" s="1"/>
  <c r="F17" i="23" s="1"/>
  <c r="E18" i="23"/>
  <c r="E17" i="23" s="1"/>
  <c r="D18" i="23"/>
  <c r="D17" i="23" s="1"/>
  <c r="C18" i="23"/>
  <c r="C17" i="23" s="1"/>
  <c r="F15" i="23"/>
  <c r="F14" i="23" s="1"/>
  <c r="F13" i="23" s="1"/>
  <c r="F12" i="23" s="1"/>
  <c r="E14" i="23"/>
  <c r="E13" i="23" s="1"/>
  <c r="E12" i="23" s="1"/>
  <c r="D14" i="23"/>
  <c r="D13" i="23" s="1"/>
  <c r="D12" i="23" s="1"/>
  <c r="C14" i="23"/>
  <c r="C13" i="23" s="1"/>
  <c r="C12" i="23" s="1"/>
  <c r="F11" i="23"/>
  <c r="F10" i="23" s="1"/>
  <c r="F9" i="23" s="1"/>
  <c r="F8" i="23" s="1"/>
  <c r="E10" i="23"/>
  <c r="E9" i="23" s="1"/>
  <c r="E8" i="23" s="1"/>
  <c r="D10" i="23"/>
  <c r="D9" i="23" s="1"/>
  <c r="D8" i="23" s="1"/>
  <c r="C10" i="23"/>
  <c r="C9" i="23" s="1"/>
  <c r="C8" i="23" s="1"/>
  <c r="J645" i="1"/>
  <c r="J644" i="1" s="1"/>
  <c r="I645" i="1"/>
  <c r="H645" i="1"/>
  <c r="G645" i="1"/>
  <c r="G644" i="1" s="1"/>
  <c r="F645" i="1"/>
  <c r="F644" i="1" s="1"/>
  <c r="E645" i="1"/>
  <c r="E644" i="1" s="1"/>
  <c r="G767" i="1"/>
  <c r="F767" i="1"/>
  <c r="E767" i="1"/>
  <c r="C767" i="1"/>
  <c r="J761" i="1"/>
  <c r="J760" i="1" s="1"/>
  <c r="J759" i="1" s="1"/>
  <c r="J758" i="1" s="1"/>
  <c r="I761" i="1"/>
  <c r="H761" i="1"/>
  <c r="G761" i="1"/>
  <c r="F761" i="1"/>
  <c r="E761" i="1"/>
  <c r="C761" i="1"/>
  <c r="C756" i="1"/>
  <c r="C755" i="1" s="1"/>
  <c r="C752" i="1"/>
  <c r="C751" i="1" s="1"/>
  <c r="J756" i="1"/>
  <c r="J755" i="1" s="1"/>
  <c r="I756" i="1"/>
  <c r="H756" i="1"/>
  <c r="G756" i="1"/>
  <c r="G755" i="1" s="1"/>
  <c r="F756" i="1"/>
  <c r="F755" i="1" s="1"/>
  <c r="J752" i="1"/>
  <c r="J751" i="1" s="1"/>
  <c r="I752" i="1"/>
  <c r="H752" i="1"/>
  <c r="G752" i="1"/>
  <c r="G751" i="1" s="1"/>
  <c r="F752" i="1"/>
  <c r="F751" i="1" s="1"/>
  <c r="E752" i="1"/>
  <c r="E751" i="1" s="1"/>
  <c r="J749" i="1"/>
  <c r="J744" i="1" s="1"/>
  <c r="I749" i="1"/>
  <c r="H749" i="1"/>
  <c r="G749" i="1"/>
  <c r="G744" i="1" s="1"/>
  <c r="F749" i="1"/>
  <c r="F744" i="1" s="1"/>
  <c r="E779" i="1"/>
  <c r="C779" i="1"/>
  <c r="C778" i="1" s="1"/>
  <c r="E773" i="1"/>
  <c r="C773" i="1"/>
  <c r="C772" i="1" s="1"/>
  <c r="E756" i="1"/>
  <c r="E755" i="1" s="1"/>
  <c r="E749" i="1"/>
  <c r="E744" i="1" s="1"/>
  <c r="C749" i="1"/>
  <c r="C744" i="1" s="1"/>
  <c r="C645" i="1"/>
  <c r="C644" i="1" s="1"/>
  <c r="D1262" i="23" l="1"/>
  <c r="D1263" i="23"/>
  <c r="C1220" i="23"/>
  <c r="C1219" i="23" s="1"/>
  <c r="J1231" i="23"/>
  <c r="D1231" i="23"/>
  <c r="G1231" i="23"/>
  <c r="H1231" i="23"/>
  <c r="I1231" i="23"/>
  <c r="K1231" i="23"/>
  <c r="E1231" i="23"/>
  <c r="E1220" i="23" s="1"/>
  <c r="E1431" i="23" s="1"/>
  <c r="I1108" i="23"/>
  <c r="D1108" i="23"/>
  <c r="E1108" i="23"/>
  <c r="G1108" i="23"/>
  <c r="H1108" i="23"/>
  <c r="C1055" i="23"/>
  <c r="K1248" i="23"/>
  <c r="K1244" i="23" s="1"/>
  <c r="K1243" i="23" s="1"/>
  <c r="E823" i="23"/>
  <c r="K393" i="23"/>
  <c r="K392" i="23" s="1"/>
  <c r="K960" i="23"/>
  <c r="K1017" i="23"/>
  <c r="E618" i="23"/>
  <c r="E1426" i="23" s="1"/>
  <c r="K494" i="23"/>
  <c r="K489" i="23" s="1"/>
  <c r="D747" i="23"/>
  <c r="D746" i="23" s="1"/>
  <c r="C823" i="23"/>
  <c r="D618" i="23"/>
  <c r="D1426" i="23" s="1"/>
  <c r="D709" i="23"/>
  <c r="F961" i="23"/>
  <c r="F960" i="23" s="1"/>
  <c r="C709" i="23"/>
  <c r="F747" i="23"/>
  <c r="F746" i="23" s="1"/>
  <c r="G221" i="23"/>
  <c r="J216" i="23"/>
  <c r="J196" i="23" s="1"/>
  <c r="J195" i="23" s="1"/>
  <c r="J936" i="23"/>
  <c r="J928" i="23" s="1"/>
  <c r="J927" i="23" s="1"/>
  <c r="J960" i="23"/>
  <c r="D823" i="23"/>
  <c r="G823" i="23"/>
  <c r="H823" i="23"/>
  <c r="K165" i="23"/>
  <c r="K161" i="23" s="1"/>
  <c r="K157" i="23" s="1"/>
  <c r="D216" i="23"/>
  <c r="K1220" i="23"/>
  <c r="K1431" i="23" s="1"/>
  <c r="I24" i="5" s="1"/>
  <c r="C718" i="23"/>
  <c r="E718" i="23"/>
  <c r="E708" i="23" s="1"/>
  <c r="D1055" i="23"/>
  <c r="I221" i="23"/>
  <c r="D165" i="23"/>
  <c r="D161" i="23" s="1"/>
  <c r="D157" i="23" s="1"/>
  <c r="J1040" i="23"/>
  <c r="C1263" i="23"/>
  <c r="C1262" i="23" s="1"/>
  <c r="I266" i="23"/>
  <c r="F658" i="23"/>
  <c r="D718" i="23"/>
  <c r="F719" i="23"/>
  <c r="F506" i="23"/>
  <c r="F505" i="23" s="1"/>
  <c r="F491" i="23"/>
  <c r="F490" i="23" s="1"/>
  <c r="H221" i="23"/>
  <c r="I165" i="23"/>
  <c r="I161" i="23" s="1"/>
  <c r="I157" i="23" s="1"/>
  <c r="J165" i="23"/>
  <c r="J161" i="23" s="1"/>
  <c r="J157" i="23" s="1"/>
  <c r="C20" i="23"/>
  <c r="C16" i="23" s="1"/>
  <c r="C165" i="23"/>
  <c r="C161" i="23" s="1"/>
  <c r="C157" i="23" s="1"/>
  <c r="J1263" i="23"/>
  <c r="J1262" i="23" s="1"/>
  <c r="C36" i="23"/>
  <c r="F168" i="23"/>
  <c r="C295" i="23"/>
  <c r="K216" i="23"/>
  <c r="K196" i="23" s="1"/>
  <c r="K195" i="23" s="1"/>
  <c r="K460" i="23"/>
  <c r="K453" i="23" s="1"/>
  <c r="K452" i="23" s="1"/>
  <c r="K936" i="23"/>
  <c r="K928" i="23" s="1"/>
  <c r="K927" i="23" s="1"/>
  <c r="J36" i="23"/>
  <c r="J33" i="23" s="1"/>
  <c r="E216" i="23"/>
  <c r="E221" i="23"/>
  <c r="E1055" i="23"/>
  <c r="C1248" i="23"/>
  <c r="C1244" i="23" s="1"/>
  <c r="C1243" i="23" s="1"/>
  <c r="K36" i="23"/>
  <c r="K33" i="23" s="1"/>
  <c r="E1248" i="23"/>
  <c r="E1244" i="23" s="1"/>
  <c r="E1243" i="23" s="1"/>
  <c r="J538" i="23"/>
  <c r="J1017" i="23"/>
  <c r="K54" i="23"/>
  <c r="K46" i="23" s="1"/>
  <c r="E1083" i="23"/>
  <c r="I460" i="23"/>
  <c r="G165" i="23"/>
  <c r="G161" i="23" s="1"/>
  <c r="G157" i="23" s="1"/>
  <c r="H165" i="23"/>
  <c r="H161" i="23" s="1"/>
  <c r="H157" i="23" s="1"/>
  <c r="J453" i="23"/>
  <c r="J452" i="23" s="1"/>
  <c r="K311" i="23"/>
  <c r="K310" i="23" s="1"/>
  <c r="K538" i="23"/>
  <c r="C221" i="23"/>
  <c r="E33" i="23"/>
  <c r="E36" i="23"/>
  <c r="E165" i="23"/>
  <c r="E161" i="23" s="1"/>
  <c r="E157" i="23" s="1"/>
  <c r="D221" i="23"/>
  <c r="K16" i="23"/>
  <c r="J311" i="23"/>
  <c r="J310" i="23" s="1"/>
  <c r="J393" i="23"/>
  <c r="J392" i="23" s="1"/>
  <c r="J16" i="23"/>
  <c r="K504" i="23"/>
  <c r="K980" i="23"/>
  <c r="K976" i="23" s="1"/>
  <c r="K975" i="23" s="1"/>
  <c r="K1263" i="23"/>
  <c r="K1262" i="23" s="1"/>
  <c r="J54" i="23"/>
  <c r="J46" i="23" s="1"/>
  <c r="J494" i="23"/>
  <c r="J489" i="23" s="1"/>
  <c r="J504" i="23"/>
  <c r="J980" i="23"/>
  <c r="J976" i="23" s="1"/>
  <c r="J975" i="23" s="1"/>
  <c r="J1083" i="23"/>
  <c r="J1220" i="23"/>
  <c r="J1431" i="23" s="1"/>
  <c r="J1248" i="23"/>
  <c r="J1244" i="23" s="1"/>
  <c r="J1243" i="23" s="1"/>
  <c r="K1040" i="23"/>
  <c r="D305" i="23"/>
  <c r="F1211" i="23"/>
  <c r="F1209" i="23" s="1"/>
  <c r="F1208" i="23" s="1"/>
  <c r="F760" i="1"/>
  <c r="F759" i="1" s="1"/>
  <c r="F758" i="1" s="1"/>
  <c r="E760" i="1"/>
  <c r="C760" i="1"/>
  <c r="C759" i="1" s="1"/>
  <c r="C758" i="1" s="1"/>
  <c r="H751" i="1"/>
  <c r="E772" i="1"/>
  <c r="I751" i="1"/>
  <c r="H755" i="1"/>
  <c r="G760" i="1"/>
  <c r="G759" i="1" s="1"/>
  <c r="G758" i="1" s="1"/>
  <c r="I644" i="1"/>
  <c r="I755" i="1"/>
  <c r="H760" i="1"/>
  <c r="H644" i="1"/>
  <c r="H744" i="1"/>
  <c r="E778" i="1"/>
  <c r="I744" i="1"/>
  <c r="I760" i="1"/>
  <c r="K676" i="23"/>
  <c r="C761" i="23"/>
  <c r="E575" i="23"/>
  <c r="E574" i="23" s="1"/>
  <c r="E1425" i="23" s="1"/>
  <c r="D1248" i="23"/>
  <c r="F595" i="23"/>
  <c r="F814" i="23"/>
  <c r="D880" i="23"/>
  <c r="D879" i="23" s="1"/>
  <c r="E991" i="23"/>
  <c r="H676" i="23"/>
  <c r="G54" i="23"/>
  <c r="G46" i="23" s="1"/>
  <c r="G1432" i="23" s="1"/>
  <c r="E25" i="5" s="1"/>
  <c r="G1248" i="23"/>
  <c r="G1244" i="23" s="1"/>
  <c r="G1243" i="23" s="1"/>
  <c r="D351" i="23"/>
  <c r="D350" i="23" s="1"/>
  <c r="I796" i="23"/>
  <c r="I1267" i="23"/>
  <c r="I1263" i="23" s="1"/>
  <c r="I1262" i="23" s="1"/>
  <c r="K575" i="23"/>
  <c r="K574" i="23" s="1"/>
  <c r="K1212" i="23"/>
  <c r="D1099" i="23"/>
  <c r="C770" i="23"/>
  <c r="D991" i="23"/>
  <c r="K796" i="23"/>
  <c r="D74" i="23"/>
  <c r="D73" i="23" s="1"/>
  <c r="D72" i="23" s="1"/>
  <c r="D538" i="23"/>
  <c r="E814" i="23"/>
  <c r="E538" i="23"/>
  <c r="C494" i="23"/>
  <c r="C489" i="23" s="1"/>
  <c r="D550" i="23"/>
  <c r="D1424" i="23" s="1"/>
  <c r="C746" i="23"/>
  <c r="C814" i="23"/>
  <c r="J575" i="23"/>
  <c r="J574" i="23" s="1"/>
  <c r="C128" i="23"/>
  <c r="G74" i="23"/>
  <c r="G73" i="23" s="1"/>
  <c r="G72" i="23" s="1"/>
  <c r="G1212" i="23"/>
  <c r="H74" i="23"/>
  <c r="H73" i="23" s="1"/>
  <c r="H72" i="23" s="1"/>
  <c r="E295" i="23"/>
  <c r="F54" i="23"/>
  <c r="F46" i="23" s="1"/>
  <c r="E397" i="23"/>
  <c r="E393" i="23" s="1"/>
  <c r="E392" i="23" s="1"/>
  <c r="C397" i="23"/>
  <c r="C393" i="23" s="1"/>
  <c r="C392" i="23" s="1"/>
  <c r="D653" i="23"/>
  <c r="D814" i="23"/>
  <c r="C856" i="23"/>
  <c r="D1040" i="23"/>
  <c r="G814" i="23"/>
  <c r="G1017" i="23"/>
  <c r="G1060" i="23"/>
  <c r="H1248" i="23"/>
  <c r="H1244" i="23" s="1"/>
  <c r="H1243" i="23" s="1"/>
  <c r="J74" i="23"/>
  <c r="J73" i="23" s="1"/>
  <c r="J72" i="23" s="1"/>
  <c r="K968" i="23"/>
  <c r="E54" i="23"/>
  <c r="E46" i="23" s="1"/>
  <c r="C74" i="23"/>
  <c r="C73" i="23" s="1"/>
  <c r="C72" i="23" s="1"/>
  <c r="D254" i="23"/>
  <c r="D266" i="23"/>
  <c r="E770" i="23"/>
  <c r="C873" i="23"/>
  <c r="C872" i="23" s="1"/>
  <c r="I74" i="23"/>
  <c r="I73" i="23" s="1"/>
  <c r="I72" i="23" s="1"/>
  <c r="I509" i="23"/>
  <c r="I504" i="23" s="1"/>
  <c r="I538" i="23"/>
  <c r="K74" i="23"/>
  <c r="F1105" i="23"/>
  <c r="K1199" i="23"/>
  <c r="K1194" i="23" s="1"/>
  <c r="K1429" i="23" s="1"/>
  <c r="I22" i="5" s="1"/>
  <c r="K718" i="23"/>
  <c r="K708" i="23" s="1"/>
  <c r="I1248" i="23"/>
  <c r="I1244" i="23" s="1"/>
  <c r="I1243" i="23" s="1"/>
  <c r="F216" i="23"/>
  <c r="F267" i="23"/>
  <c r="F1014" i="23"/>
  <c r="G718" i="23"/>
  <c r="G708" i="23" s="1"/>
  <c r="C595" i="23"/>
  <c r="F213" i="23"/>
  <c r="F377" i="23"/>
  <c r="F372" i="23" s="1"/>
  <c r="F371" i="23" s="1"/>
  <c r="F370" i="23" s="1"/>
  <c r="E968" i="23"/>
  <c r="F276" i="23"/>
  <c r="F1009" i="23"/>
  <c r="F1100" i="23"/>
  <c r="K73" i="23"/>
  <c r="K72" i="23" s="1"/>
  <c r="D137" i="23"/>
  <c r="D136" i="23" s="1"/>
  <c r="C249" i="23"/>
  <c r="F654" i="23"/>
  <c r="F775" i="23"/>
  <c r="F781" i="23"/>
  <c r="F77" i="23"/>
  <c r="C460" i="23"/>
  <c r="C453" i="23" s="1"/>
  <c r="C452" i="23" s="1"/>
  <c r="F497" i="23"/>
  <c r="F494" i="23" s="1"/>
  <c r="F530" i="23"/>
  <c r="F529" i="23" s="1"/>
  <c r="F681" i="23"/>
  <c r="F981" i="23"/>
  <c r="F1003" i="23"/>
  <c r="F1002" i="23" s="1"/>
  <c r="F1001" i="23" s="1"/>
  <c r="F1000" i="23" s="1"/>
  <c r="E1060" i="23"/>
  <c r="F1065" i="23"/>
  <c r="G575" i="23"/>
  <c r="G574" i="23" s="1"/>
  <c r="G573" i="23" s="1"/>
  <c r="I676" i="23"/>
  <c r="I1083" i="23"/>
  <c r="J137" i="23"/>
  <c r="J136" i="23" s="1"/>
  <c r="J917" i="23"/>
  <c r="D873" i="23"/>
  <c r="D872" i="23" s="1"/>
  <c r="C880" i="23"/>
  <c r="C879" i="23" s="1"/>
  <c r="F922" i="23"/>
  <c r="C1040" i="23"/>
  <c r="F1094" i="23"/>
  <c r="E1212" i="23"/>
  <c r="G1199" i="23"/>
  <c r="G1194" i="23" s="1"/>
  <c r="G1429" i="23" s="1"/>
  <c r="E22" i="5" s="1"/>
  <c r="H1199" i="23"/>
  <c r="H1194" i="23" s="1"/>
  <c r="H1429" i="23" s="1"/>
  <c r="F22" i="5" s="1"/>
  <c r="D33" i="23"/>
  <c r="D54" i="23"/>
  <c r="D46" i="23" s="1"/>
  <c r="C236" i="23"/>
  <c r="D236" i="23"/>
  <c r="F296" i="23"/>
  <c r="F295" i="23" s="1"/>
  <c r="E305" i="23"/>
  <c r="C361" i="23"/>
  <c r="C360" i="23" s="1"/>
  <c r="D420" i="23"/>
  <c r="D414" i="23" s="1"/>
  <c r="D413" i="23" s="1"/>
  <c r="C538" i="23"/>
  <c r="F714" i="23"/>
  <c r="F945" i="23"/>
  <c r="C991" i="23"/>
  <c r="C1108" i="23"/>
  <c r="H814" i="23"/>
  <c r="I54" i="23"/>
  <c r="I46" i="23" s="1"/>
  <c r="J676" i="23"/>
  <c r="J856" i="23"/>
  <c r="J1199" i="23"/>
  <c r="J1194" i="23" s="1"/>
  <c r="J1429" i="23" s="1"/>
  <c r="H22" i="5" s="1"/>
  <c r="J1212" i="23"/>
  <c r="K1099" i="23"/>
  <c r="I856" i="23"/>
  <c r="I823" i="23"/>
  <c r="I770" i="23"/>
  <c r="E1267" i="23"/>
  <c r="E1263" i="23" s="1"/>
  <c r="E1262" i="23" s="1"/>
  <c r="F1268" i="23"/>
  <c r="F1267" i="23" s="1"/>
  <c r="C100" i="23"/>
  <c r="C99" i="23" s="1"/>
  <c r="F345" i="23"/>
  <c r="F344" i="23" s="1"/>
  <c r="D372" i="23"/>
  <c r="D371" i="23" s="1"/>
  <c r="D370" i="23" s="1"/>
  <c r="E420" i="23"/>
  <c r="E414" i="23" s="1"/>
  <c r="E413" i="23" s="1"/>
  <c r="F428" i="23"/>
  <c r="F663" i="23"/>
  <c r="F731" i="23"/>
  <c r="E918" i="23"/>
  <c r="E917" i="23" s="1"/>
  <c r="E916" i="23" s="1"/>
  <c r="F969" i="23"/>
  <c r="F968" i="23" s="1"/>
  <c r="F1022" i="23"/>
  <c r="C1017" i="23"/>
  <c r="D1220" i="23"/>
  <c r="D1431" i="23" s="1"/>
  <c r="C54" i="23"/>
  <c r="C46" i="23" s="1"/>
  <c r="E236" i="23"/>
  <c r="D249" i="23"/>
  <c r="C254" i="23"/>
  <c r="D295" i="23"/>
  <c r="C305" i="23"/>
  <c r="D316" i="23"/>
  <c r="D311" i="23" s="1"/>
  <c r="D310" i="23" s="1"/>
  <c r="C351" i="23"/>
  <c r="C350" i="23" s="1"/>
  <c r="D509" i="23"/>
  <c r="D504" i="23" s="1"/>
  <c r="D856" i="23"/>
  <c r="K137" i="23"/>
  <c r="K136" i="23" s="1"/>
  <c r="E16" i="23"/>
  <c r="F80" i="23"/>
  <c r="F207" i="23"/>
  <c r="D494" i="23"/>
  <c r="D489" i="23" s="1"/>
  <c r="C550" i="23"/>
  <c r="C796" i="23"/>
  <c r="D936" i="23"/>
  <c r="D928" i="23" s="1"/>
  <c r="D927" i="23" s="1"/>
  <c r="E1133" i="23"/>
  <c r="E1199" i="23"/>
  <c r="E1194" i="23" s="1"/>
  <c r="E1429" i="23" s="1"/>
  <c r="F1281" i="23"/>
  <c r="F1280" i="23" s="1"/>
  <c r="G236" i="23"/>
  <c r="H372" i="23"/>
  <c r="H371" i="23" s="1"/>
  <c r="H370" i="23" s="1"/>
  <c r="H575" i="23"/>
  <c r="H574" i="23" s="1"/>
  <c r="H573" i="23" s="1"/>
  <c r="I1060" i="23"/>
  <c r="J968" i="23"/>
  <c r="K1055" i="23"/>
  <c r="K1054" i="23" s="1"/>
  <c r="F835" i="23"/>
  <c r="D918" i="23"/>
  <c r="D917" i="23" s="1"/>
  <c r="D916" i="23" s="1"/>
  <c r="F1018" i="23"/>
  <c r="C1060" i="23"/>
  <c r="C1099" i="23"/>
  <c r="C1213" i="23"/>
  <c r="C1212" i="23" s="1"/>
  <c r="I1040" i="23"/>
  <c r="K618" i="23"/>
  <c r="K917" i="23"/>
  <c r="F824" i="23"/>
  <c r="C980" i="23"/>
  <c r="C1133" i="23"/>
  <c r="F1134" i="23"/>
  <c r="D1133" i="23"/>
  <c r="D1199" i="23"/>
  <c r="D1194" i="23" s="1"/>
  <c r="C1199" i="23"/>
  <c r="F1236" i="23"/>
  <c r="F1235" i="23" s="1"/>
  <c r="G1083" i="23"/>
  <c r="H54" i="23"/>
  <c r="H46" i="23" s="1"/>
  <c r="H1432" i="23" s="1"/>
  <c r="F25" i="5" s="1"/>
  <c r="H718" i="23"/>
  <c r="H708" i="23" s="1"/>
  <c r="H770" i="23"/>
  <c r="H1040" i="23"/>
  <c r="H1083" i="23"/>
  <c r="H1267" i="23"/>
  <c r="I305" i="23"/>
  <c r="I575" i="23"/>
  <c r="I574" i="23" s="1"/>
  <c r="I1425" i="23" s="1"/>
  <c r="I991" i="23"/>
  <c r="I1199" i="23"/>
  <c r="I1194" i="23" s="1"/>
  <c r="I1429" i="23" s="1"/>
  <c r="G22" i="5" s="1"/>
  <c r="I1212" i="23"/>
  <c r="I1207" i="23" s="1"/>
  <c r="I1220" i="23"/>
  <c r="I1431" i="23" s="1"/>
  <c r="G24" i="5" s="1"/>
  <c r="J814" i="23"/>
  <c r="J1099" i="23"/>
  <c r="K770" i="23"/>
  <c r="K1008" i="23"/>
  <c r="E137" i="23"/>
  <c r="E136" i="23" s="1"/>
  <c r="C137" i="23"/>
  <c r="C136" i="23" s="1"/>
  <c r="F21" i="23"/>
  <c r="E74" i="23"/>
  <c r="E73" i="23" s="1"/>
  <c r="E72" i="23" s="1"/>
  <c r="E266" i="23"/>
  <c r="F305" i="23"/>
  <c r="E316" i="23"/>
  <c r="E311" i="23" s="1"/>
  <c r="E310" i="23" s="1"/>
  <c r="F335" i="23"/>
  <c r="E372" i="23"/>
  <c r="E371" i="23" s="1"/>
  <c r="E370" i="23" s="1"/>
  <c r="D397" i="23"/>
  <c r="D393" i="23" s="1"/>
  <c r="D392" i="23" s="1"/>
  <c r="F404" i="23"/>
  <c r="F423" i="23"/>
  <c r="D460" i="23"/>
  <c r="D453" i="23" s="1"/>
  <c r="D452" i="23" s="1"/>
  <c r="F712" i="23"/>
  <c r="D761" i="23"/>
  <c r="F771" i="23"/>
  <c r="E936" i="23"/>
  <c r="E928" i="23" s="1"/>
  <c r="E927" i="23" s="1"/>
  <c r="E960" i="23"/>
  <c r="E1008" i="23"/>
  <c r="D1017" i="23"/>
  <c r="E509" i="23"/>
  <c r="E504" i="23" s="1"/>
  <c r="D128" i="23"/>
  <c r="F448" i="23"/>
  <c r="F447" i="23" s="1"/>
  <c r="F1041" i="23"/>
  <c r="F1040" i="23" s="1"/>
  <c r="D1060" i="23"/>
  <c r="F1253" i="23"/>
  <c r="F1248" i="23" s="1"/>
  <c r="F1256" i="23"/>
  <c r="D1255" i="23"/>
  <c r="C216" i="23"/>
  <c r="F469" i="23"/>
  <c r="C509" i="23"/>
  <c r="C504" i="23" s="1"/>
  <c r="C676" i="23"/>
  <c r="E676" i="23"/>
  <c r="F688" i="23"/>
  <c r="F687" i="23" s="1"/>
  <c r="F686" i="23" s="1"/>
  <c r="F685" i="23" s="1"/>
  <c r="D16" i="23"/>
  <c r="C33" i="23"/>
  <c r="D100" i="23"/>
  <c r="D99" i="23" s="1"/>
  <c r="F137" i="23"/>
  <c r="F136" i="23" s="1"/>
  <c r="D197" i="23"/>
  <c r="C197" i="23"/>
  <c r="D259" i="23"/>
  <c r="F270" i="23"/>
  <c r="F326" i="23"/>
  <c r="C372" i="23"/>
  <c r="C371" i="23" s="1"/>
  <c r="C370" i="23" s="1"/>
  <c r="F761" i="23"/>
  <c r="D1083" i="23"/>
  <c r="D575" i="23"/>
  <c r="D574" i="23" s="1"/>
  <c r="D573" i="23" s="1"/>
  <c r="E653" i="23"/>
  <c r="F797" i="23"/>
  <c r="F796" i="23" s="1"/>
  <c r="E796" i="23"/>
  <c r="E856" i="23"/>
  <c r="C918" i="23"/>
  <c r="C917" i="23" s="1"/>
  <c r="C916" i="23" s="1"/>
  <c r="C936" i="23"/>
  <c r="C928" i="23" s="1"/>
  <c r="C927" i="23" s="1"/>
  <c r="F984" i="23"/>
  <c r="E980" i="23"/>
  <c r="F992" i="23"/>
  <c r="F991" i="23" s="1"/>
  <c r="E1017" i="23"/>
  <c r="E1040" i="23"/>
  <c r="F1055" i="23"/>
  <c r="F1069" i="23"/>
  <c r="F1109" i="23"/>
  <c r="F1196" i="23"/>
  <c r="F1195" i="23" s="1"/>
  <c r="C1209" i="23"/>
  <c r="C1208" i="23" s="1"/>
  <c r="G460" i="23"/>
  <c r="G453" i="23" s="1"/>
  <c r="G452" i="23" s="1"/>
  <c r="G653" i="23"/>
  <c r="G796" i="23"/>
  <c r="H653" i="23"/>
  <c r="H796" i="23"/>
  <c r="I1099" i="23"/>
  <c r="J718" i="23"/>
  <c r="J708" i="23" s="1"/>
  <c r="K814" i="23"/>
  <c r="F829" i="23"/>
  <c r="F860" i="23"/>
  <c r="F856" i="23" s="1"/>
  <c r="D980" i="23"/>
  <c r="F1113" i="23"/>
  <c r="G137" i="23"/>
  <c r="G136" i="23" s="1"/>
  <c r="G420" i="23"/>
  <c r="G414" i="23" s="1"/>
  <c r="G413" i="23" s="1"/>
  <c r="G1040" i="23"/>
  <c r="H856" i="23"/>
  <c r="I16" i="23"/>
  <c r="F174" i="23"/>
  <c r="E197" i="23"/>
  <c r="F227" i="23"/>
  <c r="F221" i="23" s="1"/>
  <c r="C259" i="23"/>
  <c r="C266" i="23"/>
  <c r="F287" i="23"/>
  <c r="F319" i="23"/>
  <c r="C316" i="23"/>
  <c r="C311" i="23" s="1"/>
  <c r="C310" i="23" s="1"/>
  <c r="D361" i="23"/>
  <c r="D360" i="23" s="1"/>
  <c r="E460" i="23"/>
  <c r="E453" i="23" s="1"/>
  <c r="E452" i="23" s="1"/>
  <c r="E494" i="23"/>
  <c r="E489" i="23" s="1"/>
  <c r="F512" i="23"/>
  <c r="F524" i="23"/>
  <c r="F631" i="23"/>
  <c r="F625" i="23" s="1"/>
  <c r="C653" i="23"/>
  <c r="D676" i="23"/>
  <c r="E761" i="23"/>
  <c r="D796" i="23"/>
  <c r="F919" i="23"/>
  <c r="F937" i="23"/>
  <c r="D960" i="23"/>
  <c r="D956" i="23" s="1"/>
  <c r="D955" i="23" s="1"/>
  <c r="C960" i="23"/>
  <c r="C956" i="23" s="1"/>
  <c r="C955" i="23" s="1"/>
  <c r="D1008" i="23"/>
  <c r="C1008" i="23"/>
  <c r="F1086" i="23"/>
  <c r="F1083" i="23" s="1"/>
  <c r="C1083" i="23"/>
  <c r="E1099" i="23"/>
  <c r="F1119" i="23"/>
  <c r="F1139" i="23"/>
  <c r="F1199" i="23"/>
  <c r="C1205" i="23"/>
  <c r="C1204" i="23" s="1"/>
  <c r="D1212" i="23"/>
  <c r="G372" i="23"/>
  <c r="G371" i="23" s="1"/>
  <c r="G370" i="23" s="1"/>
  <c r="G856" i="23"/>
  <c r="G968" i="23"/>
  <c r="G980" i="23"/>
  <c r="H137" i="23"/>
  <c r="H136" i="23" s="1"/>
  <c r="H968" i="23"/>
  <c r="H1212" i="23"/>
  <c r="J796" i="23"/>
  <c r="K856" i="23"/>
  <c r="I372" i="23"/>
  <c r="I371" i="23" s="1"/>
  <c r="I370" i="23" s="1"/>
  <c r="I494" i="23"/>
  <c r="I489" i="23" s="1"/>
  <c r="I761" i="23"/>
  <c r="I1017" i="23"/>
  <c r="I1055" i="23"/>
  <c r="I1133" i="23"/>
  <c r="J618" i="23"/>
  <c r="J770" i="23"/>
  <c r="K420" i="23"/>
  <c r="K414" i="23" s="1"/>
  <c r="K413" i="23" s="1"/>
  <c r="K653" i="23"/>
  <c r="K761" i="23"/>
  <c r="K823" i="23"/>
  <c r="H236" i="23"/>
  <c r="H761" i="23"/>
  <c r="H980" i="23"/>
  <c r="H991" i="23"/>
  <c r="H1060" i="23"/>
  <c r="I236" i="23"/>
  <c r="I618" i="23"/>
  <c r="I1426" i="23" s="1"/>
  <c r="G19" i="5" s="1"/>
  <c r="I718" i="23"/>
  <c r="I708" i="23" s="1"/>
  <c r="I814" i="23"/>
  <c r="I918" i="23"/>
  <c r="I917" i="23" s="1"/>
  <c r="I916" i="23" s="1"/>
  <c r="I968" i="23"/>
  <c r="I980" i="23"/>
  <c r="I1008" i="23"/>
  <c r="J761" i="23"/>
  <c r="J823" i="23"/>
  <c r="J1055" i="23"/>
  <c r="K372" i="23"/>
  <c r="K371" i="23" s="1"/>
  <c r="K370" i="23" s="1"/>
  <c r="H216" i="23"/>
  <c r="H420" i="23"/>
  <c r="H414" i="23" s="1"/>
  <c r="H413" i="23" s="1"/>
  <c r="H618" i="23"/>
  <c r="H1426" i="23" s="1"/>
  <c r="F19" i="5" s="1"/>
  <c r="H1220" i="23"/>
  <c r="H1219" i="23" s="1"/>
  <c r="I295" i="23"/>
  <c r="I936" i="23"/>
  <c r="I928" i="23" s="1"/>
  <c r="I927" i="23" s="1"/>
  <c r="I960" i="23"/>
  <c r="J372" i="23"/>
  <c r="J371" i="23" s="1"/>
  <c r="J370" i="23" s="1"/>
  <c r="J420" i="23"/>
  <c r="J414" i="23" s="1"/>
  <c r="J413" i="23" s="1"/>
  <c r="J653" i="23"/>
  <c r="J1008" i="23"/>
  <c r="G1220" i="23"/>
  <c r="G1431" i="23" s="1"/>
  <c r="E24" i="5" s="1"/>
  <c r="G1133" i="23"/>
  <c r="H1133" i="23"/>
  <c r="H1017" i="23"/>
  <c r="G991" i="23"/>
  <c r="H960" i="23"/>
  <c r="G960" i="23"/>
  <c r="G770" i="23"/>
  <c r="G761" i="23"/>
  <c r="H460" i="23"/>
  <c r="H453" i="23" s="1"/>
  <c r="G216" i="23"/>
  <c r="H197" i="23"/>
  <c r="G197" i="23"/>
  <c r="G16" i="23"/>
  <c r="H16" i="23"/>
  <c r="I397" i="23"/>
  <c r="I393" i="23" s="1"/>
  <c r="I33" i="23"/>
  <c r="I216" i="23"/>
  <c r="I316" i="23"/>
  <c r="I311" i="23" s="1"/>
  <c r="I420" i="23"/>
  <c r="I414" i="23" s="1"/>
  <c r="I413" i="23" s="1"/>
  <c r="I653" i="23"/>
  <c r="I197" i="23"/>
  <c r="I453" i="23"/>
  <c r="I452" i="23" s="1"/>
  <c r="H265" i="23"/>
  <c r="H264" i="23" s="1"/>
  <c r="H33" i="23"/>
  <c r="G1267" i="23"/>
  <c r="G1263" i="23" s="1"/>
  <c r="G1262" i="23" s="1"/>
  <c r="G676" i="23"/>
  <c r="G128" i="23"/>
  <c r="G265" i="23"/>
  <c r="G264" i="23" s="1"/>
  <c r="G618" i="23"/>
  <c r="G33" i="23"/>
  <c r="G1423" i="23" s="1"/>
  <c r="E16" i="5" s="1"/>
  <c r="F33" i="23"/>
  <c r="F200" i="23"/>
  <c r="F237" i="23"/>
  <c r="F236" i="23" s="1"/>
  <c r="C575" i="23"/>
  <c r="C574" i="23" s="1"/>
  <c r="F580" i="23"/>
  <c r="F516" i="23"/>
  <c r="F677" i="23"/>
  <c r="C420" i="23"/>
  <c r="C414" i="23" s="1"/>
  <c r="C413" i="23" s="1"/>
  <c r="F538" i="23"/>
  <c r="F629" i="23"/>
  <c r="C618" i="23"/>
  <c r="D770" i="23"/>
  <c r="F1260" i="23"/>
  <c r="C1259" i="23"/>
  <c r="F1259" i="23" s="1"/>
  <c r="F400" i="23"/>
  <c r="F461" i="23"/>
  <c r="F576" i="23"/>
  <c r="F1028" i="23"/>
  <c r="F1061" i="23"/>
  <c r="F1224" i="23"/>
  <c r="F1223" i="23" s="1"/>
  <c r="F1216" i="23"/>
  <c r="F1215" i="23" s="1"/>
  <c r="F1212" i="23" s="1"/>
  <c r="C743" i="1"/>
  <c r="C742" i="1" s="1"/>
  <c r="F743" i="1"/>
  <c r="F742" i="1" s="1"/>
  <c r="J743" i="1"/>
  <c r="J742" i="1" s="1"/>
  <c r="G743" i="1"/>
  <c r="G742" i="1" s="1"/>
  <c r="E743" i="1"/>
  <c r="E742" i="1" s="1"/>
  <c r="F1255" i="23" l="1"/>
  <c r="D1244" i="23"/>
  <c r="D1243" i="23" s="1"/>
  <c r="F1207" i="23"/>
  <c r="C1207" i="23"/>
  <c r="C1430" i="23" s="1"/>
  <c r="C23" i="5" s="1"/>
  <c r="G1207" i="23"/>
  <c r="G1430" i="23" s="1"/>
  <c r="E23" i="5" s="1"/>
  <c r="H1207" i="23"/>
  <c r="H1430" i="23" s="1"/>
  <c r="F23" i="5" s="1"/>
  <c r="J1207" i="23"/>
  <c r="J1430" i="23" s="1"/>
  <c r="H23" i="5" s="1"/>
  <c r="K1207" i="23"/>
  <c r="K1430" i="23" s="1"/>
  <c r="I23" i="5" s="1"/>
  <c r="D1207" i="23"/>
  <c r="D1430" i="23" s="1"/>
  <c r="E1207" i="23"/>
  <c r="E1430" i="23" s="1"/>
  <c r="E1098" i="23"/>
  <c r="E1097" i="23" s="1"/>
  <c r="J956" i="23"/>
  <c r="J955" i="23" s="1"/>
  <c r="D1098" i="23"/>
  <c r="D1097" i="23" s="1"/>
  <c r="C1098" i="23"/>
  <c r="C1097" i="23" s="1"/>
  <c r="F1108" i="23"/>
  <c r="J1098" i="23"/>
  <c r="J1097" i="23" s="1"/>
  <c r="E573" i="23"/>
  <c r="K956" i="23"/>
  <c r="K955" i="23" s="1"/>
  <c r="F165" i="23"/>
  <c r="F161" i="23" s="1"/>
  <c r="F157" i="23" s="1"/>
  <c r="K1432" i="23"/>
  <c r="I25" i="5" s="1"/>
  <c r="K1007" i="23"/>
  <c r="K1098" i="23"/>
  <c r="K1097" i="23" s="1"/>
  <c r="J1007" i="23"/>
  <c r="D1054" i="23"/>
  <c r="D1053" i="23" s="1"/>
  <c r="C1054" i="23"/>
  <c r="C1053" i="23" s="1"/>
  <c r="F823" i="23"/>
  <c r="F813" i="23" s="1"/>
  <c r="F812" i="23" s="1"/>
  <c r="J1432" i="23"/>
  <c r="H25" i="5" s="1"/>
  <c r="E1054" i="23"/>
  <c r="E1053" i="23" s="1"/>
  <c r="C708" i="23"/>
  <c r="C707" i="23" s="1"/>
  <c r="F718" i="23"/>
  <c r="F709" i="23"/>
  <c r="D708" i="23"/>
  <c r="F489" i="23"/>
  <c r="J488" i="23"/>
  <c r="J1054" i="23"/>
  <c r="J1053" i="23" s="1"/>
  <c r="J1421" i="23"/>
  <c r="J1423" i="23"/>
  <c r="H16" i="5" s="1"/>
  <c r="K1423" i="23"/>
  <c r="I16" i="5" s="1"/>
  <c r="K7" i="23"/>
  <c r="K1421" i="23"/>
  <c r="K488" i="23"/>
  <c r="K1420" i="23"/>
  <c r="I13" i="5" s="1"/>
  <c r="J7" i="23"/>
  <c r="F20" i="23"/>
  <c r="F16" i="23" s="1"/>
  <c r="F7" i="23" s="1"/>
  <c r="C976" i="23"/>
  <c r="C975" i="23" s="1"/>
  <c r="K573" i="23"/>
  <c r="K1425" i="23"/>
  <c r="I18" i="5" s="1"/>
  <c r="I1423" i="23"/>
  <c r="G16" i="5" s="1"/>
  <c r="J1426" i="23"/>
  <c r="H19" i="5" s="1"/>
  <c r="J1420" i="23"/>
  <c r="H13" i="5" s="1"/>
  <c r="K1426" i="23"/>
  <c r="I19" i="5" s="1"/>
  <c r="J1422" i="23"/>
  <c r="H15" i="5" s="1"/>
  <c r="C1420" i="23"/>
  <c r="C13" i="5" s="1"/>
  <c r="J573" i="23"/>
  <c r="J1425" i="23"/>
  <c r="H18" i="5" s="1"/>
  <c r="K1422" i="23"/>
  <c r="I15" i="5" s="1"/>
  <c r="J916" i="23"/>
  <c r="K916" i="23"/>
  <c r="I392" i="23"/>
  <c r="I1422" i="23"/>
  <c r="G15" i="5" s="1"/>
  <c r="E707" i="23"/>
  <c r="G707" i="23"/>
  <c r="I743" i="1"/>
  <c r="I742" i="1" s="1"/>
  <c r="H743" i="1"/>
  <c r="H742" i="1" s="1"/>
  <c r="I759" i="1"/>
  <c r="H759" i="1"/>
  <c r="E759" i="1"/>
  <c r="E758" i="1" s="1"/>
  <c r="K646" i="23"/>
  <c r="I707" i="23"/>
  <c r="J707" i="23"/>
  <c r="K707" i="23"/>
  <c r="E976" i="23"/>
  <c r="E975" i="23" s="1"/>
  <c r="D549" i="23"/>
  <c r="F676" i="23"/>
  <c r="C760" i="23"/>
  <c r="C759" i="23" s="1"/>
  <c r="D646" i="23"/>
  <c r="D617" i="23" s="1"/>
  <c r="F1008" i="23"/>
  <c r="I573" i="23"/>
  <c r="G18" i="5"/>
  <c r="K1053" i="23"/>
  <c r="I1420" i="23"/>
  <c r="G13" i="5" s="1"/>
  <c r="H646" i="23"/>
  <c r="H1427" i="23" s="1"/>
  <c r="F20" i="5" s="1"/>
  <c r="D1432" i="23"/>
  <c r="E1219" i="23"/>
  <c r="K760" i="23"/>
  <c r="K759" i="23" s="1"/>
  <c r="D976" i="23"/>
  <c r="D975" i="23" s="1"/>
  <c r="E1432" i="23"/>
  <c r="I1432" i="23"/>
  <c r="G25" i="5" s="1"/>
  <c r="G1098" i="23"/>
  <c r="G1097" i="23" s="1"/>
  <c r="D7" i="23"/>
  <c r="C1431" i="23"/>
  <c r="C24" i="5" s="1"/>
  <c r="D265" i="23"/>
  <c r="D264" i="23" s="1"/>
  <c r="C1432" i="23"/>
  <c r="C25" i="5" s="1"/>
  <c r="G976" i="23"/>
  <c r="G975" i="23" s="1"/>
  <c r="E196" i="23"/>
  <c r="E195" i="23" s="1"/>
  <c r="G1425" i="23"/>
  <c r="E18" i="5" s="1"/>
  <c r="G646" i="23"/>
  <c r="G1427" i="23" s="1"/>
  <c r="E20" i="5" s="1"/>
  <c r="H1431" i="23"/>
  <c r="F24" i="5" s="1"/>
  <c r="E813" i="23"/>
  <c r="E812" i="23" s="1"/>
  <c r="C813" i="23"/>
  <c r="C812" i="23" s="1"/>
  <c r="D196" i="23"/>
  <c r="D195" i="23" s="1"/>
  <c r="G1054" i="23"/>
  <c r="G1053" i="23" s="1"/>
  <c r="C196" i="23"/>
  <c r="C195" i="23" s="1"/>
  <c r="I488" i="23"/>
  <c r="C646" i="23"/>
  <c r="C1427" i="23" s="1"/>
  <c r="C20" i="5" s="1"/>
  <c r="D1219" i="23"/>
  <c r="D813" i="23"/>
  <c r="D812" i="23" s="1"/>
  <c r="G760" i="23"/>
  <c r="G759" i="23" s="1"/>
  <c r="H976" i="23"/>
  <c r="H975" i="23" s="1"/>
  <c r="J760" i="23"/>
  <c r="J759" i="23" s="1"/>
  <c r="G1007" i="23"/>
  <c r="G1006" i="23" s="1"/>
  <c r="E646" i="23"/>
  <c r="E617" i="23" s="1"/>
  <c r="C1423" i="23"/>
  <c r="C16" i="5" s="1"/>
  <c r="H1263" i="23"/>
  <c r="H1262" i="23" s="1"/>
  <c r="F420" i="23"/>
  <c r="F414" i="23" s="1"/>
  <c r="F413" i="23" s="1"/>
  <c r="F316" i="23"/>
  <c r="F311" i="23" s="1"/>
  <c r="F310" i="23" s="1"/>
  <c r="E265" i="23"/>
  <c r="E264" i="23" s="1"/>
  <c r="C248" i="23"/>
  <c r="D760" i="23"/>
  <c r="D759" i="23" s="1"/>
  <c r="K813" i="23"/>
  <c r="K812" i="23" s="1"/>
  <c r="C1007" i="23"/>
  <c r="C1006" i="23" s="1"/>
  <c r="F1220" i="23"/>
  <c r="F1219" i="23" s="1"/>
  <c r="H1007" i="23"/>
  <c r="H1006" i="23" s="1"/>
  <c r="J646" i="23"/>
  <c r="J1427" i="23" s="1"/>
  <c r="I760" i="23"/>
  <c r="H1098" i="23"/>
  <c r="H1097" i="23" s="1"/>
  <c r="E7" i="23"/>
  <c r="G813" i="23"/>
  <c r="G812" i="23" s="1"/>
  <c r="G956" i="23"/>
  <c r="G955" i="23" s="1"/>
  <c r="D248" i="23"/>
  <c r="F1099" i="23"/>
  <c r="F956" i="23"/>
  <c r="F955" i="23" s="1"/>
  <c r="F266" i="23"/>
  <c r="F265" i="23" s="1"/>
  <c r="F264" i="23" s="1"/>
  <c r="F1194" i="23"/>
  <c r="F397" i="23"/>
  <c r="F393" i="23" s="1"/>
  <c r="F392" i="23" s="1"/>
  <c r="D1420" i="23"/>
  <c r="F460" i="23"/>
  <c r="F453" i="23" s="1"/>
  <c r="F452" i="23" s="1"/>
  <c r="F936" i="23"/>
  <c r="F928" i="23" s="1"/>
  <c r="F927" i="23" s="1"/>
  <c r="F74" i="23"/>
  <c r="F73" i="23" s="1"/>
  <c r="F72" i="23" s="1"/>
  <c r="C265" i="23"/>
  <c r="C264" i="23" s="1"/>
  <c r="C1194" i="23"/>
  <c r="F197" i="23"/>
  <c r="F196" i="23" s="1"/>
  <c r="F195" i="23" s="1"/>
  <c r="F1060" i="23"/>
  <c r="F653" i="23"/>
  <c r="E956" i="23"/>
  <c r="E955" i="23" s="1"/>
  <c r="F980" i="23"/>
  <c r="F976" i="23" s="1"/>
  <c r="F975" i="23" s="1"/>
  <c r="E1420" i="23"/>
  <c r="F509" i="23"/>
  <c r="F504" i="23" s="1"/>
  <c r="I956" i="23"/>
  <c r="I955" i="23" s="1"/>
  <c r="F918" i="23"/>
  <c r="F917" i="23" s="1"/>
  <c r="F916" i="23" s="1"/>
  <c r="F770" i="23"/>
  <c r="F760" i="23" s="1"/>
  <c r="F759" i="23" s="1"/>
  <c r="I1430" i="23"/>
  <c r="G23" i="5" s="1"/>
  <c r="I1193" i="23"/>
  <c r="I646" i="23"/>
  <c r="I1427" i="23" s="1"/>
  <c r="E760" i="23"/>
  <c r="E759" i="23" s="1"/>
  <c r="H1425" i="23"/>
  <c r="F18" i="5" s="1"/>
  <c r="D1007" i="23"/>
  <c r="D1006" i="23" s="1"/>
  <c r="C488" i="23"/>
  <c r="J813" i="23"/>
  <c r="J812" i="23" s="1"/>
  <c r="I976" i="23"/>
  <c r="I975" i="23" s="1"/>
  <c r="H1054" i="23"/>
  <c r="H1053" i="23" s="1"/>
  <c r="F1017" i="23"/>
  <c r="F1262" i="23"/>
  <c r="I265" i="23"/>
  <c r="H760" i="23"/>
  <c r="H759" i="23" s="1"/>
  <c r="F618" i="23"/>
  <c r="H813" i="23"/>
  <c r="H812" i="23" s="1"/>
  <c r="I1219" i="23"/>
  <c r="I1054" i="23"/>
  <c r="I1053" i="23" s="1"/>
  <c r="I813" i="23"/>
  <c r="H196" i="23"/>
  <c r="H195" i="23" s="1"/>
  <c r="D488" i="23"/>
  <c r="F575" i="23"/>
  <c r="F574" i="23" s="1"/>
  <c r="F573" i="23" s="1"/>
  <c r="D1425" i="23"/>
  <c r="E1422" i="23"/>
  <c r="K1219" i="23"/>
  <c r="G196" i="23"/>
  <c r="G195" i="23" s="1"/>
  <c r="I1007" i="23"/>
  <c r="I1006" i="23" s="1"/>
  <c r="F1133" i="23"/>
  <c r="C7" i="23"/>
  <c r="G1219" i="23"/>
  <c r="I196" i="23"/>
  <c r="F1244" i="23"/>
  <c r="F1243" i="23" s="1"/>
  <c r="C1422" i="23"/>
  <c r="C15" i="5" s="1"/>
  <c r="H956" i="23"/>
  <c r="H955" i="23" s="1"/>
  <c r="C1424" i="23"/>
  <c r="C549" i="23"/>
  <c r="E488" i="23"/>
  <c r="E1423" i="23"/>
  <c r="E1007" i="23"/>
  <c r="E1006" i="23" s="1"/>
  <c r="D1423" i="23"/>
  <c r="I1098" i="23"/>
  <c r="I1097" i="23" s="1"/>
  <c r="H452" i="23"/>
  <c r="H1422" i="23"/>
  <c r="F15" i="5" s="1"/>
  <c r="G1422" i="23"/>
  <c r="E15" i="5" s="1"/>
  <c r="J1219" i="23"/>
  <c r="H24" i="5"/>
  <c r="I310" i="23"/>
  <c r="I7" i="23"/>
  <c r="H1423" i="23"/>
  <c r="F16" i="5" s="1"/>
  <c r="H7" i="23"/>
  <c r="H707" i="23"/>
  <c r="H1420" i="23"/>
  <c r="F13" i="5" s="1"/>
  <c r="G1426" i="23"/>
  <c r="E19" i="5" s="1"/>
  <c r="G7" i="23"/>
  <c r="G1420" i="23"/>
  <c r="E13" i="5" s="1"/>
  <c r="C1425" i="23"/>
  <c r="C573" i="23"/>
  <c r="D1429" i="23"/>
  <c r="C1426" i="23"/>
  <c r="D1422" i="23"/>
  <c r="F1098" i="23" l="1"/>
  <c r="G1193" i="23"/>
  <c r="C1429" i="23"/>
  <c r="C22" i="5" s="1"/>
  <c r="D1193" i="23"/>
  <c r="K1193" i="23"/>
  <c r="E1193" i="23"/>
  <c r="H1193" i="23"/>
  <c r="J1193" i="23"/>
  <c r="F488" i="23"/>
  <c r="F1054" i="23"/>
  <c r="F1053" i="23" s="1"/>
  <c r="F708" i="23"/>
  <c r="F707" i="23" s="1"/>
  <c r="J1428" i="23"/>
  <c r="H21" i="5" s="1"/>
  <c r="K1428" i="23"/>
  <c r="I21" i="5" s="1"/>
  <c r="K1427" i="23"/>
  <c r="I20" i="5" s="1"/>
  <c r="I759" i="23"/>
  <c r="I1428" i="23"/>
  <c r="G21" i="5" s="1"/>
  <c r="I264" i="23"/>
  <c r="I1421" i="23"/>
  <c r="G14" i="5" s="1"/>
  <c r="E6" i="23"/>
  <c r="E5" i="23" s="1"/>
  <c r="H1428" i="23"/>
  <c r="F21" i="5" s="1"/>
  <c r="C1428" i="23"/>
  <c r="C21" i="5" s="1"/>
  <c r="E1428" i="23"/>
  <c r="D707" i="23"/>
  <c r="D1428" i="23"/>
  <c r="G1428" i="23"/>
  <c r="E21" i="5" s="1"/>
  <c r="K1006" i="23"/>
  <c r="J1006" i="23"/>
  <c r="I812" i="23"/>
  <c r="K617" i="23"/>
  <c r="I758" i="1"/>
  <c r="H758" i="1"/>
  <c r="H20" i="5"/>
  <c r="I617" i="23"/>
  <c r="G20" i="5"/>
  <c r="I195" i="23"/>
  <c r="F646" i="23"/>
  <c r="F617" i="23" s="1"/>
  <c r="I14" i="5"/>
  <c r="D1427" i="23"/>
  <c r="F1007" i="23"/>
  <c r="F1006" i="23" s="1"/>
  <c r="H617" i="23"/>
  <c r="H14" i="5"/>
  <c r="F1432" i="23"/>
  <c r="D25" i="5" s="1"/>
  <c r="F1430" i="23"/>
  <c r="D23" i="5" s="1"/>
  <c r="F1431" i="23"/>
  <c r="D24" i="5" s="1"/>
  <c r="J617" i="23"/>
  <c r="D1421" i="23"/>
  <c r="G617" i="23"/>
  <c r="E1427" i="23"/>
  <c r="C617" i="23"/>
  <c r="C18" i="5"/>
  <c r="C1308" i="23"/>
  <c r="F1423" i="23"/>
  <c r="D16" i="5" s="1"/>
  <c r="E1421" i="23"/>
  <c r="F1263" i="23"/>
  <c r="F1422" i="23"/>
  <c r="D15" i="5" s="1"/>
  <c r="F1429" i="23"/>
  <c r="D22" i="5" s="1"/>
  <c r="F1193" i="23"/>
  <c r="C1421" i="23"/>
  <c r="C14" i="5" s="1"/>
  <c r="G1421" i="23"/>
  <c r="E14" i="5" s="1"/>
  <c r="H1421" i="23"/>
  <c r="F14" i="5" s="1"/>
  <c r="C1193" i="23"/>
  <c r="F1097" i="23"/>
  <c r="F1420" i="23"/>
  <c r="D13" i="5" s="1"/>
  <c r="F1424" i="23"/>
  <c r="D17" i="5" s="1"/>
  <c r="C17" i="5"/>
  <c r="F1426" i="23"/>
  <c r="D19" i="5" s="1"/>
  <c r="C19" i="5"/>
  <c r="F1425" i="23"/>
  <c r="G6" i="23" l="1"/>
  <c r="G5" i="23" s="1"/>
  <c r="D6" i="23"/>
  <c r="D5" i="23" s="1"/>
  <c r="H6" i="23"/>
  <c r="H5" i="23" s="1"/>
  <c r="K6" i="23"/>
  <c r="K5" i="23" s="1"/>
  <c r="I6" i="23"/>
  <c r="I5" i="23" s="1"/>
  <c r="J6" i="23"/>
  <c r="J5" i="23" s="1"/>
  <c r="C6" i="23"/>
  <c r="F6" i="23"/>
  <c r="F5" i="23" s="1"/>
  <c r="F1428" i="23"/>
  <c r="F1427" i="23"/>
  <c r="D20" i="5" s="1"/>
  <c r="F12" i="5"/>
  <c r="D1419" i="23"/>
  <c r="D1418" i="23" s="1"/>
  <c r="E12" i="5"/>
  <c r="D18" i="5"/>
  <c r="I12" i="5"/>
  <c r="K1419" i="23"/>
  <c r="E1419" i="23"/>
  <c r="E1418" i="23" s="1"/>
  <c r="G1419" i="23"/>
  <c r="G1418" i="23" s="1"/>
  <c r="H1419" i="23"/>
  <c r="H1418" i="23" s="1"/>
  <c r="F1421" i="23"/>
  <c r="D14" i="5" s="1"/>
  <c r="C1419" i="23"/>
  <c r="C1418" i="23" s="1"/>
  <c r="G12" i="5"/>
  <c r="J1419" i="23"/>
  <c r="H12" i="5"/>
  <c r="I1419" i="23"/>
  <c r="I1418" i="23" l="1"/>
  <c r="K1418" i="23"/>
  <c r="J1418" i="23"/>
  <c r="F1419" i="23"/>
  <c r="F1418" i="23" s="1"/>
  <c r="D21" i="5"/>
  <c r="D12" i="5" s="1"/>
  <c r="J637" i="1"/>
  <c r="I637" i="1"/>
  <c r="H637" i="1"/>
  <c r="G637" i="1"/>
  <c r="F637" i="1"/>
  <c r="E637" i="1"/>
  <c r="C637" i="1"/>
  <c r="J489" i="1"/>
  <c r="I489" i="1"/>
  <c r="H489" i="1"/>
  <c r="G489" i="1"/>
  <c r="F489" i="1"/>
  <c r="E489" i="1"/>
  <c r="C489" i="1"/>
  <c r="E740" i="1"/>
  <c r="E739" i="1" s="1"/>
  <c r="E738" i="1" s="1"/>
  <c r="E737" i="1" s="1"/>
  <c r="E735" i="1"/>
  <c r="E734" i="1" s="1"/>
  <c r="E733" i="1" s="1"/>
  <c r="E732" i="1" s="1"/>
  <c r="E730" i="1"/>
  <c r="E727" i="1"/>
  <c r="E722" i="1"/>
  <c r="E713" i="1"/>
  <c r="E711" i="1"/>
  <c r="E708" i="1"/>
  <c r="E703" i="1"/>
  <c r="E702" i="1" s="1"/>
  <c r="E696" i="1"/>
  <c r="E694" i="1"/>
  <c r="E691" i="1"/>
  <c r="E690" i="1" s="1"/>
  <c r="E682" i="1"/>
  <c r="E680" i="1"/>
  <c r="E677" i="1"/>
  <c r="E672" i="1"/>
  <c r="E671" i="1" s="1"/>
  <c r="E669" i="1"/>
  <c r="E666" i="1"/>
  <c r="E663" i="1"/>
  <c r="E661" i="1"/>
  <c r="E658" i="1"/>
  <c r="E654" i="1"/>
  <c r="E649" i="1"/>
  <c r="E642" i="1"/>
  <c r="E640" i="1"/>
  <c r="E632" i="1"/>
  <c r="E627" i="1"/>
  <c r="E626" i="1" s="1"/>
  <c r="E624" i="1"/>
  <c r="E614" i="1" s="1"/>
  <c r="E612" i="1"/>
  <c r="E611" i="1" s="1"/>
  <c r="E609" i="1"/>
  <c r="E603" i="1"/>
  <c r="E595" i="1"/>
  <c r="E593" i="1"/>
  <c r="E586" i="1"/>
  <c r="E575" i="1"/>
  <c r="E574" i="1" s="1"/>
  <c r="E573" i="1" s="1"/>
  <c r="E570" i="1"/>
  <c r="E566" i="1"/>
  <c r="E559" i="1"/>
  <c r="E554" i="1"/>
  <c r="E551" i="1"/>
  <c r="E548" i="1"/>
  <c r="E546" i="1"/>
  <c r="E540" i="1"/>
  <c r="E532" i="1"/>
  <c r="E528" i="1"/>
  <c r="E526" i="1"/>
  <c r="E525" i="1" s="1"/>
  <c r="E521" i="1"/>
  <c r="E520" i="1" s="1"/>
  <c r="E518" i="1"/>
  <c r="E511" i="1"/>
  <c r="E508" i="1"/>
  <c r="E505" i="1"/>
  <c r="E504" i="1" s="1"/>
  <c r="E495" i="1"/>
  <c r="E485" i="1"/>
  <c r="E480" i="1"/>
  <c r="E478" i="1"/>
  <c r="E475" i="1"/>
  <c r="E470" i="1"/>
  <c r="E464" i="1"/>
  <c r="E460" i="1"/>
  <c r="E457" i="1"/>
  <c r="E452" i="1"/>
  <c r="E450" i="1"/>
  <c r="E448" i="1"/>
  <c r="E443" i="1"/>
  <c r="E440" i="1"/>
  <c r="E439" i="1" s="1"/>
  <c r="E437" i="1"/>
  <c r="E430" i="1"/>
  <c r="E426" i="1"/>
  <c r="E423" i="1"/>
  <c r="E418" i="1"/>
  <c r="E416" i="1"/>
  <c r="E410" i="1"/>
  <c r="E404" i="1"/>
  <c r="E401" i="1"/>
  <c r="E396" i="1"/>
  <c r="E393" i="1"/>
  <c r="E392" i="1" s="1"/>
  <c r="E385" i="1"/>
  <c r="E384" i="1" s="1"/>
  <c r="E382" i="1"/>
  <c r="E380" i="1"/>
  <c r="E376" i="1"/>
  <c r="E370" i="1"/>
  <c r="E368" i="1"/>
  <c r="E363" i="1"/>
  <c r="E362" i="1" s="1"/>
  <c r="E361" i="1" s="1"/>
  <c r="E358" i="1"/>
  <c r="E356" i="1"/>
  <c r="E346" i="1"/>
  <c r="E344" i="1"/>
  <c r="E334" i="1"/>
  <c r="E332" i="1"/>
  <c r="E330" i="1"/>
  <c r="E327" i="1"/>
  <c r="E323" i="1"/>
  <c r="E320" i="1"/>
  <c r="E317" i="1"/>
  <c r="E316" i="1" s="1"/>
  <c r="E312" i="1"/>
  <c r="E309" i="1"/>
  <c r="E304" i="1"/>
  <c r="E302" i="1"/>
  <c r="E300" i="1"/>
  <c r="E297" i="1"/>
  <c r="E291" i="1"/>
  <c r="E288" i="1"/>
  <c r="E285" i="1"/>
  <c r="E280" i="1"/>
  <c r="E278" i="1"/>
  <c r="E275" i="1"/>
  <c r="E272" i="1"/>
  <c r="E267" i="1"/>
  <c r="E265" i="1"/>
  <c r="E264" i="1" s="1"/>
  <c r="E261" i="1"/>
  <c r="E260" i="1" s="1"/>
  <c r="E256" i="1"/>
  <c r="E252" i="1"/>
  <c r="E244" i="1"/>
  <c r="E241" i="1"/>
  <c r="E239" i="1"/>
  <c r="E238" i="1" s="1"/>
  <c r="E236" i="1"/>
  <c r="E233" i="1"/>
  <c r="E227" i="1"/>
  <c r="E222" i="1"/>
  <c r="E221" i="1" s="1"/>
  <c r="E219" i="1"/>
  <c r="E214" i="1"/>
  <c r="E212" i="1"/>
  <c r="E199" i="1"/>
  <c r="E198" i="1" s="1"/>
  <c r="E194" i="1"/>
  <c r="E192" i="1"/>
  <c r="E190" i="1"/>
  <c r="E185" i="1"/>
  <c r="E180" i="1"/>
  <c r="E172" i="1"/>
  <c r="E170" i="1"/>
  <c r="E160" i="1"/>
  <c r="E153" i="1"/>
  <c r="E146" i="1"/>
  <c r="E144" i="1"/>
  <c r="E141" i="1"/>
  <c r="E139" i="1"/>
  <c r="E136" i="1"/>
  <c r="E132" i="1"/>
  <c r="E125" i="1"/>
  <c r="E119" i="1"/>
  <c r="E116" i="1"/>
  <c r="E111" i="1"/>
  <c r="E108" i="1"/>
  <c r="E103" i="1"/>
  <c r="E100" i="1"/>
  <c r="E99" i="1" s="1"/>
  <c r="E97" i="1"/>
  <c r="E95" i="1"/>
  <c r="E89" i="1"/>
  <c r="E87" i="1"/>
  <c r="E80" i="1"/>
  <c r="E78" i="1"/>
  <c r="E74" i="1"/>
  <c r="E73" i="1" s="1"/>
  <c r="E68" i="1"/>
  <c r="E67" i="1" s="1"/>
  <c r="E57" i="1"/>
  <c r="E35" i="1" s="1"/>
  <c r="K33" i="1"/>
  <c r="E32" i="1"/>
  <c r="K32" i="1" s="1"/>
  <c r="E26" i="1"/>
  <c r="E21" i="1"/>
  <c r="E19" i="1"/>
  <c r="E14" i="1"/>
  <c r="E12" i="1"/>
  <c r="J740" i="1"/>
  <c r="J739" i="1" s="1"/>
  <c r="J738" i="1" s="1"/>
  <c r="J737" i="1" s="1"/>
  <c r="J735" i="1"/>
  <c r="J734" i="1" s="1"/>
  <c r="J733" i="1" s="1"/>
  <c r="J732" i="1" s="1"/>
  <c r="J730" i="1"/>
  <c r="J727" i="1"/>
  <c r="J722" i="1"/>
  <c r="J713" i="1"/>
  <c r="J711" i="1"/>
  <c r="J708" i="1"/>
  <c r="J703" i="1"/>
  <c r="J702" i="1" s="1"/>
  <c r="J696" i="1"/>
  <c r="J694" i="1"/>
  <c r="J691" i="1"/>
  <c r="J690" i="1" s="1"/>
  <c r="J682" i="1"/>
  <c r="J680" i="1"/>
  <c r="J677" i="1"/>
  <c r="J672" i="1"/>
  <c r="J671" i="1" s="1"/>
  <c r="J669" i="1"/>
  <c r="J666" i="1"/>
  <c r="J663" i="1"/>
  <c r="J658" i="1"/>
  <c r="J649" i="1"/>
  <c r="J642" i="1"/>
  <c r="J640" i="1"/>
  <c r="J632" i="1"/>
  <c r="J627" i="1"/>
  <c r="J626" i="1" s="1"/>
  <c r="J624" i="1"/>
  <c r="J614" i="1" s="1"/>
  <c r="J612" i="1"/>
  <c r="J611" i="1" s="1"/>
  <c r="J609" i="1"/>
  <c r="J603" i="1"/>
  <c r="J595" i="1"/>
  <c r="J593" i="1"/>
  <c r="J586" i="1"/>
  <c r="J575" i="1"/>
  <c r="J574" i="1" s="1"/>
  <c r="J573" i="1" s="1"/>
  <c r="J570" i="1"/>
  <c r="J566" i="1"/>
  <c r="J559" i="1"/>
  <c r="J554" i="1"/>
  <c r="J551" i="1"/>
  <c r="J548" i="1"/>
  <c r="J546" i="1"/>
  <c r="J540" i="1"/>
  <c r="J532" i="1"/>
  <c r="J528" i="1"/>
  <c r="J526" i="1"/>
  <c r="J525" i="1" s="1"/>
  <c r="J521" i="1"/>
  <c r="J520" i="1" s="1"/>
  <c r="J518" i="1"/>
  <c r="J511" i="1"/>
  <c r="J508" i="1"/>
  <c r="J505" i="1"/>
  <c r="J504" i="1" s="1"/>
  <c r="J495" i="1"/>
  <c r="J485" i="1"/>
  <c r="J480" i="1"/>
  <c r="J478" i="1"/>
  <c r="J475" i="1"/>
  <c r="J470" i="1"/>
  <c r="J464" i="1"/>
  <c r="J460" i="1"/>
  <c r="J457" i="1"/>
  <c r="J452" i="1"/>
  <c r="J450" i="1"/>
  <c r="J448" i="1"/>
  <c r="J443" i="1"/>
  <c r="J440" i="1"/>
  <c r="J439" i="1" s="1"/>
  <c r="J437" i="1"/>
  <c r="J430" i="1"/>
  <c r="J426" i="1"/>
  <c r="J423" i="1"/>
  <c r="J418" i="1"/>
  <c r="J416" i="1"/>
  <c r="J410" i="1"/>
  <c r="J404" i="1"/>
  <c r="J401" i="1"/>
  <c r="J396" i="1"/>
  <c r="J393" i="1"/>
  <c r="J392" i="1" s="1"/>
  <c r="J385" i="1"/>
  <c r="J384" i="1" s="1"/>
  <c r="J382" i="1"/>
  <c r="J380" i="1"/>
  <c r="J376" i="1"/>
  <c r="J370" i="1"/>
  <c r="J368" i="1"/>
  <c r="J363" i="1"/>
  <c r="J362" i="1" s="1"/>
  <c r="J361" i="1" s="1"/>
  <c r="J358" i="1"/>
  <c r="J356" i="1"/>
  <c r="J346" i="1"/>
  <c r="J344" i="1"/>
  <c r="J334" i="1"/>
  <c r="J332" i="1"/>
  <c r="J330" i="1"/>
  <c r="J327" i="1"/>
  <c r="J323" i="1"/>
  <c r="J320" i="1"/>
  <c r="J317" i="1"/>
  <c r="J316" i="1" s="1"/>
  <c r="J312" i="1"/>
  <c r="J309" i="1"/>
  <c r="J304" i="1"/>
  <c r="J302" i="1"/>
  <c r="J300" i="1"/>
  <c r="J297" i="1"/>
  <c r="J291" i="1"/>
  <c r="J288" i="1"/>
  <c r="J285" i="1"/>
  <c r="J280" i="1"/>
  <c r="J278" i="1"/>
  <c r="J275" i="1"/>
  <c r="J272" i="1"/>
  <c r="J267" i="1"/>
  <c r="J265" i="1"/>
  <c r="J264" i="1" s="1"/>
  <c r="J261" i="1"/>
  <c r="J260" i="1" s="1"/>
  <c r="J256" i="1"/>
  <c r="J252" i="1"/>
  <c r="J250" i="1"/>
  <c r="J244" i="1"/>
  <c r="J241" i="1"/>
  <c r="J239" i="1"/>
  <c r="J238" i="1" s="1"/>
  <c r="J236" i="1"/>
  <c r="J233" i="1"/>
  <c r="J227" i="1"/>
  <c r="J222" i="1"/>
  <c r="J221" i="1" s="1"/>
  <c r="J219" i="1"/>
  <c r="J214" i="1"/>
  <c r="J212" i="1"/>
  <c r="J199" i="1"/>
  <c r="J198" i="1" s="1"/>
  <c r="J194" i="1"/>
  <c r="J192" i="1"/>
  <c r="J189" i="1"/>
  <c r="J188" i="1" s="1"/>
  <c r="J185" i="1"/>
  <c r="J180" i="1"/>
  <c r="J172" i="1"/>
  <c r="J170" i="1"/>
  <c r="J160" i="1"/>
  <c r="J153" i="1"/>
  <c r="J146" i="1"/>
  <c r="J144" i="1"/>
  <c r="J141" i="1"/>
  <c r="J139" i="1"/>
  <c r="J136" i="1"/>
  <c r="J132" i="1"/>
  <c r="J125" i="1"/>
  <c r="J119" i="1"/>
  <c r="J116" i="1"/>
  <c r="J111" i="1"/>
  <c r="J108" i="1"/>
  <c r="J103" i="1"/>
  <c r="J100" i="1"/>
  <c r="J99" i="1" s="1"/>
  <c r="J97" i="1"/>
  <c r="J95" i="1"/>
  <c r="J89" i="1"/>
  <c r="J87" i="1"/>
  <c r="J80" i="1"/>
  <c r="J78" i="1"/>
  <c r="J74" i="1"/>
  <c r="J73" i="1" s="1"/>
  <c r="J68" i="1"/>
  <c r="J67" i="1" s="1"/>
  <c r="J57" i="1"/>
  <c r="J35" i="1" s="1"/>
  <c r="J31" i="1"/>
  <c r="J29" i="1"/>
  <c r="J26" i="1"/>
  <c r="J21" i="1"/>
  <c r="J19" i="1"/>
  <c r="J14" i="1"/>
  <c r="J12" i="1"/>
  <c r="I740" i="1"/>
  <c r="I735" i="1"/>
  <c r="I730" i="1"/>
  <c r="I727" i="1"/>
  <c r="I722" i="1"/>
  <c r="I713" i="1"/>
  <c r="I711" i="1"/>
  <c r="I708" i="1"/>
  <c r="I703" i="1"/>
  <c r="I696" i="1"/>
  <c r="I694" i="1"/>
  <c r="I691" i="1"/>
  <c r="I682" i="1"/>
  <c r="I680" i="1"/>
  <c r="I677" i="1"/>
  <c r="I672" i="1"/>
  <c r="I669" i="1"/>
  <c r="I666" i="1"/>
  <c r="I663" i="1"/>
  <c r="I658" i="1"/>
  <c r="I649" i="1"/>
  <c r="I642" i="1"/>
  <c r="I640" i="1"/>
  <c r="I632" i="1"/>
  <c r="I627" i="1"/>
  <c r="I624" i="1"/>
  <c r="I612" i="1"/>
  <c r="I609" i="1"/>
  <c r="I603" i="1"/>
  <c r="I595" i="1"/>
  <c r="I593" i="1"/>
  <c r="I586" i="1"/>
  <c r="I575" i="1"/>
  <c r="I570" i="1"/>
  <c r="I566" i="1"/>
  <c r="I559" i="1"/>
  <c r="I554" i="1"/>
  <c r="I551" i="1"/>
  <c r="I548" i="1"/>
  <c r="I546" i="1"/>
  <c r="I540" i="1"/>
  <c r="I532" i="1"/>
  <c r="I528" i="1"/>
  <c r="I526" i="1"/>
  <c r="I521" i="1"/>
  <c r="I518" i="1"/>
  <c r="I511" i="1"/>
  <c r="I508" i="1"/>
  <c r="I505" i="1"/>
  <c r="I495" i="1"/>
  <c r="I485" i="1"/>
  <c r="I480" i="1"/>
  <c r="I478" i="1"/>
  <c r="I475" i="1"/>
  <c r="I470" i="1"/>
  <c r="I464" i="1"/>
  <c r="I460" i="1"/>
  <c r="I457" i="1"/>
  <c r="I452" i="1"/>
  <c r="I450" i="1"/>
  <c r="I448" i="1"/>
  <c r="I443" i="1"/>
  <c r="I440" i="1"/>
  <c r="I437" i="1"/>
  <c r="I430" i="1"/>
  <c r="I426" i="1"/>
  <c r="I423" i="1"/>
  <c r="I418" i="1"/>
  <c r="I416" i="1"/>
  <c r="I410" i="1"/>
  <c r="I404" i="1"/>
  <c r="I401" i="1"/>
  <c r="I396" i="1"/>
  <c r="I393" i="1"/>
  <c r="I385" i="1"/>
  <c r="I384" i="1" s="1"/>
  <c r="I382" i="1"/>
  <c r="I380" i="1"/>
  <c r="I376" i="1"/>
  <c r="I370" i="1"/>
  <c r="I368" i="1"/>
  <c r="I363" i="1"/>
  <c r="I362" i="1" s="1"/>
  <c r="I361" i="1" s="1"/>
  <c r="I358" i="1"/>
  <c r="I356" i="1"/>
  <c r="I346" i="1"/>
  <c r="I344" i="1"/>
  <c r="I334" i="1"/>
  <c r="I332" i="1"/>
  <c r="I330" i="1"/>
  <c r="I327" i="1"/>
  <c r="I323" i="1"/>
  <c r="I320" i="1"/>
  <c r="I317" i="1"/>
  <c r="I316" i="1" s="1"/>
  <c r="I312" i="1"/>
  <c r="I309" i="1"/>
  <c r="I304" i="1"/>
  <c r="I302" i="1"/>
  <c r="I300" i="1"/>
  <c r="I297" i="1"/>
  <c r="I291" i="1"/>
  <c r="I288" i="1"/>
  <c r="I285" i="1"/>
  <c r="I280" i="1"/>
  <c r="I278" i="1"/>
  <c r="I275" i="1"/>
  <c r="I272" i="1"/>
  <c r="I267" i="1"/>
  <c r="I265" i="1"/>
  <c r="I264" i="1" s="1"/>
  <c r="I261" i="1"/>
  <c r="I260" i="1" s="1"/>
  <c r="I256" i="1"/>
  <c r="I252" i="1"/>
  <c r="I250" i="1"/>
  <c r="I244" i="1"/>
  <c r="I241" i="1"/>
  <c r="I239" i="1"/>
  <c r="I238" i="1" s="1"/>
  <c r="I236" i="1"/>
  <c r="I233" i="1"/>
  <c r="I227" i="1"/>
  <c r="I222" i="1"/>
  <c r="I221" i="1" s="1"/>
  <c r="I219" i="1"/>
  <c r="I214" i="1"/>
  <c r="I212" i="1"/>
  <c r="I199" i="1"/>
  <c r="I198" i="1" s="1"/>
  <c r="I194" i="1"/>
  <c r="I192" i="1"/>
  <c r="I189" i="1"/>
  <c r="I188" i="1" s="1"/>
  <c r="I185" i="1"/>
  <c r="I180" i="1"/>
  <c r="I172" i="1"/>
  <c r="I170" i="1"/>
  <c r="I160" i="1"/>
  <c r="I153" i="1"/>
  <c r="I146" i="1"/>
  <c r="I144" i="1"/>
  <c r="I141" i="1"/>
  <c r="I139" i="1"/>
  <c r="I136" i="1"/>
  <c r="I132" i="1"/>
  <c r="I125" i="1"/>
  <c r="I119" i="1"/>
  <c r="I116" i="1"/>
  <c r="I111" i="1"/>
  <c r="I108" i="1"/>
  <c r="I103" i="1"/>
  <c r="I100" i="1"/>
  <c r="I99" i="1" s="1"/>
  <c r="I97" i="1"/>
  <c r="I95" i="1"/>
  <c r="I89" i="1"/>
  <c r="I87" i="1"/>
  <c r="I80" i="1"/>
  <c r="I78" i="1"/>
  <c r="I74" i="1"/>
  <c r="I73" i="1" s="1"/>
  <c r="I68" i="1"/>
  <c r="I67" i="1" s="1"/>
  <c r="I57" i="1"/>
  <c r="I35" i="1" s="1"/>
  <c r="I31" i="1"/>
  <c r="I29" i="1"/>
  <c r="I26" i="1"/>
  <c r="I21" i="1"/>
  <c r="I19" i="1"/>
  <c r="I14" i="1"/>
  <c r="I12" i="1"/>
  <c r="H740" i="1"/>
  <c r="H735" i="1"/>
  <c r="H730" i="1"/>
  <c r="H727" i="1"/>
  <c r="H722" i="1"/>
  <c r="H713" i="1"/>
  <c r="H711" i="1"/>
  <c r="H708" i="1"/>
  <c r="H703" i="1"/>
  <c r="H696" i="1"/>
  <c r="H694" i="1"/>
  <c r="H691" i="1"/>
  <c r="H682" i="1"/>
  <c r="H680" i="1"/>
  <c r="H677" i="1"/>
  <c r="H672" i="1"/>
  <c r="H669" i="1"/>
  <c r="H666" i="1"/>
  <c r="H663" i="1"/>
  <c r="H658" i="1"/>
  <c r="H649" i="1"/>
  <c r="H642" i="1"/>
  <c r="H640" i="1"/>
  <c r="H632" i="1"/>
  <c r="H627" i="1"/>
  <c r="H624" i="1"/>
  <c r="H612" i="1"/>
  <c r="H609" i="1"/>
  <c r="H603" i="1"/>
  <c r="H595" i="1"/>
  <c r="H593" i="1"/>
  <c r="H586" i="1"/>
  <c r="H575" i="1"/>
  <c r="H570" i="1"/>
  <c r="H566" i="1"/>
  <c r="H559" i="1"/>
  <c r="H554" i="1"/>
  <c r="H551" i="1"/>
  <c r="H548" i="1"/>
  <c r="H546" i="1"/>
  <c r="H540" i="1"/>
  <c r="H532" i="1"/>
  <c r="H528" i="1"/>
  <c r="H526" i="1"/>
  <c r="H521" i="1"/>
  <c r="H518" i="1"/>
  <c r="H511" i="1"/>
  <c r="H508" i="1"/>
  <c r="H505" i="1"/>
  <c r="H495" i="1"/>
  <c r="H485" i="1"/>
  <c r="H480" i="1"/>
  <c r="H478" i="1"/>
  <c r="H475" i="1"/>
  <c r="H470" i="1"/>
  <c r="H464" i="1"/>
  <c r="H460" i="1"/>
  <c r="H457" i="1"/>
  <c r="H452" i="1"/>
  <c r="H450" i="1"/>
  <c r="H448" i="1"/>
  <c r="H443" i="1"/>
  <c r="H440" i="1"/>
  <c r="H437" i="1"/>
  <c r="H430" i="1"/>
  <c r="H426" i="1"/>
  <c r="H423" i="1"/>
  <c r="H418" i="1"/>
  <c r="H416" i="1"/>
  <c r="H410" i="1"/>
  <c r="H404" i="1"/>
  <c r="H401" i="1"/>
  <c r="H396" i="1"/>
  <c r="H393" i="1"/>
  <c r="H385" i="1"/>
  <c r="H384" i="1" s="1"/>
  <c r="H382" i="1"/>
  <c r="H380" i="1"/>
  <c r="H376" i="1"/>
  <c r="H370" i="1"/>
  <c r="H368" i="1"/>
  <c r="H363" i="1"/>
  <c r="H362" i="1" s="1"/>
  <c r="H361" i="1" s="1"/>
  <c r="H358" i="1"/>
  <c r="H356" i="1"/>
  <c r="H346" i="1"/>
  <c r="H344" i="1"/>
  <c r="H334" i="1"/>
  <c r="H332" i="1"/>
  <c r="H330" i="1"/>
  <c r="H327" i="1"/>
  <c r="H323" i="1"/>
  <c r="H320" i="1"/>
  <c r="H317" i="1"/>
  <c r="H316" i="1" s="1"/>
  <c r="H312" i="1"/>
  <c r="H309" i="1"/>
  <c r="H304" i="1"/>
  <c r="H302" i="1"/>
  <c r="H300" i="1"/>
  <c r="H297" i="1"/>
  <c r="H291" i="1"/>
  <c r="H288" i="1"/>
  <c r="H285" i="1"/>
  <c r="H280" i="1"/>
  <c r="H278" i="1"/>
  <c r="H275" i="1"/>
  <c r="H272" i="1"/>
  <c r="H267" i="1"/>
  <c r="H265" i="1"/>
  <c r="H264" i="1" s="1"/>
  <c r="H261" i="1"/>
  <c r="H260" i="1" s="1"/>
  <c r="H256" i="1"/>
  <c r="H252" i="1"/>
  <c r="H250" i="1"/>
  <c r="H244" i="1"/>
  <c r="H241" i="1"/>
  <c r="H239" i="1"/>
  <c r="H238" i="1" s="1"/>
  <c r="H236" i="1"/>
  <c r="H233" i="1"/>
  <c r="H227" i="1"/>
  <c r="H222" i="1"/>
  <c r="H221" i="1" s="1"/>
  <c r="H219" i="1"/>
  <c r="H214" i="1"/>
  <c r="H212" i="1"/>
  <c r="H199" i="1"/>
  <c r="H198" i="1" s="1"/>
  <c r="H194" i="1"/>
  <c r="H192" i="1"/>
  <c r="H189" i="1"/>
  <c r="H188" i="1" s="1"/>
  <c r="H185" i="1"/>
  <c r="H180" i="1"/>
  <c r="H172" i="1"/>
  <c r="H170" i="1"/>
  <c r="H160" i="1"/>
  <c r="H153" i="1"/>
  <c r="H146" i="1"/>
  <c r="H144" i="1"/>
  <c r="H141" i="1"/>
  <c r="H139" i="1"/>
  <c r="H136" i="1"/>
  <c r="H132" i="1"/>
  <c r="H125" i="1"/>
  <c r="H119" i="1"/>
  <c r="H116" i="1"/>
  <c r="H111" i="1"/>
  <c r="H108" i="1"/>
  <c r="H103" i="1"/>
  <c r="H100" i="1"/>
  <c r="H99" i="1" s="1"/>
  <c r="H97" i="1"/>
  <c r="H95" i="1"/>
  <c r="H89" i="1"/>
  <c r="H87" i="1"/>
  <c r="H80" i="1"/>
  <c r="H78" i="1"/>
  <c r="H74" i="1"/>
  <c r="H73" i="1" s="1"/>
  <c r="H68" i="1"/>
  <c r="H67" i="1" s="1"/>
  <c r="H57" i="1"/>
  <c r="H35" i="1" s="1"/>
  <c r="H31" i="1"/>
  <c r="H29" i="1"/>
  <c r="H26" i="1"/>
  <c r="H21" i="1"/>
  <c r="H19" i="1"/>
  <c r="H14" i="1"/>
  <c r="H12" i="1"/>
  <c r="E531" i="1" l="1"/>
  <c r="E572" i="1"/>
  <c r="I25" i="1"/>
  <c r="J25" i="1"/>
  <c r="H25" i="1"/>
  <c r="J599" i="1"/>
  <c r="J598" i="1" s="1"/>
  <c r="J597" i="1" s="1"/>
  <c r="E343" i="1"/>
  <c r="H343" i="1"/>
  <c r="H339" i="1" s="1"/>
  <c r="I343" i="1"/>
  <c r="I339" i="1" s="1"/>
  <c r="J343" i="1"/>
  <c r="J339" i="1" s="1"/>
  <c r="J338" i="1" s="1"/>
  <c r="E339" i="1"/>
  <c r="E338" i="1" s="1"/>
  <c r="H504" i="1"/>
  <c r="H599" i="1"/>
  <c r="I574" i="1"/>
  <c r="I626" i="1"/>
  <c r="I702" i="1"/>
  <c r="K661" i="1"/>
  <c r="H400" i="1"/>
  <c r="H525" i="1"/>
  <c r="H653" i="1"/>
  <c r="H671" i="1"/>
  <c r="H690" i="1"/>
  <c r="I400" i="1"/>
  <c r="I525" i="1"/>
  <c r="I653" i="1"/>
  <c r="I671" i="1"/>
  <c r="I690" i="1"/>
  <c r="J400" i="1"/>
  <c r="J391" i="1" s="1"/>
  <c r="J390" i="1" s="1"/>
  <c r="J653" i="1"/>
  <c r="E599" i="1"/>
  <c r="E598" i="1" s="1"/>
  <c r="E597" i="1" s="1"/>
  <c r="H520" i="1"/>
  <c r="H574" i="1"/>
  <c r="H739" i="1"/>
  <c r="I520" i="1"/>
  <c r="I599" i="1"/>
  <c r="H611" i="1"/>
  <c r="I611" i="1"/>
  <c r="E400" i="1"/>
  <c r="E391" i="1" s="1"/>
  <c r="E390" i="1" s="1"/>
  <c r="E653" i="1"/>
  <c r="H626" i="1"/>
  <c r="H702" i="1"/>
  <c r="I504" i="1"/>
  <c r="I739" i="1"/>
  <c r="H439" i="1"/>
  <c r="H392" i="1"/>
  <c r="H531" i="1"/>
  <c r="H614" i="1"/>
  <c r="H734" i="1"/>
  <c r="I392" i="1"/>
  <c r="I531" i="1"/>
  <c r="I614" i="1"/>
  <c r="I734" i="1"/>
  <c r="J531" i="1"/>
  <c r="E676" i="1"/>
  <c r="E484" i="1"/>
  <c r="I484" i="1"/>
  <c r="J572" i="1"/>
  <c r="E150" i="1"/>
  <c r="E707" i="1"/>
  <c r="E665" i="1"/>
  <c r="J150" i="1"/>
  <c r="H150" i="1"/>
  <c r="I150" i="1"/>
  <c r="I469" i="1"/>
  <c r="E77" i="1"/>
  <c r="E469" i="1"/>
  <c r="E442" i="1"/>
  <c r="K31" i="1"/>
  <c r="H665" i="1"/>
  <c r="E565" i="1"/>
  <c r="E564" i="1" s="1"/>
  <c r="E563" i="1" s="1"/>
  <c r="E29" i="1"/>
  <c r="K30" i="1"/>
  <c r="K29" i="1" s="1"/>
  <c r="I665" i="1"/>
  <c r="J507" i="1"/>
  <c r="J553" i="1"/>
  <c r="J665" i="1"/>
  <c r="J484" i="1"/>
  <c r="E250" i="1"/>
  <c r="E243" i="1" s="1"/>
  <c r="K251" i="1"/>
  <c r="K250" i="1" s="1"/>
  <c r="K243" i="1" s="1"/>
  <c r="K225" i="1" s="1"/>
  <c r="K224" i="1" s="1"/>
  <c r="E189" i="1"/>
  <c r="E188" i="1" s="1"/>
  <c r="K190" i="1"/>
  <c r="K189" i="1" s="1"/>
  <c r="K188" i="1" s="1"/>
  <c r="K149" i="1" s="1"/>
  <c r="K148" i="1" s="1"/>
  <c r="H308" i="1"/>
  <c r="E693" i="1"/>
  <c r="E648" i="1"/>
  <c r="H648" i="1"/>
  <c r="I648" i="1"/>
  <c r="J648" i="1"/>
  <c r="E636" i="1"/>
  <c r="E635" i="1" s="1"/>
  <c r="I636" i="1"/>
  <c r="H636" i="1"/>
  <c r="J636" i="1"/>
  <c r="E18" i="1"/>
  <c r="E17" i="1" s="1"/>
  <c r="E16" i="1" s="1"/>
  <c r="J469" i="1"/>
  <c r="E592" i="1"/>
  <c r="E591" i="1" s="1"/>
  <c r="E590" i="1" s="1"/>
  <c r="H456" i="1"/>
  <c r="E631" i="1"/>
  <c r="E630" i="1" s="1"/>
  <c r="E629" i="1" s="1"/>
  <c r="E579" i="1"/>
  <c r="E578" i="1" s="1"/>
  <c r="E577" i="1" s="1"/>
  <c r="H422" i="1"/>
  <c r="H579" i="1"/>
  <c r="H631" i="1"/>
  <c r="I579" i="1"/>
  <c r="I631" i="1"/>
  <c r="J579" i="1"/>
  <c r="J578" i="1" s="1"/>
  <c r="J631" i="1"/>
  <c r="J630" i="1" s="1"/>
  <c r="J629" i="1" s="1"/>
  <c r="H191" i="1"/>
  <c r="H565" i="1"/>
  <c r="H592" i="1"/>
  <c r="I11" i="1"/>
  <c r="I10" i="1" s="1"/>
  <c r="I191" i="1"/>
  <c r="I456" i="1"/>
  <c r="I565" i="1"/>
  <c r="I592" i="1"/>
  <c r="J565" i="1"/>
  <c r="J564" i="1" s="1"/>
  <c r="J563" i="1" s="1"/>
  <c r="J592" i="1"/>
  <c r="J591" i="1" s="1"/>
  <c r="J590" i="1" s="1"/>
  <c r="E507" i="1"/>
  <c r="I693" i="1"/>
  <c r="I707" i="1"/>
  <c r="H11" i="1"/>
  <c r="H10" i="1" s="1"/>
  <c r="H507" i="1"/>
  <c r="H553" i="1"/>
  <c r="I507" i="1"/>
  <c r="I553" i="1"/>
  <c r="E226" i="1"/>
  <c r="E456" i="1"/>
  <c r="H469" i="1"/>
  <c r="H484" i="1"/>
  <c r="J456" i="1"/>
  <c r="E308" i="1"/>
  <c r="E553" i="1"/>
  <c r="H442" i="1"/>
  <c r="I442" i="1"/>
  <c r="J86" i="1"/>
  <c r="J85" i="1" s="1"/>
  <c r="J84" i="1" s="1"/>
  <c r="J693" i="1"/>
  <c r="J721" i="1"/>
  <c r="E138" i="1"/>
  <c r="E135" i="1" s="1"/>
  <c r="E134" i="1" s="1"/>
  <c r="I18" i="1"/>
  <c r="I17" i="1" s="1"/>
  <c r="I16" i="1" s="1"/>
  <c r="I319" i="1"/>
  <c r="J442" i="1"/>
  <c r="E211" i="1"/>
  <c r="E207" i="1" s="1"/>
  <c r="E206" i="1" s="1"/>
  <c r="H326" i="1"/>
  <c r="H325" i="1" s="1"/>
  <c r="H366" i="1"/>
  <c r="H365" i="1" s="1"/>
  <c r="J191" i="1"/>
  <c r="J707" i="1"/>
  <c r="E31" i="1"/>
  <c r="H271" i="1"/>
  <c r="H270" i="1" s="1"/>
  <c r="I284" i="1"/>
  <c r="I283" i="1" s="1"/>
  <c r="I326" i="1"/>
  <c r="I325" i="1" s="1"/>
  <c r="I422" i="1"/>
  <c r="I439" i="1"/>
  <c r="E422" i="1"/>
  <c r="J422" i="1"/>
  <c r="H693" i="1"/>
  <c r="I115" i="1"/>
  <c r="J243" i="1"/>
  <c r="J308" i="1"/>
  <c r="J367" i="1"/>
  <c r="E11" i="1"/>
  <c r="E10" i="1" s="1"/>
  <c r="H18" i="1"/>
  <c r="H17" i="1" s="1"/>
  <c r="H16" i="1" s="1"/>
  <c r="H211" i="1"/>
  <c r="H207" i="1" s="1"/>
  <c r="H206" i="1" s="1"/>
  <c r="H707" i="1"/>
  <c r="H721" i="1"/>
  <c r="I243" i="1"/>
  <c r="I255" i="1"/>
  <c r="I254" i="1" s="1"/>
  <c r="I271" i="1"/>
  <c r="I270" i="1" s="1"/>
  <c r="I721" i="1"/>
  <c r="J211" i="1"/>
  <c r="J207" i="1" s="1"/>
  <c r="J206" i="1" s="1"/>
  <c r="J226" i="1"/>
  <c r="J271" i="1"/>
  <c r="J270" i="1" s="1"/>
  <c r="J284" i="1"/>
  <c r="J283" i="1" s="1"/>
  <c r="E86" i="1"/>
  <c r="E85" i="1" s="1"/>
  <c r="E84" i="1" s="1"/>
  <c r="E107" i="1"/>
  <c r="E191" i="1"/>
  <c r="E326" i="1"/>
  <c r="E325" i="1" s="1"/>
  <c r="I676" i="1"/>
  <c r="J326" i="1"/>
  <c r="J325" i="1" s="1"/>
  <c r="J366" i="1"/>
  <c r="J365" i="1" s="1"/>
  <c r="J676" i="1"/>
  <c r="H115" i="1"/>
  <c r="H284" i="1"/>
  <c r="H283" i="1" s="1"/>
  <c r="H367" i="1"/>
  <c r="I138" i="1"/>
  <c r="I135" i="1" s="1"/>
  <c r="I134" i="1" s="1"/>
  <c r="H77" i="1"/>
  <c r="H107" i="1"/>
  <c r="H243" i="1"/>
  <c r="I211" i="1"/>
  <c r="I207" i="1" s="1"/>
  <c r="I206" i="1" s="1"/>
  <c r="I366" i="1"/>
  <c r="I365" i="1" s="1"/>
  <c r="I367" i="1"/>
  <c r="J18" i="1"/>
  <c r="J17" i="1" s="1"/>
  <c r="J16" i="1" s="1"/>
  <c r="J77" i="1"/>
  <c r="J115" i="1"/>
  <c r="J138" i="1"/>
  <c r="J135" i="1" s="1"/>
  <c r="J134" i="1" s="1"/>
  <c r="E115" i="1"/>
  <c r="E271" i="1"/>
  <c r="E270" i="1" s="1"/>
  <c r="E284" i="1"/>
  <c r="E283" i="1" s="1"/>
  <c r="E319" i="1"/>
  <c r="E367" i="1"/>
  <c r="E721" i="1"/>
  <c r="E366" i="1"/>
  <c r="E365" i="1" s="1"/>
  <c r="E255" i="1"/>
  <c r="E254" i="1" s="1"/>
  <c r="H676" i="1"/>
  <c r="H319" i="1"/>
  <c r="J319" i="1"/>
  <c r="I308" i="1"/>
  <c r="H255" i="1"/>
  <c r="H254" i="1" s="1"/>
  <c r="I226" i="1"/>
  <c r="H226" i="1"/>
  <c r="H138" i="1"/>
  <c r="H135" i="1" s="1"/>
  <c r="H134" i="1" s="1"/>
  <c r="J107" i="1"/>
  <c r="I107" i="1"/>
  <c r="H86" i="1"/>
  <c r="H85" i="1" s="1"/>
  <c r="H84" i="1" s="1"/>
  <c r="I86" i="1"/>
  <c r="I85" i="1" s="1"/>
  <c r="I84" i="1" s="1"/>
  <c r="I77" i="1"/>
  <c r="J11" i="1"/>
  <c r="J10" i="1" s="1"/>
  <c r="J255" i="1"/>
  <c r="J254" i="1" s="1"/>
  <c r="I24" i="1" l="1"/>
  <c r="I23" i="1" s="1"/>
  <c r="J24" i="1"/>
  <c r="J23" i="1" s="1"/>
  <c r="H24" i="1"/>
  <c r="H23" i="1" s="1"/>
  <c r="J706" i="1"/>
  <c r="H391" i="1"/>
  <c r="H390" i="1" s="1"/>
  <c r="H706" i="1"/>
  <c r="E455" i="1"/>
  <c r="E454" i="1" s="1"/>
  <c r="J455" i="1"/>
  <c r="J454" i="1" s="1"/>
  <c r="E25" i="1"/>
  <c r="E24" i="1" s="1"/>
  <c r="E23" i="1" s="1"/>
  <c r="E706" i="1"/>
  <c r="I706" i="1"/>
  <c r="K25" i="1"/>
  <c r="K24" i="1" s="1"/>
  <c r="E9" i="1"/>
  <c r="E675" i="1"/>
  <c r="E674" i="1" s="1"/>
  <c r="J421" i="1"/>
  <c r="J420" i="1" s="1"/>
  <c r="I564" i="1"/>
  <c r="I573" i="1"/>
  <c r="H598" i="1"/>
  <c r="H564" i="1"/>
  <c r="H578" i="1"/>
  <c r="H577" i="1" s="1"/>
  <c r="I738" i="1"/>
  <c r="I598" i="1"/>
  <c r="H738" i="1"/>
  <c r="K653" i="1"/>
  <c r="K652" i="1" s="1"/>
  <c r="K913" i="1" s="1"/>
  <c r="H591" i="1"/>
  <c r="I630" i="1"/>
  <c r="H573" i="1"/>
  <c r="H483" i="1"/>
  <c r="H630" i="1"/>
  <c r="I391" i="1"/>
  <c r="I591" i="1"/>
  <c r="I578" i="1"/>
  <c r="I577" i="1" s="1"/>
  <c r="I733" i="1"/>
  <c r="H733" i="1"/>
  <c r="H338" i="1"/>
  <c r="I338" i="1"/>
  <c r="J577" i="1"/>
  <c r="I483" i="1"/>
  <c r="E483" i="1"/>
  <c r="E482" i="1" s="1"/>
  <c r="E106" i="1"/>
  <c r="E105" i="1" s="1"/>
  <c r="J524" i="1"/>
  <c r="J523" i="1" s="1"/>
  <c r="E421" i="1"/>
  <c r="E420" i="1" s="1"/>
  <c r="H307" i="1"/>
  <c r="H306" i="1" s="1"/>
  <c r="I455" i="1"/>
  <c r="H9" i="1"/>
  <c r="J9" i="1"/>
  <c r="I9" i="1"/>
  <c r="E652" i="1"/>
  <c r="E651" i="1" s="1"/>
  <c r="J675" i="1"/>
  <c r="J674" i="1" s="1"/>
  <c r="E225" i="1"/>
  <c r="E224" i="1" s="1"/>
  <c r="E307" i="1"/>
  <c r="E306" i="1" s="1"/>
  <c r="H421" i="1"/>
  <c r="J483" i="1"/>
  <c r="J482" i="1" s="1"/>
  <c r="I652" i="1"/>
  <c r="I635" i="1"/>
  <c r="H455" i="1"/>
  <c r="I675" i="1"/>
  <c r="H675" i="1"/>
  <c r="H524" i="1"/>
  <c r="J652" i="1"/>
  <c r="I149" i="1"/>
  <c r="I148" i="1" s="1"/>
  <c r="J106" i="1"/>
  <c r="J105" i="1" s="1"/>
  <c r="E634" i="1"/>
  <c r="H149" i="1"/>
  <c r="H148" i="1" s="1"/>
  <c r="J225" i="1"/>
  <c r="J224" i="1" s="1"/>
  <c r="E524" i="1"/>
  <c r="E523" i="1" s="1"/>
  <c r="H652" i="1"/>
  <c r="H635" i="1"/>
  <c r="J307" i="1"/>
  <c r="J306" i="1" s="1"/>
  <c r="I524" i="1"/>
  <c r="J635" i="1"/>
  <c r="I307" i="1"/>
  <c r="I306" i="1" s="1"/>
  <c r="H225" i="1"/>
  <c r="H224" i="1" s="1"/>
  <c r="I225" i="1"/>
  <c r="I224" i="1" s="1"/>
  <c r="I421" i="1"/>
  <c r="H106" i="1"/>
  <c r="H105" i="1" s="1"/>
  <c r="E149" i="1"/>
  <c r="E148" i="1" s="1"/>
  <c r="J149" i="1"/>
  <c r="J148" i="1" s="1"/>
  <c r="I106" i="1"/>
  <c r="I105" i="1" s="1"/>
  <c r="J913" i="1" l="1"/>
  <c r="J705" i="1"/>
  <c r="H913" i="1"/>
  <c r="E705" i="1"/>
  <c r="E8" i="1" s="1"/>
  <c r="E7" i="1" s="1"/>
  <c r="E913" i="1"/>
  <c r="I913" i="1"/>
  <c r="H912" i="1"/>
  <c r="K23" i="1"/>
  <c r="K912" i="1"/>
  <c r="E912" i="1"/>
  <c r="E917" i="1" s="1"/>
  <c r="I912" i="1"/>
  <c r="J912" i="1"/>
  <c r="I10" i="5" s="1"/>
  <c r="H420" i="1"/>
  <c r="I705" i="1"/>
  <c r="H523" i="1"/>
  <c r="I634" i="1"/>
  <c r="I482" i="1"/>
  <c r="I597" i="1"/>
  <c r="H597" i="1"/>
  <c r="I572" i="1"/>
  <c r="I523" i="1"/>
  <c r="H705" i="1"/>
  <c r="H737" i="1"/>
  <c r="H674" i="1"/>
  <c r="I454" i="1"/>
  <c r="I390" i="1"/>
  <c r="H732" i="1"/>
  <c r="H482" i="1"/>
  <c r="H572" i="1"/>
  <c r="K651" i="1"/>
  <c r="I737" i="1"/>
  <c r="I563" i="1"/>
  <c r="I420" i="1"/>
  <c r="H454" i="1"/>
  <c r="I732" i="1"/>
  <c r="H590" i="1"/>
  <c r="I674" i="1"/>
  <c r="I590" i="1"/>
  <c r="H629" i="1"/>
  <c r="I629" i="1"/>
  <c r="H563" i="1"/>
  <c r="J651" i="1"/>
  <c r="I651" i="1"/>
  <c r="D11" i="5"/>
  <c r="H634" i="1"/>
  <c r="J634" i="1"/>
  <c r="J8" i="1" s="1"/>
  <c r="H651" i="1"/>
  <c r="K8" i="1" l="1"/>
  <c r="K7" i="1" s="1"/>
  <c r="I8" i="1"/>
  <c r="I7" i="1" s="1"/>
  <c r="R7" i="1" s="1"/>
  <c r="H8" i="1"/>
  <c r="H7" i="1" s="1"/>
  <c r="Q7" i="1" s="1"/>
  <c r="D10" i="5"/>
  <c r="D9" i="5" s="1"/>
  <c r="D8" i="5" s="1"/>
  <c r="D7" i="5" s="1"/>
  <c r="K911" i="1"/>
  <c r="K910" i="1" s="1"/>
  <c r="G10" i="5"/>
  <c r="H10" i="5"/>
  <c r="G11" i="5"/>
  <c r="H11" i="5"/>
  <c r="I11" i="5"/>
  <c r="I9" i="5" s="1"/>
  <c r="I8" i="5" s="1"/>
  <c r="I7" i="5" s="1"/>
  <c r="J7" i="1"/>
  <c r="S7" i="1" s="1"/>
  <c r="J911" i="1"/>
  <c r="J910" i="1" s="1"/>
  <c r="H911" i="1"/>
  <c r="E911" i="1"/>
  <c r="E910" i="1" s="1"/>
  <c r="I911" i="1"/>
  <c r="G570" i="1"/>
  <c r="F570" i="1"/>
  <c r="C570" i="1"/>
  <c r="G460" i="1"/>
  <c r="F460" i="1"/>
  <c r="C460" i="1"/>
  <c r="G457" i="1"/>
  <c r="F457" i="1"/>
  <c r="C457" i="1"/>
  <c r="G346" i="1"/>
  <c r="F346" i="1"/>
  <c r="C346" i="1"/>
  <c r="G9" i="5" l="1"/>
  <c r="G8" i="5" s="1"/>
  <c r="G7" i="5" s="1"/>
  <c r="L911" i="1"/>
  <c r="H9" i="5"/>
  <c r="H8" i="5" s="1"/>
  <c r="H7" i="5" s="1"/>
  <c r="H910" i="1"/>
  <c r="I910" i="1"/>
  <c r="L910" i="1" l="1"/>
  <c r="K917" i="1"/>
  <c r="G33" i="1"/>
  <c r="N33" i="1" s="1"/>
  <c r="F33" i="1"/>
  <c r="M33" i="1" s="1"/>
  <c r="C33" i="1"/>
  <c r="G32" i="1"/>
  <c r="N32" i="1" s="1"/>
  <c r="F32" i="1"/>
  <c r="M32" i="1" s="1"/>
  <c r="C32" i="1"/>
  <c r="G27" i="1"/>
  <c r="N27" i="1" s="1"/>
  <c r="N26" i="1" s="1"/>
  <c r="F27" i="1"/>
  <c r="M27" i="1" s="1"/>
  <c r="M26" i="1" s="1"/>
  <c r="N31" i="1" l="1"/>
  <c r="M31" i="1"/>
  <c r="G30" i="1"/>
  <c r="N30" i="1" s="1"/>
  <c r="N29" i="1" s="1"/>
  <c r="F30" i="1"/>
  <c r="M30" i="1" s="1"/>
  <c r="M29" i="1" s="1"/>
  <c r="C30" i="1"/>
  <c r="C223" i="1"/>
  <c r="G223" i="1"/>
  <c r="N223" i="1" s="1"/>
  <c r="N222" i="1" s="1"/>
  <c r="N221" i="1" s="1"/>
  <c r="F223" i="1"/>
  <c r="M223" i="1" s="1"/>
  <c r="M222" i="1" s="1"/>
  <c r="M221" i="1" s="1"/>
  <c r="M25" i="1" l="1"/>
  <c r="M24" i="1" s="1"/>
  <c r="N25" i="1"/>
  <c r="N24" i="1" s="1"/>
  <c r="M23" i="1" l="1"/>
  <c r="N23" i="1"/>
  <c r="G215" i="1" l="1"/>
  <c r="N215" i="1" s="1"/>
  <c r="N214" i="1" s="1"/>
  <c r="F215" i="1"/>
  <c r="M215" i="1" s="1"/>
  <c r="M214" i="1" s="1"/>
  <c r="C215" i="1"/>
  <c r="N211" i="1" l="1"/>
  <c r="N207" i="1" s="1"/>
  <c r="M211" i="1"/>
  <c r="M207" i="1" s="1"/>
  <c r="C251" i="1"/>
  <c r="M206" i="1" l="1"/>
  <c r="M8" i="1" s="1"/>
  <c r="M912" i="1"/>
  <c r="N206" i="1"/>
  <c r="N8" i="1" s="1"/>
  <c r="N912" i="1"/>
  <c r="N911" i="1" s="1"/>
  <c r="C190" i="1"/>
  <c r="M7" i="1" l="1"/>
  <c r="N7" i="1"/>
  <c r="M911" i="1"/>
  <c r="M910" i="1" s="1"/>
  <c r="N910" i="1"/>
  <c r="C380" i="1"/>
  <c r="G730" i="1" l="1"/>
  <c r="F730" i="1"/>
  <c r="C730" i="1"/>
  <c r="G727" i="1"/>
  <c r="F727" i="1"/>
  <c r="C727" i="1"/>
  <c r="G722" i="1"/>
  <c r="F722" i="1"/>
  <c r="C722" i="1"/>
  <c r="G713" i="1"/>
  <c r="F713" i="1"/>
  <c r="C713" i="1"/>
  <c r="G711" i="1"/>
  <c r="F711" i="1"/>
  <c r="C711" i="1"/>
  <c r="G708" i="1"/>
  <c r="F708" i="1"/>
  <c r="C708" i="1"/>
  <c r="G680" i="1"/>
  <c r="F680" i="1"/>
  <c r="C680" i="1"/>
  <c r="G677" i="1"/>
  <c r="F677" i="1"/>
  <c r="C677" i="1"/>
  <c r="G682" i="1"/>
  <c r="F682" i="1"/>
  <c r="C682" i="1"/>
  <c r="G691" i="1"/>
  <c r="F691" i="1"/>
  <c r="C691" i="1"/>
  <c r="C690" i="1" s="1"/>
  <c r="G694" i="1"/>
  <c r="F694" i="1"/>
  <c r="C694" i="1"/>
  <c r="G696" i="1"/>
  <c r="F696" i="1"/>
  <c r="C696" i="1"/>
  <c r="G703" i="1"/>
  <c r="F703" i="1"/>
  <c r="C703" i="1"/>
  <c r="C702" i="1" s="1"/>
  <c r="G690" i="1" l="1"/>
  <c r="F702" i="1"/>
  <c r="G702" i="1"/>
  <c r="F690" i="1"/>
  <c r="G721" i="1"/>
  <c r="F721" i="1"/>
  <c r="F693" i="1"/>
  <c r="C707" i="1"/>
  <c r="C721" i="1"/>
  <c r="G707" i="1"/>
  <c r="F707" i="1"/>
  <c r="G693" i="1"/>
  <c r="C676" i="1"/>
  <c r="C693" i="1"/>
  <c r="F676" i="1"/>
  <c r="G676" i="1"/>
  <c r="C706" i="1" l="1"/>
  <c r="G706" i="1"/>
  <c r="F706" i="1"/>
  <c r="G675" i="1"/>
  <c r="F675" i="1"/>
  <c r="C675" i="1"/>
  <c r="G627" i="1" l="1"/>
  <c r="F627" i="1"/>
  <c r="C627" i="1"/>
  <c r="C626" i="1" s="1"/>
  <c r="G624" i="1"/>
  <c r="F624" i="1"/>
  <c r="C624" i="1"/>
  <c r="C615" i="1"/>
  <c r="G612" i="1"/>
  <c r="F612" i="1"/>
  <c r="C612" i="1"/>
  <c r="C611" i="1" s="1"/>
  <c r="G611" i="1" l="1"/>
  <c r="G614" i="1"/>
  <c r="F626" i="1"/>
  <c r="F611" i="1"/>
  <c r="F614" i="1"/>
  <c r="G626" i="1"/>
  <c r="C614" i="1"/>
  <c r="G603" i="1" l="1"/>
  <c r="F603" i="1"/>
  <c r="C603" i="1"/>
  <c r="G609" i="1"/>
  <c r="F609" i="1"/>
  <c r="C609" i="1"/>
  <c r="F599" i="1" l="1"/>
  <c r="G599" i="1"/>
  <c r="C599" i="1"/>
  <c r="G654" i="1"/>
  <c r="F654" i="1"/>
  <c r="C654" i="1"/>
  <c r="G598" i="1" l="1"/>
  <c r="F598" i="1"/>
  <c r="C598" i="1"/>
  <c r="F597" i="1" l="1"/>
  <c r="G597" i="1"/>
  <c r="G740" i="1"/>
  <c r="F740" i="1"/>
  <c r="C740" i="1"/>
  <c r="C739" i="1" s="1"/>
  <c r="C738" i="1" s="1"/>
  <c r="C737" i="1" s="1"/>
  <c r="G735" i="1"/>
  <c r="F735" i="1"/>
  <c r="C735" i="1"/>
  <c r="C734" i="1" s="1"/>
  <c r="G705" i="1"/>
  <c r="F705" i="1"/>
  <c r="C705" i="1"/>
  <c r="G674" i="1"/>
  <c r="F674" i="1"/>
  <c r="C674" i="1"/>
  <c r="G672" i="1"/>
  <c r="F672" i="1"/>
  <c r="C672" i="1"/>
  <c r="C671" i="1" s="1"/>
  <c r="G669" i="1"/>
  <c r="F669" i="1"/>
  <c r="C669" i="1"/>
  <c r="G666" i="1"/>
  <c r="F666" i="1"/>
  <c r="C666" i="1"/>
  <c r="G663" i="1"/>
  <c r="F663" i="1"/>
  <c r="C663" i="1"/>
  <c r="C661" i="1"/>
  <c r="G658" i="1"/>
  <c r="F658" i="1"/>
  <c r="C658" i="1"/>
  <c r="G649" i="1"/>
  <c r="F649" i="1"/>
  <c r="C649" i="1"/>
  <c r="C648" i="1" s="1"/>
  <c r="G642" i="1"/>
  <c r="F642" i="1"/>
  <c r="C642" i="1"/>
  <c r="G640" i="1"/>
  <c r="F640" i="1"/>
  <c r="C640" i="1"/>
  <c r="G632" i="1"/>
  <c r="F632" i="1"/>
  <c r="C632" i="1"/>
  <c r="C597" i="1"/>
  <c r="G595" i="1"/>
  <c r="F595" i="1"/>
  <c r="C595" i="1"/>
  <c r="G593" i="1"/>
  <c r="F593" i="1"/>
  <c r="C593" i="1"/>
  <c r="G586" i="1"/>
  <c r="F586" i="1"/>
  <c r="C586" i="1"/>
  <c r="C580" i="1"/>
  <c r="C579" i="1" s="1"/>
  <c r="C578" i="1" s="1"/>
  <c r="G575" i="1"/>
  <c r="F575" i="1"/>
  <c r="C575" i="1"/>
  <c r="C574" i="1" s="1"/>
  <c r="C573" i="1" s="1"/>
  <c r="G566" i="1"/>
  <c r="F566" i="1"/>
  <c r="C566" i="1"/>
  <c r="C565" i="1" s="1"/>
  <c r="C564" i="1" s="1"/>
  <c r="G559" i="1"/>
  <c r="F559" i="1"/>
  <c r="C559" i="1"/>
  <c r="G554" i="1"/>
  <c r="F554" i="1"/>
  <c r="C554" i="1"/>
  <c r="G551" i="1"/>
  <c r="F551" i="1"/>
  <c r="C551" i="1"/>
  <c r="G548" i="1"/>
  <c r="F548" i="1"/>
  <c r="C548" i="1"/>
  <c r="G546" i="1"/>
  <c r="F546" i="1"/>
  <c r="C546" i="1"/>
  <c r="G540" i="1"/>
  <c r="F540" i="1"/>
  <c r="C540" i="1"/>
  <c r="G532" i="1"/>
  <c r="F532" i="1"/>
  <c r="C532" i="1"/>
  <c r="G528" i="1"/>
  <c r="F528" i="1"/>
  <c r="C528" i="1"/>
  <c r="G526" i="1"/>
  <c r="F526" i="1"/>
  <c r="C526" i="1"/>
  <c r="C525" i="1" s="1"/>
  <c r="G521" i="1"/>
  <c r="F521" i="1"/>
  <c r="C521" i="1"/>
  <c r="C520" i="1" s="1"/>
  <c r="G518" i="1"/>
  <c r="F518" i="1"/>
  <c r="C518" i="1"/>
  <c r="G511" i="1"/>
  <c r="F511" i="1"/>
  <c r="C511" i="1"/>
  <c r="G508" i="1"/>
  <c r="F508" i="1"/>
  <c r="C508" i="1"/>
  <c r="G505" i="1"/>
  <c r="F505" i="1"/>
  <c r="C505" i="1"/>
  <c r="C504" i="1" s="1"/>
  <c r="G495" i="1"/>
  <c r="F495" i="1"/>
  <c r="C495" i="1"/>
  <c r="G485" i="1"/>
  <c r="F485" i="1"/>
  <c r="C485" i="1"/>
  <c r="G480" i="1"/>
  <c r="F480" i="1"/>
  <c r="C480" i="1"/>
  <c r="G478" i="1"/>
  <c r="F478" i="1"/>
  <c r="C478" i="1"/>
  <c r="G475" i="1"/>
  <c r="F475" i="1"/>
  <c r="C475" i="1"/>
  <c r="G470" i="1"/>
  <c r="F470" i="1"/>
  <c r="C470" i="1"/>
  <c r="G464" i="1"/>
  <c r="F464" i="1"/>
  <c r="C464" i="1"/>
  <c r="C456" i="1" s="1"/>
  <c r="G452" i="1"/>
  <c r="F452" i="1"/>
  <c r="C452" i="1"/>
  <c r="G450" i="1"/>
  <c r="F450" i="1"/>
  <c r="C450" i="1"/>
  <c r="G448" i="1"/>
  <c r="F448" i="1"/>
  <c r="C448" i="1"/>
  <c r="G443" i="1"/>
  <c r="F443" i="1"/>
  <c r="C443" i="1"/>
  <c r="G440" i="1"/>
  <c r="F440" i="1"/>
  <c r="C440" i="1"/>
  <c r="C439" i="1" s="1"/>
  <c r="G437" i="1"/>
  <c r="F437" i="1"/>
  <c r="C437" i="1"/>
  <c r="G430" i="1"/>
  <c r="F430" i="1"/>
  <c r="C430" i="1"/>
  <c r="G426" i="1"/>
  <c r="F426" i="1"/>
  <c r="C426" i="1"/>
  <c r="G423" i="1"/>
  <c r="F423" i="1"/>
  <c r="C423" i="1"/>
  <c r="G418" i="1"/>
  <c r="F418" i="1"/>
  <c r="C418" i="1"/>
  <c r="G416" i="1"/>
  <c r="F416" i="1"/>
  <c r="C416" i="1"/>
  <c r="G410" i="1"/>
  <c r="F410" i="1"/>
  <c r="C410" i="1"/>
  <c r="G404" i="1"/>
  <c r="F404" i="1"/>
  <c r="C404" i="1"/>
  <c r="G401" i="1"/>
  <c r="F401" i="1"/>
  <c r="C401" i="1"/>
  <c r="G396" i="1"/>
  <c r="F396" i="1"/>
  <c r="C396" i="1"/>
  <c r="G393" i="1"/>
  <c r="F393" i="1"/>
  <c r="C393" i="1"/>
  <c r="C392" i="1" s="1"/>
  <c r="G385" i="1"/>
  <c r="G384" i="1" s="1"/>
  <c r="F385" i="1"/>
  <c r="F384" i="1" s="1"/>
  <c r="C385" i="1"/>
  <c r="C384" i="1" s="1"/>
  <c r="G382" i="1"/>
  <c r="F382" i="1"/>
  <c r="C382" i="1"/>
  <c r="G380" i="1"/>
  <c r="F380" i="1"/>
  <c r="G376" i="1"/>
  <c r="F376" i="1"/>
  <c r="C376" i="1"/>
  <c r="G370" i="1"/>
  <c r="F370" i="1"/>
  <c r="C370" i="1"/>
  <c r="G368" i="1"/>
  <c r="F368" i="1"/>
  <c r="C368" i="1"/>
  <c r="G363" i="1"/>
  <c r="G362" i="1" s="1"/>
  <c r="G361" i="1" s="1"/>
  <c r="F363" i="1"/>
  <c r="F362" i="1" s="1"/>
  <c r="F361" i="1" s="1"/>
  <c r="C363" i="1"/>
  <c r="C362" i="1" s="1"/>
  <c r="C361" i="1" s="1"/>
  <c r="G358" i="1"/>
  <c r="F358" i="1"/>
  <c r="C358" i="1"/>
  <c r="G356" i="1"/>
  <c r="F356" i="1"/>
  <c r="C356" i="1"/>
  <c r="C349" i="1"/>
  <c r="G344" i="1"/>
  <c r="F344" i="1"/>
  <c r="C344" i="1"/>
  <c r="C341" i="1"/>
  <c r="C340" i="1" s="1"/>
  <c r="G334" i="1"/>
  <c r="F334" i="1"/>
  <c r="C334" i="1"/>
  <c r="G332" i="1"/>
  <c r="F332" i="1"/>
  <c r="C332" i="1"/>
  <c r="G330" i="1"/>
  <c r="F330" i="1"/>
  <c r="C330" i="1"/>
  <c r="G327" i="1"/>
  <c r="F327" i="1"/>
  <c r="C327" i="1"/>
  <c r="G323" i="1"/>
  <c r="F323" i="1"/>
  <c r="C323" i="1"/>
  <c r="G320" i="1"/>
  <c r="F320" i="1"/>
  <c r="C320" i="1"/>
  <c r="G317" i="1"/>
  <c r="G316" i="1" s="1"/>
  <c r="F317" i="1"/>
  <c r="F316" i="1" s="1"/>
  <c r="C317" i="1"/>
  <c r="C316" i="1" s="1"/>
  <c r="G312" i="1"/>
  <c r="F312" i="1"/>
  <c r="C312" i="1"/>
  <c r="G309" i="1"/>
  <c r="F309" i="1"/>
  <c r="C309" i="1"/>
  <c r="G304" i="1"/>
  <c r="F304" i="1"/>
  <c r="C304" i="1"/>
  <c r="G302" i="1"/>
  <c r="F302" i="1"/>
  <c r="C302" i="1"/>
  <c r="G300" i="1"/>
  <c r="F300" i="1"/>
  <c r="C300" i="1"/>
  <c r="G297" i="1"/>
  <c r="F297" i="1"/>
  <c r="C297" i="1"/>
  <c r="G291" i="1"/>
  <c r="F291" i="1"/>
  <c r="C291" i="1"/>
  <c r="G288" i="1"/>
  <c r="F288" i="1"/>
  <c r="C288" i="1"/>
  <c r="G285" i="1"/>
  <c r="F285" i="1"/>
  <c r="C285" i="1"/>
  <c r="G280" i="1"/>
  <c r="F280" i="1"/>
  <c r="C280" i="1"/>
  <c r="G278" i="1"/>
  <c r="F278" i="1"/>
  <c r="C278" i="1"/>
  <c r="G275" i="1"/>
  <c r="F275" i="1"/>
  <c r="C275" i="1"/>
  <c r="G272" i="1"/>
  <c r="F272" i="1"/>
  <c r="C272" i="1"/>
  <c r="G267" i="1"/>
  <c r="F267" i="1"/>
  <c r="C267" i="1"/>
  <c r="G265" i="1"/>
  <c r="G264" i="1" s="1"/>
  <c r="F265" i="1"/>
  <c r="F264" i="1" s="1"/>
  <c r="C265" i="1"/>
  <c r="C264" i="1" s="1"/>
  <c r="G261" i="1"/>
  <c r="G260" i="1" s="1"/>
  <c r="F261" i="1"/>
  <c r="F260" i="1" s="1"/>
  <c r="C261" i="1"/>
  <c r="C260" i="1" s="1"/>
  <c r="G256" i="1"/>
  <c r="F256" i="1"/>
  <c r="C256" i="1"/>
  <c r="G252" i="1"/>
  <c r="F252" i="1"/>
  <c r="C252" i="1"/>
  <c r="G250" i="1"/>
  <c r="F250" i="1"/>
  <c r="C250" i="1"/>
  <c r="G244" i="1"/>
  <c r="F244" i="1"/>
  <c r="C244" i="1"/>
  <c r="G241" i="1"/>
  <c r="F241" i="1"/>
  <c r="C241" i="1"/>
  <c r="G239" i="1"/>
  <c r="G238" i="1" s="1"/>
  <c r="F239" i="1"/>
  <c r="F238" i="1" s="1"/>
  <c r="C239" i="1"/>
  <c r="C238" i="1" s="1"/>
  <c r="G236" i="1"/>
  <c r="F236" i="1"/>
  <c r="C236" i="1"/>
  <c r="G233" i="1"/>
  <c r="F233" i="1"/>
  <c r="C233" i="1"/>
  <c r="G227" i="1"/>
  <c r="F227" i="1"/>
  <c r="C227" i="1"/>
  <c r="G222" i="1"/>
  <c r="G221" i="1" s="1"/>
  <c r="F222" i="1"/>
  <c r="F221" i="1" s="1"/>
  <c r="C222" i="1"/>
  <c r="C221" i="1" s="1"/>
  <c r="G219" i="1"/>
  <c r="F219" i="1"/>
  <c r="C219" i="1"/>
  <c r="G214" i="1"/>
  <c r="F214" i="1"/>
  <c r="C214" i="1"/>
  <c r="G212" i="1"/>
  <c r="F212" i="1"/>
  <c r="C212" i="1"/>
  <c r="G199" i="1"/>
  <c r="G198" i="1" s="1"/>
  <c r="F199" i="1"/>
  <c r="F198" i="1" s="1"/>
  <c r="C199" i="1"/>
  <c r="C198" i="1" s="1"/>
  <c r="G194" i="1"/>
  <c r="F194" i="1"/>
  <c r="C194" i="1"/>
  <c r="G192" i="1"/>
  <c r="F192" i="1"/>
  <c r="C192" i="1"/>
  <c r="G189" i="1"/>
  <c r="G188" i="1" s="1"/>
  <c r="F189" i="1"/>
  <c r="F188" i="1" s="1"/>
  <c r="C189" i="1"/>
  <c r="C188" i="1" s="1"/>
  <c r="G185" i="1"/>
  <c r="F185" i="1"/>
  <c r="C185" i="1"/>
  <c r="G180" i="1"/>
  <c r="F180" i="1"/>
  <c r="C180" i="1"/>
  <c r="G172" i="1"/>
  <c r="F172" i="1"/>
  <c r="C172" i="1"/>
  <c r="G170" i="1"/>
  <c r="F170" i="1"/>
  <c r="C170" i="1"/>
  <c r="G160" i="1"/>
  <c r="F160" i="1"/>
  <c r="C160" i="1"/>
  <c r="G153" i="1"/>
  <c r="F153" i="1"/>
  <c r="C153" i="1"/>
  <c r="G146" i="1"/>
  <c r="F146" i="1"/>
  <c r="C146" i="1"/>
  <c r="G144" i="1"/>
  <c r="F144" i="1"/>
  <c r="C144" i="1"/>
  <c r="G141" i="1"/>
  <c r="F141" i="1"/>
  <c r="C141" i="1"/>
  <c r="G139" i="1"/>
  <c r="F139" i="1"/>
  <c r="C139" i="1"/>
  <c r="G136" i="1"/>
  <c r="F136" i="1"/>
  <c r="C136" i="1"/>
  <c r="G132" i="1"/>
  <c r="F132" i="1"/>
  <c r="C132" i="1"/>
  <c r="G125" i="1"/>
  <c r="F125" i="1"/>
  <c r="C125" i="1"/>
  <c r="G119" i="1"/>
  <c r="F119" i="1"/>
  <c r="C119" i="1"/>
  <c r="G116" i="1"/>
  <c r="F116" i="1"/>
  <c r="C116" i="1"/>
  <c r="G111" i="1"/>
  <c r="F111" i="1"/>
  <c r="C111" i="1"/>
  <c r="G108" i="1"/>
  <c r="F108" i="1"/>
  <c r="C108" i="1"/>
  <c r="G103" i="1"/>
  <c r="F103" i="1"/>
  <c r="C103" i="1"/>
  <c r="G100" i="1"/>
  <c r="G99" i="1" s="1"/>
  <c r="F100" i="1"/>
  <c r="F99" i="1" s="1"/>
  <c r="C100" i="1"/>
  <c r="C99" i="1" s="1"/>
  <c r="G97" i="1"/>
  <c r="F97" i="1"/>
  <c r="C97" i="1"/>
  <c r="G95" i="1"/>
  <c r="F95" i="1"/>
  <c r="C95" i="1"/>
  <c r="G89" i="1"/>
  <c r="F89" i="1"/>
  <c r="C89" i="1"/>
  <c r="G87" i="1"/>
  <c r="F87" i="1"/>
  <c r="C87" i="1"/>
  <c r="G80" i="1"/>
  <c r="F80" i="1"/>
  <c r="C80" i="1"/>
  <c r="G78" i="1"/>
  <c r="F78" i="1"/>
  <c r="C78" i="1"/>
  <c r="G74" i="1"/>
  <c r="G73" i="1" s="1"/>
  <c r="F74" i="1"/>
  <c r="F73" i="1" s="1"/>
  <c r="C74" i="1"/>
  <c r="C73" i="1" s="1"/>
  <c r="G68" i="1"/>
  <c r="G67" i="1" s="1"/>
  <c r="F68" i="1"/>
  <c r="F67" i="1" s="1"/>
  <c r="C68" i="1"/>
  <c r="C67" i="1" s="1"/>
  <c r="C59" i="1"/>
  <c r="G57" i="1"/>
  <c r="G35" i="1" s="1"/>
  <c r="F57" i="1"/>
  <c r="F35" i="1" s="1"/>
  <c r="C57" i="1"/>
  <c r="C48" i="1"/>
  <c r="C41" i="1"/>
  <c r="C36" i="1"/>
  <c r="G31" i="1"/>
  <c r="F31" i="1"/>
  <c r="C31" i="1"/>
  <c r="G29" i="1"/>
  <c r="F29" i="1"/>
  <c r="C29" i="1"/>
  <c r="G26" i="1"/>
  <c r="F26" i="1"/>
  <c r="C26" i="1"/>
  <c r="G21" i="1"/>
  <c r="F21" i="1"/>
  <c r="C21" i="1"/>
  <c r="G19" i="1"/>
  <c r="F19" i="1"/>
  <c r="C19" i="1"/>
  <c r="F14" i="1"/>
  <c r="G14" i="1"/>
  <c r="C14" i="1"/>
  <c r="F12" i="1"/>
  <c r="G12" i="1"/>
  <c r="C12" i="1"/>
  <c r="G343" i="1" l="1"/>
  <c r="G25" i="1"/>
  <c r="C343" i="1"/>
  <c r="C339" i="1" s="1"/>
  <c r="C338" i="1" s="1"/>
  <c r="F343" i="1"/>
  <c r="F339" i="1" s="1"/>
  <c r="F25" i="1"/>
  <c r="F456" i="1"/>
  <c r="F565" i="1"/>
  <c r="G574" i="1"/>
  <c r="G392" i="1"/>
  <c r="C400" i="1"/>
  <c r="C391" i="1" s="1"/>
  <c r="C390" i="1" s="1"/>
  <c r="F439" i="1"/>
  <c r="G456" i="1"/>
  <c r="F504" i="1"/>
  <c r="F520" i="1"/>
  <c r="G525" i="1"/>
  <c r="G565" i="1"/>
  <c r="F653" i="1"/>
  <c r="F525" i="1"/>
  <c r="F400" i="1"/>
  <c r="G439" i="1"/>
  <c r="G504" i="1"/>
  <c r="G520" i="1"/>
  <c r="F531" i="1"/>
  <c r="G653" i="1"/>
  <c r="F671" i="1"/>
  <c r="F739" i="1"/>
  <c r="F392" i="1"/>
  <c r="F391" i="1" s="1"/>
  <c r="G734" i="1"/>
  <c r="G733" i="1" s="1"/>
  <c r="G339" i="1"/>
  <c r="G400" i="1"/>
  <c r="G531" i="1"/>
  <c r="F574" i="1"/>
  <c r="G671" i="1"/>
  <c r="F734" i="1"/>
  <c r="F733" i="1" s="1"/>
  <c r="G739" i="1"/>
  <c r="F442" i="1"/>
  <c r="C653" i="1"/>
  <c r="F665" i="1"/>
  <c r="G442" i="1"/>
  <c r="G150" i="1"/>
  <c r="C150" i="1"/>
  <c r="F150" i="1"/>
  <c r="C572" i="1"/>
  <c r="G507" i="1"/>
  <c r="C531" i="1"/>
  <c r="G553" i="1"/>
  <c r="G592" i="1"/>
  <c r="G636" i="1"/>
  <c r="G665" i="1"/>
  <c r="F469" i="1"/>
  <c r="F484" i="1"/>
  <c r="C592" i="1"/>
  <c r="C591" i="1" s="1"/>
  <c r="C590" i="1" s="1"/>
  <c r="C665" i="1"/>
  <c r="C652" i="1" s="1"/>
  <c r="F648" i="1"/>
  <c r="C636" i="1"/>
  <c r="C635" i="1" s="1"/>
  <c r="C634" i="1" s="1"/>
  <c r="G648" i="1"/>
  <c r="F636" i="1"/>
  <c r="F579" i="1"/>
  <c r="G579" i="1"/>
  <c r="G631" i="1"/>
  <c r="F367" i="1"/>
  <c r="C442" i="1"/>
  <c r="F631" i="1"/>
  <c r="C422" i="1"/>
  <c r="F592" i="1"/>
  <c r="C631" i="1"/>
  <c r="C630" i="1" s="1"/>
  <c r="C629" i="1" s="1"/>
  <c r="C469" i="1"/>
  <c r="C455" i="1" s="1"/>
  <c r="C454" i="1" s="1"/>
  <c r="C484" i="1"/>
  <c r="C507" i="1"/>
  <c r="C553" i="1"/>
  <c r="G469" i="1"/>
  <c r="G484" i="1"/>
  <c r="F507" i="1"/>
  <c r="F553" i="1"/>
  <c r="F422" i="1"/>
  <c r="G422" i="1"/>
  <c r="G367" i="1"/>
  <c r="C367" i="1"/>
  <c r="C366" i="1" s="1"/>
  <c r="C365" i="1" s="1"/>
  <c r="C733" i="1"/>
  <c r="C732" i="1" s="1"/>
  <c r="C319" i="1"/>
  <c r="G18" i="1"/>
  <c r="C255" i="1"/>
  <c r="C254" i="1" s="1"/>
  <c r="G255" i="1"/>
  <c r="G254" i="1" s="1"/>
  <c r="F308" i="1"/>
  <c r="G86" i="1"/>
  <c r="F77" i="1"/>
  <c r="C563" i="1"/>
  <c r="F11" i="1"/>
  <c r="C107" i="1"/>
  <c r="F319" i="1"/>
  <c r="G11" i="1"/>
  <c r="F284" i="1"/>
  <c r="F283" i="1" s="1"/>
  <c r="G284" i="1"/>
  <c r="G283" i="1" s="1"/>
  <c r="C284" i="1"/>
  <c r="C283" i="1" s="1"/>
  <c r="C18" i="1"/>
  <c r="G107" i="1"/>
  <c r="F243" i="1"/>
  <c r="G271" i="1"/>
  <c r="G270" i="1" s="1"/>
  <c r="G319" i="1"/>
  <c r="C326" i="1"/>
  <c r="C325" i="1" s="1"/>
  <c r="F326" i="1"/>
  <c r="F325" i="1" s="1"/>
  <c r="G326" i="1"/>
  <c r="G325" i="1" s="1"/>
  <c r="C243" i="1"/>
  <c r="F18" i="1"/>
  <c r="G77" i="1"/>
  <c r="G24" i="1" s="1"/>
  <c r="G23" i="1" s="1"/>
  <c r="C86" i="1"/>
  <c r="F86" i="1"/>
  <c r="F191" i="1"/>
  <c r="G211" i="1"/>
  <c r="G207" i="1" s="1"/>
  <c r="G206" i="1" s="1"/>
  <c r="G226" i="1"/>
  <c r="G308" i="1"/>
  <c r="C577" i="1"/>
  <c r="C308" i="1"/>
  <c r="C25" i="1"/>
  <c r="F211" i="1"/>
  <c r="F207" i="1" s="1"/>
  <c r="F206" i="1" s="1"/>
  <c r="G243" i="1"/>
  <c r="C271" i="1"/>
  <c r="C270" i="1" s="1"/>
  <c r="C11" i="1"/>
  <c r="C35" i="1"/>
  <c r="C77" i="1"/>
  <c r="F107" i="1"/>
  <c r="C138" i="1"/>
  <c r="F138" i="1"/>
  <c r="G138" i="1"/>
  <c r="F366" i="1"/>
  <c r="F365" i="1" s="1"/>
  <c r="G366" i="1"/>
  <c r="G365" i="1" s="1"/>
  <c r="C191" i="1"/>
  <c r="F271" i="1"/>
  <c r="F270" i="1" s="1"/>
  <c r="C115" i="1"/>
  <c r="F115" i="1"/>
  <c r="G115" i="1"/>
  <c r="G191" i="1"/>
  <c r="C226" i="1"/>
  <c r="F226" i="1"/>
  <c r="F255" i="1"/>
  <c r="F254" i="1" s="1"/>
  <c r="C211" i="1"/>
  <c r="C207" i="1" s="1"/>
  <c r="C206" i="1" s="1"/>
  <c r="F24" i="1" l="1"/>
  <c r="F23" i="1" s="1"/>
  <c r="F732" i="1"/>
  <c r="G391" i="1"/>
  <c r="G390" i="1" s="1"/>
  <c r="G455" i="1"/>
  <c r="F630" i="1"/>
  <c r="G630" i="1"/>
  <c r="F573" i="1"/>
  <c r="F738" i="1"/>
  <c r="F338" i="1"/>
  <c r="F564" i="1"/>
  <c r="G732" i="1"/>
  <c r="G578" i="1"/>
  <c r="G591" i="1"/>
  <c r="G652" i="1"/>
  <c r="G651" i="1" s="1"/>
  <c r="F591" i="1"/>
  <c r="F578" i="1"/>
  <c r="F455" i="1"/>
  <c r="F652" i="1"/>
  <c r="G738" i="1"/>
  <c r="G338" i="1"/>
  <c r="G564" i="1"/>
  <c r="G573" i="1"/>
  <c r="F390" i="1"/>
  <c r="G421" i="1"/>
  <c r="C524" i="1"/>
  <c r="C523" i="1" s="1"/>
  <c r="F421" i="1"/>
  <c r="F483" i="1"/>
  <c r="C421" i="1"/>
  <c r="C420" i="1" s="1"/>
  <c r="G483" i="1"/>
  <c r="F635" i="1"/>
  <c r="G635" i="1"/>
  <c r="G524" i="1"/>
  <c r="C651" i="1"/>
  <c r="F524" i="1"/>
  <c r="C483" i="1"/>
  <c r="C482" i="1" s="1"/>
  <c r="F10" i="1"/>
  <c r="G17" i="1"/>
  <c r="G16" i="1" s="1"/>
  <c r="C10" i="1"/>
  <c r="F17" i="1"/>
  <c r="F16" i="1" s="1"/>
  <c r="C17" i="1"/>
  <c r="C16" i="1" s="1"/>
  <c r="G10" i="1"/>
  <c r="G307" i="1"/>
  <c r="G306" i="1" s="1"/>
  <c r="F149" i="1"/>
  <c r="F148" i="1" s="1"/>
  <c r="G135" i="1"/>
  <c r="G134" i="1" s="1"/>
  <c r="F135" i="1"/>
  <c r="F134" i="1" s="1"/>
  <c r="C135" i="1"/>
  <c r="C134" i="1" s="1"/>
  <c r="G106" i="1"/>
  <c r="G105" i="1" s="1"/>
  <c r="C106" i="1"/>
  <c r="C105" i="1" s="1"/>
  <c r="G85" i="1"/>
  <c r="G84" i="1" s="1"/>
  <c r="F85" i="1"/>
  <c r="F84" i="1" s="1"/>
  <c r="C85" i="1"/>
  <c r="C84" i="1" s="1"/>
  <c r="F307" i="1"/>
  <c r="F306" i="1" s="1"/>
  <c r="C307" i="1"/>
  <c r="C306" i="1" s="1"/>
  <c r="C225" i="1"/>
  <c r="C224" i="1" s="1"/>
  <c r="F106" i="1"/>
  <c r="F105" i="1" s="1"/>
  <c r="C149" i="1"/>
  <c r="C148" i="1" s="1"/>
  <c r="G149" i="1"/>
  <c r="G148" i="1" s="1"/>
  <c r="G225" i="1"/>
  <c r="G224" i="1" s="1"/>
  <c r="F225" i="1"/>
  <c r="F224" i="1" s="1"/>
  <c r="C24" i="1"/>
  <c r="F913" i="1" l="1"/>
  <c r="C913" i="1"/>
  <c r="G913" i="1"/>
  <c r="G912" i="1"/>
  <c r="F912" i="1"/>
  <c r="C912" i="1"/>
  <c r="C10" i="5" s="1"/>
  <c r="G9" i="1"/>
  <c r="F9" i="1"/>
  <c r="G634" i="1"/>
  <c r="F577" i="1"/>
  <c r="G577" i="1"/>
  <c r="F563" i="1"/>
  <c r="G629" i="1"/>
  <c r="G454" i="1"/>
  <c r="F634" i="1"/>
  <c r="F420" i="1"/>
  <c r="F482" i="1"/>
  <c r="F651" i="1"/>
  <c r="G482" i="1"/>
  <c r="G572" i="1"/>
  <c r="G737" i="1"/>
  <c r="F454" i="1"/>
  <c r="F590" i="1"/>
  <c r="G590" i="1"/>
  <c r="F572" i="1"/>
  <c r="F629" i="1"/>
  <c r="F523" i="1"/>
  <c r="G563" i="1"/>
  <c r="F737" i="1"/>
  <c r="G523" i="1"/>
  <c r="G420" i="1"/>
  <c r="C11" i="5"/>
  <c r="C9" i="1"/>
  <c r="C23" i="1"/>
  <c r="F8" i="1" l="1"/>
  <c r="F7" i="1" s="1"/>
  <c r="C8" i="1"/>
  <c r="G8" i="1"/>
  <c r="G7" i="1" s="1"/>
  <c r="E10" i="5"/>
  <c r="F10" i="5"/>
  <c r="F11" i="5"/>
  <c r="E11" i="5"/>
  <c r="C911" i="1"/>
  <c r="C910" i="1" s="1"/>
  <c r="G911" i="1"/>
  <c r="F911" i="1"/>
  <c r="E9" i="5" l="1"/>
  <c r="E8" i="5" s="1"/>
  <c r="E7" i="5" s="1"/>
  <c r="F9" i="5"/>
  <c r="F8" i="5" s="1"/>
  <c r="F7" i="5" s="1"/>
  <c r="G910" i="1"/>
  <c r="F910" i="1"/>
  <c r="C12" i="5" l="1"/>
  <c r="C9" i="5" l="1"/>
  <c r="C8" i="5" l="1"/>
  <c r="C7" i="5" s="1"/>
  <c r="C7" i="1" l="1"/>
  <c r="C5" i="23"/>
  <c r="C1435" i="23" s="1"/>
</calcChain>
</file>

<file path=xl/sharedStrings.xml><?xml version="1.0" encoding="utf-8"?>
<sst xmlns="http://schemas.openxmlformats.org/spreadsheetml/2006/main" count="3125" uniqueCount="454">
  <si>
    <t>MINISTARSTVO UNUTARNJIH POSLOVA</t>
  </si>
  <si>
    <t>IZVOR 11 Opći prihodi i primici</t>
  </si>
  <si>
    <t>A553131</t>
  </si>
  <si>
    <t>Administracija i upravljanje</t>
  </si>
  <si>
    <t xml:space="preserve">Plaće </t>
  </si>
  <si>
    <t>Plaće za redovan rad</t>
  </si>
  <si>
    <t>Plaće za prekovremeni rad</t>
  </si>
  <si>
    <t>Ostali rashodi za zaposlene</t>
  </si>
  <si>
    <t xml:space="preserve">Doprinosi na plaće </t>
  </si>
  <si>
    <t>Doprinosi za mirovinsko osiguranje</t>
  </si>
  <si>
    <t>Doprinosi za zdravstveno osiguranje</t>
  </si>
  <si>
    <t>Doprinosi za zapošljavanje</t>
  </si>
  <si>
    <t>Naknade troškova zaposlenima</t>
  </si>
  <si>
    <t>Službena putovanja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</si>
  <si>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</si>
  <si>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</si>
  <si>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</si>
  <si>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</si>
  <si>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</si>
  <si>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</si>
  <si>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 xml:space="preserve">Materijal i dijelovi za tekuće i investicijsko održavanje </t>
  </si>
  <si>
    <t>Sitni inventar i auto gume</t>
  </si>
  <si>
    <t>Službena, radna i zaštitna odjeća i obuća</t>
  </si>
  <si>
    <t xml:space="preserve">Rashodi za usluge 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</si>
  <si>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</si>
  <si>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</si>
  <si>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</si>
  <si>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</si>
  <si>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</si>
  <si>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</si>
  <si>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</si>
  <si>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Ostale usluge</t>
  </si>
  <si>
    <t>Naknade troškova osobama izvan radnog odnosa</t>
  </si>
  <si>
    <t>Ostali nespomenuti rashodi poslovanja</t>
  </si>
  <si>
    <t>Naknade za rad pred. i izvršnih tijela, povjerenstava i sl.</t>
  </si>
  <si>
    <t>Premije osiguranja</t>
  </si>
  <si>
    <t>Reprezentacija</t>
  </si>
  <si>
    <t>Članarine</t>
  </si>
  <si>
    <t>Pristojbe i naknade</t>
  </si>
  <si>
    <t>Troškovi sudskih postupaka</t>
  </si>
  <si>
    <t>Ostali financijski rashodi</t>
  </si>
  <si>
    <t>Bankarske usluge i usluge platnog prometa</t>
  </si>
  <si>
    <t>Zatezne kamate</t>
  </si>
  <si>
    <t>Ostali nespomenuti financijski rashodi</t>
  </si>
  <si>
    <t>Ostale naknade građanima i kućanstvima iz proračuna</t>
  </si>
  <si>
    <t>Naknade građanima i kućanstvima u novcu</t>
  </si>
  <si>
    <t>Tekuće donacije u novcu</t>
  </si>
  <si>
    <t>Kazne, penali i naknade šteta</t>
  </si>
  <si>
    <t>Ugovorene kazne i ostale naknade šteta</t>
  </si>
  <si>
    <t>K260056</t>
  </si>
  <si>
    <t>Izgradnja, kupnja i održavanje zgrada</t>
  </si>
  <si>
    <t>Građevinski objekti</t>
  </si>
  <si>
    <t>Poslovni objekti</t>
  </si>
  <si>
    <t xml:space="preserve">Postrojenja i oprema </t>
  </si>
  <si>
    <t>Uredska oprema i namještaj</t>
  </si>
  <si>
    <t>Dodatna ulaganja na građevinskim objektima</t>
  </si>
  <si>
    <t>K553009</t>
  </si>
  <si>
    <t>Policijska oprema</t>
  </si>
  <si>
    <t>Komunikacijska oprema</t>
  </si>
  <si>
    <t>Oprema za održavanje i zaštitu</t>
  </si>
  <si>
    <t>Uređaji, strojevi i oprema za ostale namjene</t>
  </si>
  <si>
    <t>Prijevozna sredstva</t>
  </si>
  <si>
    <t>Prijevozna sredstva u cestovnom prometu</t>
  </si>
  <si>
    <t>Osnovno stado</t>
  </si>
  <si>
    <t>Osnovno stado - psi</t>
  </si>
  <si>
    <t>K553026</t>
  </si>
  <si>
    <t>Izgradnja kapaciteta u području azila, viznog sustava i ilegalnih migracija</t>
  </si>
  <si>
    <t>Nematerijalna imovina</t>
  </si>
  <si>
    <t>Licence</t>
  </si>
  <si>
    <t>K553129</t>
  </si>
  <si>
    <t>Računalne usluge</t>
  </si>
  <si>
    <t>K553132</t>
  </si>
  <si>
    <t>Informatizacija</t>
  </si>
  <si>
    <t>Nematerijalna proizvedena imovina</t>
  </si>
  <si>
    <t xml:space="preserve">Ulaganja u računalne programe </t>
  </si>
  <si>
    <t>K553141</t>
  </si>
  <si>
    <t>Razvojna suradnja</t>
  </si>
  <si>
    <t>IZVOR 12 SREDSTVA UČEŠĆA ZA POMOĆI</t>
  </si>
  <si>
    <t>K553148</t>
  </si>
  <si>
    <t>PRIJELAZNI INSTRUMENT - JAČANJE UPRAVLJANJA LJUDSKIM RESURSIMA</t>
  </si>
  <si>
    <t>T553162</t>
  </si>
  <si>
    <t>K553169</t>
  </si>
  <si>
    <t>Fonda za azil, migraciju i intergracije</t>
  </si>
  <si>
    <t>K553167</t>
  </si>
  <si>
    <t>K553145</t>
  </si>
  <si>
    <t>IPA 2012 IZGRADNJA I OPREMANJE PP TOVARNIK I PGP MALJEVAC</t>
  </si>
  <si>
    <t>K553168</t>
  </si>
  <si>
    <t>FOND ZA UNUTARNJU SIGURNOST - INSTRUMENT ZA GRANICE I VIZE</t>
  </si>
  <si>
    <t>Ulaganja u računalne programe</t>
  </si>
  <si>
    <t>Negativne tečajne razlike i razlike zbog primjene valutne klauzule</t>
  </si>
  <si>
    <t>040</t>
  </si>
  <si>
    <t>05</t>
  </si>
  <si>
    <t>KONTO</t>
  </si>
  <si>
    <t>NAZIV</t>
  </si>
  <si>
    <t>IZVOR 31 Vlastiti prihodi</t>
  </si>
  <si>
    <t>T553155</t>
  </si>
  <si>
    <t>IPA 2012 PODRŠKA U PODRUČJU KAZNENOG PROGONA U BIH</t>
  </si>
  <si>
    <t>IZVOR 43 Ostali prihodi za posebne namjene</t>
  </si>
  <si>
    <t>K553092</t>
  </si>
  <si>
    <t>Nacionalni program sigurnosti cestovnog prometa</t>
  </si>
  <si>
    <t>Subvencije trgovačkim društvima</t>
  </si>
  <si>
    <t>Subvencije trgovačkim društvima izvan javnog sektora</t>
  </si>
  <si>
    <t>Pomoći unutar opće države</t>
  </si>
  <si>
    <t>Tekuće pomoći unutar opće države</t>
  </si>
  <si>
    <t>Kapitalne pomoći unutar opće države</t>
  </si>
  <si>
    <t>Instrumenti, uređaji i strojevi</t>
  </si>
  <si>
    <t>IZVOR 51 Pomoći EU</t>
  </si>
  <si>
    <t>T553157</t>
  </si>
  <si>
    <t>HORIZON 2020 JAČANJE SURADNJE IZMEĐU POLICIJE I GRAĐANA</t>
  </si>
  <si>
    <t>Nakande troškova zaposlenima</t>
  </si>
  <si>
    <t>A553158</t>
  </si>
  <si>
    <t>FRONTEX - Jačanje koord. i operat.suradnje između država članica EU na podr.upravlj.vanjskim granicama</t>
  </si>
  <si>
    <t>Materijal i dijelovi za tekuće i investicijsko održavanje</t>
  </si>
  <si>
    <t>IZVOR 52 Ostale pomoći</t>
  </si>
  <si>
    <t>K553125</t>
  </si>
  <si>
    <t>POTPORE RADU I OPREMANJU POLICIJE</t>
  </si>
  <si>
    <t>Naknada troškova zaposlenicima</t>
  </si>
  <si>
    <t>Sitni inventar</t>
  </si>
  <si>
    <t>IZVOR 575 Fondovi za unutarnje poslove</t>
  </si>
  <si>
    <t>Tekuće donacije iz EU sredstava</t>
  </si>
  <si>
    <t>IZVOR 61 Donacije</t>
  </si>
  <si>
    <t>Ostale naknade troškova zaposlenima</t>
  </si>
  <si>
    <t>Naknade šteta pravnim i fizičkim osobama</t>
  </si>
  <si>
    <t>Rashodi za usluge</t>
  </si>
  <si>
    <t>Tekuće donacije</t>
  </si>
  <si>
    <t>Ostala prava</t>
  </si>
  <si>
    <t>Doprinosi na plaće</t>
  </si>
  <si>
    <t>Doprinosi za obvezno zdravstveno osiguranje</t>
  </si>
  <si>
    <t>Doprinosi za obvezno osiguranje u slučaju nezaposlenosti</t>
  </si>
  <si>
    <t>Postrojenja i oprema</t>
  </si>
  <si>
    <t>Kapitalne donacije neprofitnim organizacijama</t>
  </si>
  <si>
    <t>A672007</t>
  </si>
  <si>
    <t>Subvencije trgovačkim društvima u javnom sektoru</t>
  </si>
  <si>
    <t>T672040</t>
  </si>
  <si>
    <t>T672042</t>
  </si>
  <si>
    <t>Razminiranje</t>
  </si>
  <si>
    <t>T672038</t>
  </si>
  <si>
    <t>Pomoći inozemnim vladama</t>
  </si>
  <si>
    <t>Ostala nematerijalna proizvedena imovina</t>
  </si>
  <si>
    <t>381</t>
  </si>
  <si>
    <t>3811</t>
  </si>
  <si>
    <t>382</t>
  </si>
  <si>
    <t>3821</t>
  </si>
  <si>
    <t>311</t>
  </si>
  <si>
    <t>3111</t>
  </si>
  <si>
    <t>3113</t>
  </si>
  <si>
    <t>313</t>
  </si>
  <si>
    <t>3132</t>
  </si>
  <si>
    <t>3133</t>
  </si>
  <si>
    <t>321</t>
  </si>
  <si>
    <t>3211</t>
  </si>
  <si>
    <t>3212</t>
  </si>
  <si>
    <t>3213</t>
  </si>
  <si>
    <t>322</t>
  </si>
  <si>
    <t>3221</t>
  </si>
  <si>
    <t>3222</t>
  </si>
  <si>
    <t>3223</t>
  </si>
  <si>
    <t>3224</t>
  </si>
  <si>
    <t>3225</t>
  </si>
  <si>
    <t>323</t>
  </si>
  <si>
    <t>3231</t>
  </si>
  <si>
    <t>3232</t>
  </si>
  <si>
    <t>3233</t>
  </si>
  <si>
    <t>3234</t>
  </si>
  <si>
    <t>3235</t>
  </si>
  <si>
    <t>3236</t>
  </si>
  <si>
    <t>3237</t>
  </si>
  <si>
    <t>3239</t>
  </si>
  <si>
    <t>324</t>
  </si>
  <si>
    <t>3241</t>
  </si>
  <si>
    <t>329</t>
  </si>
  <si>
    <t>3292</t>
  </si>
  <si>
    <t>3293</t>
  </si>
  <si>
    <t>3299</t>
  </si>
  <si>
    <t>343</t>
  </si>
  <si>
    <t>3434</t>
  </si>
  <si>
    <t>412</t>
  </si>
  <si>
    <t>422</t>
  </si>
  <si>
    <t>4221</t>
  </si>
  <si>
    <t>4223</t>
  </si>
  <si>
    <t>4227</t>
  </si>
  <si>
    <t>423</t>
  </si>
  <si>
    <t>4231</t>
  </si>
  <si>
    <t>451</t>
  </si>
  <si>
    <t>4511</t>
  </si>
  <si>
    <t>3227</t>
  </si>
  <si>
    <t>4222</t>
  </si>
  <si>
    <t>K553130</t>
  </si>
  <si>
    <t>INTEGRIRANI SUSTAV 112</t>
  </si>
  <si>
    <t>3238</t>
  </si>
  <si>
    <t>4123</t>
  </si>
  <si>
    <t>T863009</t>
  </si>
  <si>
    <t>K863004</t>
  </si>
  <si>
    <t>426</t>
  </si>
  <si>
    <t>4262</t>
  </si>
  <si>
    <t>04005</t>
  </si>
  <si>
    <t>Ministarstvo unutarnjih poslova</t>
  </si>
  <si>
    <t xml:space="preserve">1  Opći prihodi i primici </t>
  </si>
  <si>
    <t>Izvor 11</t>
  </si>
  <si>
    <t>Izvor 12</t>
  </si>
  <si>
    <t>MINISTARSTVO UNUTARNJIH POSLOVA
- REKAPITULACIJA</t>
  </si>
  <si>
    <t>31  Vlastiti prihodi</t>
  </si>
  <si>
    <t>43 Ostali prihodi za posebne namjene</t>
  </si>
  <si>
    <t>51 Pomoći EU</t>
  </si>
  <si>
    <t>52 Ostale pomoći</t>
  </si>
  <si>
    <t>575 Fondovi za unutarnje poslove</t>
  </si>
  <si>
    <t>61 Donacije</t>
  </si>
  <si>
    <t>552 Švicarski instrument</t>
  </si>
  <si>
    <t>A553101</t>
  </si>
  <si>
    <t>Naknade građanima i kućanstvima u naravi</t>
  </si>
  <si>
    <t>Naknade šteta zaposlenicima</t>
  </si>
  <si>
    <t>Kapitalne donacije</t>
  </si>
  <si>
    <t>A553175</t>
  </si>
  <si>
    <t>Administracija i upravljanje - ilegalne migracije</t>
  </si>
  <si>
    <t>351</t>
  </si>
  <si>
    <t>3512</t>
  </si>
  <si>
    <t>Kamate za primljene kredite i zajmove</t>
  </si>
  <si>
    <t>Kamate za primljene zajmove od trgovačkih društava, obrtnika izvan javnog sektora</t>
  </si>
  <si>
    <t>K553146</t>
  </si>
  <si>
    <t>IPA 2013 JAČANJE KAPACITETA MUP-A ZA PRIMJENU AUTOMATIZIRANE RAZMJENE PODATAKA PRIBAVLJENIH ANALIZOM DNK I DAKTILOSKOPSKIH PODATAKA</t>
  </si>
  <si>
    <t>Plaće (Bruto)</t>
  </si>
  <si>
    <t>K553151</t>
  </si>
  <si>
    <t>421</t>
  </si>
  <si>
    <t>4211</t>
  </si>
  <si>
    <t>Stambeni objekti</t>
  </si>
  <si>
    <t>4212</t>
  </si>
  <si>
    <t>K553171</t>
  </si>
  <si>
    <t>Prijevozna sredstva u pomorskom i riječnom prometu</t>
  </si>
  <si>
    <t>OPERATIVNI PROGRAM KONKURENTNOST I KOHEZIJA 2014.-2020.</t>
  </si>
  <si>
    <t>ŠVICARSKO-HRVATSKI PROGRAM SURADNJE „RAZMINIRANJE I DRUŠTVENO – GOSPODARSKA INTEGRACIJA“</t>
  </si>
  <si>
    <t>Prijelazni instrument - identifikacija žrtava prirodnih i slučajnih katastrofa te terorističkih napada (CRO DVI)</t>
  </si>
  <si>
    <t>Pomoći proračunskim korisnicima drugih proračuna</t>
  </si>
  <si>
    <t>IZVOR 562 Kohezijski fond (CF)</t>
  </si>
  <si>
    <t>T879004</t>
  </si>
  <si>
    <t>IPA BIH - EU PODRŠKA CIVILNOJ ZAŠTITI U BIH</t>
  </si>
  <si>
    <t xml:space="preserve">Subvencije trgovačkim društvima, zadrugama, poljoprivrednicima i obrtnicima iz EU sredstava </t>
  </si>
  <si>
    <t>3431</t>
  </si>
  <si>
    <t>3432</t>
  </si>
  <si>
    <t>Negativne tečajne razlike i razlike zbog primjene valut. klauz.</t>
  </si>
  <si>
    <t>3433</t>
  </si>
  <si>
    <t>4264</t>
  </si>
  <si>
    <t>IZVOR 563 Europski fond za regionalni razvoj (ERDF)</t>
  </si>
  <si>
    <t>Prijenosi između proračunskih korisnika istog proračuna</t>
  </si>
  <si>
    <t>Tekući prijenosi između proračunskih korisnika</t>
  </si>
  <si>
    <t>Rutne i terminalne naknade za aktivnosti potrage i spašavanja zrakoplova</t>
  </si>
  <si>
    <t>IPA 2013 JAČ.KAP.MUP AUTOMAT.RAZMJ.POD.ANAL.DNK I DAKT.POD.</t>
  </si>
  <si>
    <t>PRIJELAZNI INSTRUMENT - REKONSTRUKCIJA SMJEŠTAJNIH I PRATEĆIH SADRŽAJA U PRIHVATILIŠTU ZA TRAŽITELJE AZILA U KUTINI</t>
  </si>
  <si>
    <t>T553174</t>
  </si>
  <si>
    <t>OBZOR 2020</t>
  </si>
  <si>
    <t>366</t>
  </si>
  <si>
    <t>3661</t>
  </si>
  <si>
    <t>Tekuće pomoći proračunskim korisnicima drugih proračuna</t>
  </si>
  <si>
    <t>IZVOR 552 Švicarski instrument</t>
  </si>
  <si>
    <t>T672037</t>
  </si>
  <si>
    <t>IPA I 2012 – RAZMINIRANJE PODRUČJA UZ GRANICU S REPUBLIKOM BOSNOM I HERCEGOVINOM U SISAČKO-MOSLAVAČKOJ ŽUPANIJI</t>
  </si>
  <si>
    <t>IZVOR 559 Ostale refundacije iz sredstava EU</t>
  </si>
  <si>
    <t>361</t>
  </si>
  <si>
    <t>3611</t>
  </si>
  <si>
    <t>Tekuće pomoći inozemnim vladama</t>
  </si>
  <si>
    <t>DE-MINE HU-HR II 2014.-2020. - UKLANJANJE EKSPLOZIVNIH OSTATAKA RATA S PODRUČJA UZ HRVATSKO-MAĐARSKU GRANICU</t>
  </si>
  <si>
    <t>OPERATIVNI PROGRAM KONKURENTNOST I KOHEZIJA 2014-2020.</t>
  </si>
  <si>
    <t>Modernizacija vozila vatrogasnih postrojbi RH</t>
  </si>
  <si>
    <t>Usluga telefona, pošte i prijevoza</t>
  </si>
  <si>
    <t>K879011</t>
  </si>
  <si>
    <t>ENFAST - EUROPSKA MREŽA TIMOVA ZA AKTIVNU POTRAGU ZA BJEGUNCIMA - PREDSJEDANJE</t>
  </si>
  <si>
    <t>T879003</t>
  </si>
  <si>
    <t>HITNA POMOĆ-FOND ZA UNUTARNJU SIGURNOST-JAČANJE AKT.GRANIČ.KONTROLE NA HRVATSKOM DIJELU VANJSKE GRANICE ZBOG POVEĆANOG MIGRAC.PRITISKA</t>
  </si>
  <si>
    <t>T879006</t>
  </si>
  <si>
    <t>AMIF-EUROPSKA MIGRACIJSKA MREŽA-NACIONALNA KONTAKT TOČKA</t>
  </si>
  <si>
    <t>562 Kohezijski fond</t>
  </si>
  <si>
    <t>563 Europski fond za regionalni razvoj</t>
  </si>
  <si>
    <t xml:space="preserve">OSTALI IZVORI (vlastiti, namjenski, sredstva iz EU fondova) </t>
  </si>
  <si>
    <t>A879008</t>
  </si>
  <si>
    <t>Sustav civilne zaštite</t>
  </si>
  <si>
    <t>Ulaganje u računalne programe</t>
  </si>
  <si>
    <t>Projekti civilne zaštite</t>
  </si>
  <si>
    <t>T879013</t>
  </si>
  <si>
    <t>Cetifikacija Hrv. modula za urbano traganje i spašavanje teške kategorije za eur.udruž.kap.za civilnu zaštitu-HUSAR</t>
  </si>
  <si>
    <t>T879012</t>
  </si>
  <si>
    <t>Pomoć državama članicama u pripremi i imp.aktiv. upravljanja rizicima- NO RISK BASE</t>
  </si>
  <si>
    <t>Certifikacija Hrv.modula za urbano tragabje i spašavanje teške kategorije za eur.udruž.kap.za civilnu zaštitu-HUSAR</t>
  </si>
  <si>
    <t>Prijevozna sredstva u zračnom prometu</t>
  </si>
  <si>
    <t>Zravstvene i veterinarske usluge</t>
  </si>
  <si>
    <t>A879016</t>
  </si>
  <si>
    <t>Održavanje i opremanje zrakoplovnih snaga</t>
  </si>
  <si>
    <t>Medicinska i labaratorijska oprema</t>
  </si>
  <si>
    <t>K879015</t>
  </si>
  <si>
    <t>Sustav za rano upozoravanje i upravljanje krizama SRUUK</t>
  </si>
  <si>
    <t>Dodatna ulaganja na prijeviznim sredstvima</t>
  </si>
  <si>
    <t>Dodatna ulaganja na prijevoznim sredstvima</t>
  </si>
  <si>
    <t>Plaća za prekovremeni rad</t>
  </si>
  <si>
    <t>A879019</t>
  </si>
  <si>
    <t>POVRAT NEPRIHVATLJIVIH TROŠKOVA FINANCIRANIH IZ EU SREDSTAVA</t>
  </si>
  <si>
    <t>Uredska oprema i ostali materijalni rashodi</t>
  </si>
  <si>
    <t>K879018</t>
  </si>
  <si>
    <t>Fond za unutarnju sigurnost - instrumetn za granice i vize - izravna dodjela</t>
  </si>
  <si>
    <t>Ostale kazne</t>
  </si>
  <si>
    <t>PRIJELAZNI RESCEU MEHANIZAM</t>
  </si>
  <si>
    <t>T863016</t>
  </si>
  <si>
    <t xml:space="preserve">NATO-SPS G4968-ZAPOVJEDNI SUSTAV SLIJEDEĆE GENERACIJE </t>
  </si>
  <si>
    <t>IZVOR 53 Inozemne darovnice</t>
  </si>
  <si>
    <t>53 Inozemne darovnice</t>
  </si>
  <si>
    <t>Projekti iz Nacionalnog plana oporavka i otpornosti - MUP - NPOO</t>
  </si>
  <si>
    <t>K879021</t>
  </si>
  <si>
    <t>K879020</t>
  </si>
  <si>
    <t>581 Mehanizam za oporavak i otpornost</t>
  </si>
  <si>
    <t>IZVOR 581 Mehanizam za oporavak i otpornost</t>
  </si>
  <si>
    <t>Fond za unutarnju sigurnost - instrument za granice i vize - izravna dodjela</t>
  </si>
  <si>
    <t>Sitni invertar i auto gume</t>
  </si>
  <si>
    <t>IZVOR 5761 Fond solidarnosti Europske unije - potres ožujak 2020.</t>
  </si>
  <si>
    <t>Tekuće pomoći temeljem prijenosa EU sredstava</t>
  </si>
  <si>
    <t>Kapitalne pomoći temeljem prijenosa EU sredstava</t>
  </si>
  <si>
    <t>Pomoći temeljem prijenosa EU sredstava</t>
  </si>
  <si>
    <t>Višegodišnji nasadi i osnovno stado</t>
  </si>
  <si>
    <t>PROJEKTI IZ FONDA SOLIDARNOSTI EUROPSKE UNIJE - MUP</t>
  </si>
  <si>
    <t>IZVOR 5762 Fond solidarnosti Europske unije - potres prosinac 2020.</t>
  </si>
  <si>
    <t>5761 Fond solidarnosti EU - potres ožujak 2020.</t>
  </si>
  <si>
    <t>T879009</t>
  </si>
  <si>
    <t>PRIJEDLOG 2024.</t>
  </si>
  <si>
    <t>PRIJEDLOG 2025.</t>
  </si>
  <si>
    <t>38</t>
  </si>
  <si>
    <t>Ostali rashodi</t>
  </si>
  <si>
    <t>31</t>
  </si>
  <si>
    <t>Rashodi za zaposlene</t>
  </si>
  <si>
    <t>32</t>
  </si>
  <si>
    <t>Materijalni rashodi</t>
  </si>
  <si>
    <t>34</t>
  </si>
  <si>
    <t>Financijski rashodi</t>
  </si>
  <si>
    <t>37</t>
  </si>
  <si>
    <t>Naknade građanima i kućanstvima na temelju osiguranja i druge naknade</t>
  </si>
  <si>
    <t>42</t>
  </si>
  <si>
    <t>Rashodi za nabavu proizvedene dugotrajne imovine</t>
  </si>
  <si>
    <t>45</t>
  </si>
  <si>
    <t>Rashodi za dodatna ulaganja na nefinancijskoj imovini</t>
  </si>
  <si>
    <t>41</t>
  </si>
  <si>
    <t>Rashodi za nabavu neproizvedene dugotrajne imovine</t>
  </si>
  <si>
    <t>RASHODI ZA DODATNA ULAGANJA NA NEF.IMOVINI</t>
  </si>
  <si>
    <t>Ostali nepomenuti građevinski objekti</t>
  </si>
  <si>
    <t>35</t>
  </si>
  <si>
    <t>Subvencije</t>
  </si>
  <si>
    <t>36</t>
  </si>
  <si>
    <t>Pomoći dane u inozemstvo i unutar općeg proračuna</t>
  </si>
  <si>
    <t>Hrvatski crveni križ</t>
  </si>
  <si>
    <t>K879022</t>
  </si>
  <si>
    <t>Fond za unutarnju sigurnost - 2021.-2027.</t>
  </si>
  <si>
    <t>K879023</t>
  </si>
  <si>
    <t>Fond za azil, migracije i integraciju 2021.-2027.</t>
  </si>
  <si>
    <t>Fond za integrirano upravljanje granicama - instrument za financijsku potporu u području upravljanja granicama i vizne politike 2021.-2027.</t>
  </si>
  <si>
    <t>K879024</t>
  </si>
  <si>
    <t>K879025</t>
  </si>
  <si>
    <t>OPERATIVNI PROGRAM KONKURENTNOST I KOHEZIJA 2021.-2027. - ZELENA HRVATSKA - MUP</t>
  </si>
  <si>
    <t>K879026</t>
  </si>
  <si>
    <t>OPERATIVNI PROGRAM KONKURENTNOST I KOHEZIJA 2021.-2027. - SOLIDARNA HRVATSKA - MUP</t>
  </si>
  <si>
    <t>K863027</t>
  </si>
  <si>
    <t>OPERATIVNI PROGRAM KONKURENTNOST I KOHEZIJA 2021.-2027. - PAMETNA HRVATSKA - MUP</t>
  </si>
  <si>
    <t>5762 Fond solidarnosti EU - potres prosincac 2020.</t>
  </si>
  <si>
    <t>K863024</t>
  </si>
  <si>
    <t>K863025</t>
  </si>
  <si>
    <t>K863026</t>
  </si>
  <si>
    <t>Logističko distributivno središte za operativno djelovanje TRUST</t>
  </si>
  <si>
    <t>Sustav na daljinsko upravljanje za KBRN dekontaminaciju DECON</t>
  </si>
  <si>
    <t>Premija osiguranja</t>
  </si>
  <si>
    <t>Ostali potrošni materijal</t>
  </si>
  <si>
    <t>Naknada troškova osobama izvan radnog odnosa</t>
  </si>
  <si>
    <t>Postrojenje i oprema</t>
  </si>
  <si>
    <t>Plaća</t>
  </si>
  <si>
    <t>Plaća za redovan rad</t>
  </si>
  <si>
    <t>A879027</t>
  </si>
  <si>
    <t>FOND ZA UNUTARNJU SIGURNOST - INSTRUMENT ZA POLICIJSKU SURADNJU, SPREČAVANJE I SUZBIJANJE KRIMINALA I UPRAVLJANJE KRIZAMA</t>
  </si>
  <si>
    <t>RASHODI ZA NABAVU NEPROIZVEDENE DUGOTRAJNE IMOVINE</t>
  </si>
  <si>
    <t>Nematerijalna imvina</t>
  </si>
  <si>
    <t>RASHODI ZA NABAVU PROIZVEDENE DUGOTRAJNE IMOVINE</t>
  </si>
  <si>
    <t>MATERIJALNI RASHODI</t>
  </si>
  <si>
    <t>OSTALI RASHODI</t>
  </si>
  <si>
    <t>Tekući prijenosi između proračunskih korisnika istog proračuna temeljem prijenosa EU sredstava</t>
  </si>
  <si>
    <t>3813</t>
  </si>
  <si>
    <t>- u EUR -</t>
  </si>
  <si>
    <t xml:space="preserve">PRORAČUNSKI KORISNIK </t>
  </si>
  <si>
    <t>REBALANS 2023.</t>
  </si>
  <si>
    <t>PLAN 2024.</t>
  </si>
  <si>
    <t>PLAN 2025.</t>
  </si>
  <si>
    <t>PRIJEDLOG 2026.</t>
  </si>
  <si>
    <t>TEKUĆI PLAN 2023.</t>
  </si>
  <si>
    <t>K863028</t>
  </si>
  <si>
    <t>IZGRADNJA STRATEŠKIH ZALIHA ZA ODGOVOR NA KBRN KRIZE</t>
  </si>
  <si>
    <t>K879028</t>
  </si>
  <si>
    <t>RAZVOJ I ODRŽAVANJE MODULA ZA ZBRINJAVANJE - SHELTER</t>
  </si>
  <si>
    <t xml:space="preserve">SMANJENJE </t>
  </si>
  <si>
    <t>POVEĆANJE</t>
  </si>
  <si>
    <t>a</t>
  </si>
  <si>
    <t>Razminiranje - višegodišnji okvir 2021.-2027.</t>
  </si>
  <si>
    <t>IZVOR 563 Europski fond za regionalni razvoj</t>
  </si>
  <si>
    <t>povećanje 2024 u odnosu na rebalans</t>
  </si>
  <si>
    <t>povećanje prij 2024 na plan 2024</t>
  </si>
  <si>
    <t>veća cijena sistematskog po KU</t>
  </si>
  <si>
    <t>rekonstrukcija GRUŽ</t>
  </si>
  <si>
    <t>sufinanciranje energetska obnova (5,0 mil.eura)</t>
  </si>
  <si>
    <t>povećanje prij 2025 na plan 2025</t>
  </si>
  <si>
    <t>za cca 1.100 djelatnika x 200,00 eura (sada je 132,72 eura 1000 kn)</t>
  </si>
  <si>
    <t>Kapitalni prijenosi između proračunskih korisnika istog proračuna</t>
  </si>
  <si>
    <t>Sportska i glazbena oprema</t>
  </si>
  <si>
    <t>Razminiranje - Program konkurentnost i kohezija 2021.-2027.</t>
  </si>
  <si>
    <t>K879029</t>
  </si>
  <si>
    <t>UČINKOVITI LJUDSKI POTENCIJALI - PROGRAM KONKURENTNOST I KOHEZIJA - 2021.-2027. - MUP</t>
  </si>
  <si>
    <t>PROJEKTI SLUŽBI SIGURNOSTI - PROGRAM KONKURENTNOST I KOHEZIJA - 2021.-2027. - MUP</t>
  </si>
  <si>
    <t>T863029</t>
  </si>
  <si>
    <t>IZRADA NACRTA PLANA PODIZANJA SVIJESTI I SUSTAVA ZA PRIKUPLJANJE PODATAKA O GUBITCIMA I ŠTETAMA OD KATASTROFA - DRAW DANA</t>
  </si>
  <si>
    <t>K863030</t>
  </si>
  <si>
    <t>T879030</t>
  </si>
  <si>
    <t>OPERATIVNE SNAGE CIVILNE ZAŠTITE ZA ZAŠTITU KULTURNE BAŠTINE</t>
  </si>
  <si>
    <t>IZRADA NACRTA PLANA PODIZANJA SVIJESTI I SUSTAVA ZA PRIKUPLJANJE PODATAKA O GUBITCIMA I ŠTETAMA OD KATASTROFA - DRAW DATA</t>
  </si>
  <si>
    <t>HELIKOPTERSKA POTPORA SUSTAVU CIVILE ZAŠTITE - VIŠEGODIŠNJI OKVIR 2021-2027.</t>
  </si>
  <si>
    <t>K849031</t>
  </si>
  <si>
    <t>PRIJEDLOG FINANCIJSKOG PLAN 2024. - 2026.  - OSTALI IZVORI FINANCIRANJA</t>
  </si>
  <si>
    <t>8 (5-2)</t>
  </si>
  <si>
    <t>9 (5-3)</t>
  </si>
  <si>
    <t>10 (6-4)</t>
  </si>
  <si>
    <t>b</t>
  </si>
  <si>
    <t>povećanje 2024/reb2023</t>
  </si>
  <si>
    <t>ostaje po prijedlogu</t>
  </si>
  <si>
    <t>kao prijedlog rebalansa</t>
  </si>
  <si>
    <t>plan 2024</t>
  </si>
  <si>
    <t>još umanjiti</t>
  </si>
  <si>
    <t>limiti</t>
  </si>
  <si>
    <t>PRIJEDLOG REBALANSA rujan 2023.</t>
  </si>
  <si>
    <t>dodano 2.000.000  na prijedlog (na 3811 117.000 za potresno inženjerstvo i 1.883.000 na 4227)</t>
  </si>
  <si>
    <t>potresno inženjerstvo 250.000</t>
  </si>
  <si>
    <t>Povrat neprihvatljivih troškova financiranih iz EU sredstava</t>
  </si>
  <si>
    <t>ostaje po prijedlogu, razrađene usluge</t>
  </si>
  <si>
    <t>REBALANS 2023</t>
  </si>
  <si>
    <t>dodano 1,6 mil.eura za najam fotokopiraca</t>
  </si>
  <si>
    <t>limit</t>
  </si>
  <si>
    <t>plan 2025</t>
  </si>
  <si>
    <t>plan 2026</t>
  </si>
  <si>
    <t>T863031</t>
  </si>
  <si>
    <t>FONDOVI ZA UNUTARNJE POSLOVE 2021.-2027. - TEHNIČKA POMOĆ</t>
  </si>
  <si>
    <t>PREKOGRANIČNA STRATEGIJA ZA IZRADU INVENTARA KLIZIŠTA NA NACIONALNOJ RAZINI - LADY</t>
  </si>
  <si>
    <t>povećanje</t>
  </si>
  <si>
    <t>povećanje od 300.000</t>
  </si>
  <si>
    <t>povećanje od 500.000</t>
  </si>
  <si>
    <t>povećanje od 154.000</t>
  </si>
  <si>
    <t>smanjenje od 154.000</t>
  </si>
  <si>
    <t>povećanje od 20.000</t>
  </si>
  <si>
    <t>smanjenje od 820.000</t>
  </si>
  <si>
    <t>K879031</t>
  </si>
  <si>
    <t>Prilog 2</t>
  </si>
  <si>
    <t>PLAN 2024.-2026. - rekapitulacija</t>
  </si>
  <si>
    <t>FINANCIJSKI PLAN 2024.-2026.</t>
  </si>
  <si>
    <t>OPĆI PRIHODI I PRIMICI (IZVOR 11 I IZVOR 12)</t>
  </si>
  <si>
    <t>- u EUR-</t>
  </si>
  <si>
    <t xml:space="preserve">                                    </t>
  </si>
  <si>
    <t xml:space="preserve">                    </t>
  </si>
  <si>
    <t>Prilog 2a</t>
  </si>
  <si>
    <t>Prilog 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</si>
</sst>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#,##0\ &quot;kn&quot;;\-#,##0\ &quot;kn&quot;"/>
    <numFmt numFmtId="6" formatCode="#,##0\ &quot;kn&quot;;[Red]\-#,##0\ &quot;kn&quot;"/>
    <numFmt numFmtId="42" formatCode="_-* #,##0\ &quot;kn&quot;_-;\-* #,##0\ &quot;kn&quot;_-;_-* &quot;-&quot;\ &quot;kn&quot;_-;_-@_-"/>
    <numFmt numFmtId="164" formatCode="#,##0;\-\ #,##0"/>
    <numFmt numFmtId="165" formatCode="d/m/yyyy/;@"/>
    <numFmt numFmtId="166" formatCode="#,##0.00_ ;[Red]\-#,##0.00\ "/>
  </numFmts>
  <fonts count="4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</font>
    <font>
      <sz val="11"/>
      <name val="Calibri"/>
      <family val="2"/>
      <charset val="238"/>
      <scheme val="minor"/>
    </font>
    <font>
      <sz val="10"/>
      <name val="Arial"/>
      <family val="2"/>
    </font>
    <font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7"/>
      <color theme="0"/>
      <name val="Calibri"/>
      <family val="2"/>
      <scheme val="minor"/>
    </font>
    <font>
      <sz val="11"/>
      <color rgb="FF0B744D"/>
      <name val="Calibri"/>
      <family val="2"/>
      <scheme val="minor"/>
    </font>
    <font>
      <sz val="55"/>
      <color theme="0"/>
      <name val="Cambria"/>
      <family val="2"/>
      <scheme val="maj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238"/>
    </font>
  </fonts>
  <fills count="4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9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4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3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</patternFill>
    </fill>
    <fill>
      <patternFill patternType="solid">
        <fgColor indexed="41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rgb="FF000000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21734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9FBA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92CDDC"/>
        <bgColor rgb="FFFFFFFF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1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rgb="FF848484"/>
      </left>
      <right style="thin">
        <color rgb="FF848484"/>
      </right>
      <top style="thin">
        <color rgb="FF848484"/>
      </top>
      <bottom style="thin">
        <color rgb="FF84848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ck">
        <color rgb="FFF4B183"/>
      </left>
      <right style="thick">
        <color rgb="FFF4B183"/>
      </right>
      <top style="thick">
        <color rgb="FFF4B183"/>
      </top>
      <bottom style="thick">
        <color rgb="FFF4B18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339966"/>
      </right>
      <top/>
      <bottom/>
      <diagonal/>
    </border>
    <border>
      <left style="thin">
        <color rgb="FF339966"/>
      </left>
      <right/>
      <top/>
      <bottom style="thin">
        <color rgb="FF339966"/>
      </bottom>
      <diagonal/>
    </border>
    <border>
      <left style="thin">
        <color rgb="FF339966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848484"/>
      </right>
      <top style="thin">
        <color rgb="FF848484"/>
      </top>
      <bottom style="thin">
        <color rgb="FF84848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rgb="FF848484"/>
      </top>
      <bottom style="thin">
        <color rgb="FF84848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848484"/>
      </right>
      <top style="thin">
        <color rgb="FF848484"/>
      </top>
      <bottom style="thin">
        <color rgb="FF84848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/>
      <right/>
      <top style="thin">
        <color rgb="FF848484"/>
      </top>
      <bottom style="thin">
        <color rgb="FF848484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</borders>
  <cellStyleXfs count="34">
    <xf numFmtId="0" fontId="0" fillId="0" borderId="0"/>
    <xf numFmtId="0" fontId="1" fillId="0" borderId="0"/>
    <xf numFmtId="4" fontId="2" fillId="5" borderId="4" applyNumberFormat="0" applyProtection="0">
      <alignment horizontal="left" vertical="center" indent="1" justifyLastLine="1"/>
    </xf>
    <xf numFmtId="0" fontId="2" fillId="7" borderId="4" applyNumberFormat="0" applyProtection="0">
      <alignment horizontal="left" vertical="center" indent="1" justifyLastLine="1"/>
    </xf>
    <xf numFmtId="0" fontId="2" fillId="10" borderId="4" applyNumberFormat="0" applyProtection="0">
      <alignment horizontal="left" vertical="center" indent="1" justifyLastLine="1"/>
    </xf>
    <xf numFmtId="0" fontId="1" fillId="0" borderId="0"/>
    <xf numFmtId="4" fontId="2" fillId="14" borderId="10" applyNumberFormat="0" applyProtection="0">
      <alignment vertical="center"/>
    </xf>
    <xf numFmtId="0" fontId="2" fillId="15" borderId="10" applyNumberFormat="0" applyProtection="0">
      <alignment horizontal="left" vertical="center" indent="1"/>
    </xf>
    <xf numFmtId="4" fontId="2" fillId="0" borderId="10" applyNumberFormat="0" applyProtection="0">
      <alignment horizontal="right" vertical="center"/>
    </xf>
    <xf numFmtId="0" fontId="13" fillId="26" borderId="16" applyNumberFormat="0" applyProtection="0">
      <alignment horizontal="left" vertical="center" indent="1"/>
    </xf>
    <xf numFmtId="0" fontId="15" fillId="7" borderId="16" applyNumberFormat="0" applyProtection="0">
      <alignment horizontal="center" vertical="center"/>
    </xf>
    <xf numFmtId="4" fontId="14" fillId="27" borderId="16" applyNumberFormat="0" applyProtection="0">
      <alignment horizontal="left" vertical="center" indent="1"/>
    </xf>
    <xf numFmtId="0" fontId="1" fillId="0" borderId="0"/>
    <xf numFmtId="0" fontId="16" fillId="0" borderId="0"/>
    <xf numFmtId="0" fontId="17" fillId="28" borderId="17" applyNumberFormat="0" applyProtection="0">
      <alignment horizontal="left" vertical="center" indent="1"/>
    </xf>
    <xf numFmtId="0" fontId="18" fillId="0" borderId="0"/>
    <xf numFmtId="0" fontId="19" fillId="29" borderId="0" applyNumberFormat="0" applyProtection="0">
      <alignment horizontal="left" wrapText="1" indent="4"/>
    </xf>
    <xf numFmtId="0" fontId="20" fillId="29" borderId="0" applyNumberFormat="0" applyProtection="0">
      <alignment horizontal="left" wrapText="1" indent="4"/>
    </xf>
    <xf numFmtId="0" fontId="21" fillId="29" borderId="0" applyNumberFormat="0" applyBorder="0" applyProtection="0">
      <alignment horizontal="left" indent="1"/>
    </xf>
    <xf numFmtId="0" fontId="20" fillId="0" borderId="0" applyFill="0" applyBorder="0">
      <alignment wrapText="1"/>
    </xf>
    <xf numFmtId="0" fontId="22" fillId="0" borderId="0"/>
    <xf numFmtId="0" fontId="18" fillId="30" borderId="20"/>
    <xf numFmtId="0" fontId="18" fillId="13" borderId="19"/>
    <xf numFmtId="0" fontId="18" fillId="30" borderId="0"/>
    <xf numFmtId="0" fontId="22" fillId="31" borderId="0" applyNumberFormat="0" applyBorder="0" applyProtection="0"/>
    <xf numFmtId="0" fontId="23" fillId="0" borderId="0" applyNumberFormat="0" applyFill="0" applyBorder="0" applyAlignment="0" applyProtection="0"/>
    <xf numFmtId="0" fontId="18" fillId="0" borderId="21" applyNumberFormat="0" applyFont="0" applyFill="0" applyAlignment="0"/>
    <xf numFmtId="0" fontId="18" fillId="0" borderId="22" applyNumberFormat="0" applyFont="0" applyFill="0" applyAlignment="0"/>
    <xf numFmtId="0" fontId="18" fillId="0" borderId="23" applyNumberFormat="0" applyFont="0" applyFill="0"/>
    <xf numFmtId="0" fontId="18" fillId="0" borderId="24" applyNumberFormat="0" applyFont="0" applyFill="0" applyAlignment="0"/>
    <xf numFmtId="165" fontId="18" fillId="0" borderId="0" applyFont="0" applyFill="0" applyBorder="0" applyAlignment="0"/>
    <xf numFmtId="6" fontId="18" fillId="22" borderId="0" applyFont="0" applyBorder="0" applyAlignment="0"/>
    <xf numFmtId="5" fontId="18" fillId="0" borderId="0" applyFont="0" applyFill="0" applyBorder="0" applyAlignment="0" applyProtection="0"/>
    <xf numFmtId="42" fontId="18" fillId="0" borderId="0" applyFont="0" applyFill="0" applyBorder="0" applyAlignment="0" applyProtection="0"/>
  </cellStyleXfs>
  <cellXfs count="723">
    <xf numFmtId="0" fontId="0" fillId="0" borderId="0" xfId="0"/>
    <xf numFmtId="0" fontId="4" fillId="0" borderId="0" xfId="0" applyFont="1"/>
    <xf numFmtId="0" fontId="3" fillId="0" borderId="0" xfId="0" applyFont="1"/>
    <xf numFmtId="3" fontId="4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Alignment="1">
      <alignment horizontal="center"/>
    </xf>
    <xf numFmtId="0" fontId="10" fillId="0" borderId="0" xfId="0" applyFont="1"/>
    <xf numFmtId="0" fontId="11" fillId="0" borderId="0" xfId="0" applyFont="1"/>
    <xf numFmtId="0" fontId="0" fillId="3" borderId="0" xfId="0" applyFill="1"/>
    <xf numFmtId="0" fontId="6" fillId="0" borderId="0" xfId="0" applyFont="1"/>
    <xf numFmtId="0" fontId="6" fillId="0" borderId="0" xfId="0" applyFont="1" applyAlignment="1">
      <alignment horizontal="left"/>
    </xf>
    <xf numFmtId="3" fontId="10" fillId="0" borderId="0" xfId="0" applyNumberFormat="1" applyFont="1"/>
    <xf numFmtId="0" fontId="4" fillId="0" borderId="0" xfId="0" applyFont="1" applyAlignment="1">
      <alignment wrapText="1"/>
    </xf>
    <xf numFmtId="0" fontId="10" fillId="0" borderId="0" xfId="0" applyFont="1" applyAlignment="1">
      <alignment wrapText="1"/>
    </xf>
    <xf numFmtId="3" fontId="6" fillId="0" borderId="0" xfId="0" applyNumberFormat="1" applyFont="1" applyAlignment="1">
      <alignment horizontal="center"/>
    </xf>
    <xf numFmtId="3" fontId="4" fillId="0" borderId="28" xfId="0" applyNumberFormat="1" applyFont="1" applyBorder="1" applyAlignment="1">
      <alignment horizontal="right" vertical="center"/>
    </xf>
    <xf numFmtId="0" fontId="4" fillId="0" borderId="28" xfId="0" applyFont="1" applyBorder="1" applyAlignment="1">
      <alignment horizontal="center" vertical="center"/>
    </xf>
    <xf numFmtId="0" fontId="4" fillId="0" borderId="28" xfId="0" applyFont="1" applyBorder="1" applyAlignment="1">
      <alignment vertical="center" wrapText="1"/>
    </xf>
    <xf numFmtId="0" fontId="24" fillId="0" borderId="0" xfId="0" applyFont="1"/>
    <xf numFmtId="0" fontId="25" fillId="0" borderId="0" xfId="0" applyFont="1" applyAlignment="1">
      <alignment wrapText="1"/>
    </xf>
    <xf numFmtId="3" fontId="25" fillId="0" borderId="0" xfId="0" applyNumberFormat="1" applyFont="1"/>
    <xf numFmtId="3" fontId="26" fillId="0" borderId="0" xfId="0" applyNumberFormat="1" applyFont="1"/>
    <xf numFmtId="3" fontId="6" fillId="0" borderId="0" xfId="0" applyNumberFormat="1" applyFont="1"/>
    <xf numFmtId="0" fontId="25" fillId="0" borderId="0" xfId="0" applyFont="1"/>
    <xf numFmtId="0" fontId="4" fillId="3" borderId="0" xfId="0" applyFont="1" applyFill="1"/>
    <xf numFmtId="3" fontId="7" fillId="0" borderId="0" xfId="0" applyNumberFormat="1" applyFont="1"/>
    <xf numFmtId="3" fontId="26" fillId="0" borderId="0" xfId="0" applyNumberFormat="1" applyFont="1" applyAlignment="1">
      <alignment horizontal="center"/>
    </xf>
    <xf numFmtId="0" fontId="27" fillId="0" borderId="0" xfId="0" applyFont="1"/>
    <xf numFmtId="3" fontId="0" fillId="0" borderId="0" xfId="0" applyNumberFormat="1"/>
    <xf numFmtId="3" fontId="5" fillId="3" borderId="0" xfId="0" applyNumberFormat="1" applyFont="1" applyFill="1" applyBorder="1" applyAlignment="1">
      <alignment horizontal="right" vertical="center"/>
    </xf>
    <xf numFmtId="3" fontId="9" fillId="0" borderId="0" xfId="0" applyNumberFormat="1" applyFont="1"/>
    <xf numFmtId="49" fontId="28" fillId="0" borderId="0" xfId="0" applyNumberFormat="1" applyFont="1"/>
    <xf numFmtId="49" fontId="28" fillId="0" borderId="0" xfId="0" applyNumberFormat="1" applyFont="1" applyAlignment="1">
      <alignment horizontal="left" wrapText="1"/>
    </xf>
    <xf numFmtId="0" fontId="28" fillId="0" borderId="0" xfId="0" applyFont="1"/>
    <xf numFmtId="3" fontId="29" fillId="0" borderId="0" xfId="0" applyNumberFormat="1" applyFont="1" applyAlignment="1">
      <alignment horizontal="center"/>
    </xf>
    <xf numFmtId="0" fontId="28" fillId="0" borderId="0" xfId="0" applyFont="1" applyAlignment="1">
      <alignment vertical="center"/>
    </xf>
    <xf numFmtId="49" fontId="29" fillId="12" borderId="18" xfId="0" applyNumberFormat="1" applyFont="1" applyFill="1" applyBorder="1" applyAlignment="1">
      <alignment horizontal="center" wrapText="1"/>
    </xf>
    <xf numFmtId="49" fontId="29" fillId="12" borderId="18" xfId="0" applyNumberFormat="1" applyFont="1" applyFill="1" applyBorder="1" applyAlignment="1">
      <alignment horizontal="left" wrapText="1"/>
    </xf>
    <xf numFmtId="3" fontId="31" fillId="12" borderId="18" xfId="0" applyNumberFormat="1" applyFont="1" applyFill="1" applyBorder="1" applyAlignment="1">
      <alignment horizontal="right" wrapText="1"/>
    </xf>
    <xf numFmtId="3" fontId="31" fillId="12" borderId="28" xfId="0" applyNumberFormat="1" applyFont="1" applyFill="1" applyBorder="1" applyAlignment="1">
      <alignment horizontal="right" wrapText="1"/>
    </xf>
    <xf numFmtId="49" fontId="29" fillId="11" borderId="18" xfId="0" applyNumberFormat="1" applyFont="1" applyFill="1" applyBorder="1" applyAlignment="1">
      <alignment horizontal="center" wrapText="1"/>
    </xf>
    <xf numFmtId="49" fontId="29" fillId="11" borderId="18" xfId="0" applyNumberFormat="1" applyFont="1" applyFill="1" applyBorder="1" applyAlignment="1">
      <alignment horizontal="left" wrapText="1"/>
    </xf>
    <xf numFmtId="3" fontId="31" fillId="11" borderId="18" xfId="0" applyNumberFormat="1" applyFont="1" applyFill="1" applyBorder="1" applyAlignment="1">
      <alignment horizontal="right" wrapText="1"/>
    </xf>
    <xf numFmtId="3" fontId="31" fillId="11" borderId="28" xfId="0" applyNumberFormat="1" applyFont="1" applyFill="1" applyBorder="1" applyAlignment="1">
      <alignment horizontal="right" wrapText="1"/>
    </xf>
    <xf numFmtId="49" fontId="29" fillId="13" borderId="18" xfId="0" applyNumberFormat="1" applyFont="1" applyFill="1" applyBorder="1" applyAlignment="1">
      <alignment horizontal="center" wrapText="1"/>
    </xf>
    <xf numFmtId="49" fontId="29" fillId="13" borderId="18" xfId="0" applyNumberFormat="1" applyFont="1" applyFill="1" applyBorder="1" applyAlignment="1">
      <alignment horizontal="left" wrapText="1"/>
    </xf>
    <xf numFmtId="3" fontId="31" fillId="13" borderId="18" xfId="0" applyNumberFormat="1" applyFont="1" applyFill="1" applyBorder="1" applyAlignment="1">
      <alignment horizontal="right" wrapText="1"/>
    </xf>
    <xf numFmtId="3" fontId="31" fillId="13" borderId="28" xfId="0" applyNumberFormat="1" applyFont="1" applyFill="1" applyBorder="1" applyAlignment="1">
      <alignment horizontal="right" wrapText="1"/>
    </xf>
    <xf numFmtId="0" fontId="29" fillId="0" borderId="0" xfId="0" applyFont="1"/>
    <xf numFmtId="49" fontId="32" fillId="3" borderId="18" xfId="0" applyNumberFormat="1" applyFont="1" applyFill="1" applyBorder="1" applyAlignment="1">
      <alignment horizontal="center" wrapText="1"/>
    </xf>
    <xf numFmtId="0" fontId="32" fillId="0" borderId="18" xfId="0" applyFont="1" applyBorder="1" applyAlignment="1">
      <alignment horizontal="right" wrapText="1"/>
    </xf>
    <xf numFmtId="3" fontId="32" fillId="0" borderId="18" xfId="0" applyNumberFormat="1" applyFont="1" applyBorder="1"/>
    <xf numFmtId="3" fontId="32" fillId="0" borderId="28" xfId="0" applyNumberFormat="1" applyFont="1" applyBorder="1"/>
    <xf numFmtId="0" fontId="32" fillId="0" borderId="0" xfId="0" applyFont="1"/>
    <xf numFmtId="3" fontId="32" fillId="0" borderId="0" xfId="0" applyNumberFormat="1" applyFont="1"/>
    <xf numFmtId="49" fontId="32" fillId="0" borderId="18" xfId="0" applyNumberFormat="1" applyFont="1" applyBorder="1"/>
    <xf numFmtId="0" fontId="33" fillId="0" borderId="0" xfId="0" applyFont="1"/>
    <xf numFmtId="49" fontId="32" fillId="3" borderId="18" xfId="0" applyNumberFormat="1" applyFont="1" applyFill="1" applyBorder="1"/>
    <xf numFmtId="49" fontId="32" fillId="3" borderId="18" xfId="0" applyNumberFormat="1" applyFont="1" applyFill="1" applyBorder="1" applyAlignment="1">
      <alignment wrapText="1"/>
    </xf>
    <xf numFmtId="49" fontId="32" fillId="0" borderId="18" xfId="0" applyNumberFormat="1" applyFont="1" applyBorder="1" applyAlignment="1">
      <alignment wrapText="1"/>
    </xf>
    <xf numFmtId="3" fontId="32" fillId="3" borderId="28" xfId="0" applyNumberFormat="1" applyFont="1" applyFill="1" applyBorder="1"/>
    <xf numFmtId="3" fontId="32" fillId="3" borderId="18" xfId="0" applyNumberFormat="1" applyFont="1" applyFill="1" applyBorder="1"/>
    <xf numFmtId="3" fontId="32" fillId="39" borderId="28" xfId="0" applyNumberFormat="1" applyFont="1" applyFill="1" applyBorder="1"/>
    <xf numFmtId="3" fontId="28" fillId="0" borderId="0" xfId="0" applyNumberFormat="1" applyFont="1"/>
    <xf numFmtId="2" fontId="30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wrapText="1"/>
    </xf>
    <xf numFmtId="0" fontId="29" fillId="13" borderId="36" xfId="0" applyFont="1" applyFill="1" applyBorder="1" applyAlignment="1">
      <alignment horizontal="center" vertical="center" wrapText="1"/>
    </xf>
    <xf numFmtId="0" fontId="35" fillId="13" borderId="38" xfId="0" applyFont="1" applyFill="1" applyBorder="1" applyAlignment="1">
      <alignment horizontal="center" vertical="center" wrapText="1"/>
    </xf>
    <xf numFmtId="0" fontId="35" fillId="13" borderId="36" xfId="0" applyFont="1" applyFill="1" applyBorder="1" applyAlignment="1">
      <alignment horizontal="center" vertical="center" wrapText="1"/>
    </xf>
    <xf numFmtId="0" fontId="36" fillId="0" borderId="0" xfId="0" applyFont="1"/>
    <xf numFmtId="3" fontId="28" fillId="34" borderId="0" xfId="0" applyNumberFormat="1" applyFont="1" applyFill="1"/>
    <xf numFmtId="49" fontId="31" fillId="4" borderId="3" xfId="0" applyNumberFormat="1" applyFont="1" applyFill="1" applyBorder="1" applyAlignment="1">
      <alignment horizontal="center" vertical="center"/>
    </xf>
    <xf numFmtId="0" fontId="31" fillId="4" borderId="44" xfId="0" applyFont="1" applyFill="1" applyBorder="1" applyAlignment="1">
      <alignment vertical="center" wrapText="1"/>
    </xf>
    <xf numFmtId="3" fontId="29" fillId="4" borderId="44" xfId="0" applyNumberFormat="1" applyFont="1" applyFill="1" applyBorder="1" applyAlignment="1">
      <alignment horizontal="right" vertical="center"/>
    </xf>
    <xf numFmtId="3" fontId="29" fillId="4" borderId="1" xfId="0" applyNumberFormat="1" applyFont="1" applyFill="1" applyBorder="1" applyAlignment="1">
      <alignment horizontal="right" vertical="center"/>
    </xf>
    <xf numFmtId="3" fontId="29" fillId="0" borderId="0" xfId="0" applyNumberFormat="1" applyFont="1" applyAlignment="1">
      <alignment horizontal="right"/>
    </xf>
    <xf numFmtId="3" fontId="29" fillId="35" borderId="0" xfId="0" applyNumberFormat="1" applyFont="1" applyFill="1"/>
    <xf numFmtId="49" fontId="31" fillId="6" borderId="1" xfId="0" applyNumberFormat="1" applyFont="1" applyFill="1" applyBorder="1" applyAlignment="1">
      <alignment horizontal="center" vertical="center"/>
    </xf>
    <xf numFmtId="0" fontId="31" fillId="6" borderId="42" xfId="0" applyFont="1" applyFill="1" applyBorder="1" applyAlignment="1">
      <alignment vertical="center" wrapText="1"/>
    </xf>
    <xf numFmtId="3" fontId="29" fillId="6" borderId="42" xfId="0" applyNumberFormat="1" applyFont="1" applyFill="1" applyBorder="1" applyAlignment="1">
      <alignment horizontal="right" vertical="center"/>
    </xf>
    <xf numFmtId="3" fontId="29" fillId="6" borderId="1" xfId="0" applyNumberFormat="1" applyFont="1" applyFill="1" applyBorder="1" applyAlignment="1">
      <alignment horizontal="right" vertical="center"/>
    </xf>
    <xf numFmtId="49" fontId="17" fillId="8" borderId="5" xfId="0" applyNumberFormat="1" applyFont="1" applyFill="1" applyBorder="1" applyAlignment="1">
      <alignment horizontal="center" vertical="center"/>
    </xf>
    <xf numFmtId="0" fontId="17" fillId="8" borderId="42" xfId="0" applyFont="1" applyFill="1" applyBorder="1" applyAlignment="1">
      <alignment vertical="center" wrapText="1"/>
    </xf>
    <xf numFmtId="3" fontId="17" fillId="8" borderId="42" xfId="0" applyNumberFormat="1" applyFont="1" applyFill="1" applyBorder="1" applyAlignment="1">
      <alignment horizontal="right" vertical="center"/>
    </xf>
    <xf numFmtId="3" fontId="17" fillId="8" borderId="9" xfId="0" applyNumberFormat="1" applyFont="1" applyFill="1" applyBorder="1" applyAlignment="1">
      <alignment horizontal="right" vertical="center"/>
    </xf>
    <xf numFmtId="3" fontId="29" fillId="0" borderId="0" xfId="0" applyNumberFormat="1" applyFont="1"/>
    <xf numFmtId="3" fontId="29" fillId="9" borderId="29" xfId="0" applyNumberFormat="1" applyFont="1" applyFill="1" applyBorder="1" applyAlignment="1">
      <alignment horizontal="right" vertical="center"/>
    </xf>
    <xf numFmtId="3" fontId="29" fillId="9" borderId="26" xfId="0" applyNumberFormat="1" applyFont="1" applyFill="1" applyBorder="1" applyAlignment="1">
      <alignment horizontal="right" vertical="center"/>
    </xf>
    <xf numFmtId="3" fontId="29" fillId="9" borderId="9" xfId="0" applyNumberFormat="1" applyFont="1" applyFill="1" applyBorder="1" applyAlignment="1">
      <alignment horizontal="right" vertical="center"/>
    </xf>
    <xf numFmtId="3" fontId="29" fillId="9" borderId="28" xfId="0" applyNumberFormat="1" applyFont="1" applyFill="1" applyBorder="1" applyAlignment="1">
      <alignment horizontal="right" vertical="center"/>
    </xf>
    <xf numFmtId="3" fontId="29" fillId="21" borderId="13" xfId="0" applyNumberFormat="1" applyFont="1" applyFill="1" applyBorder="1" applyAlignment="1">
      <alignment horizontal="right" vertical="center"/>
    </xf>
    <xf numFmtId="3" fontId="29" fillId="21" borderId="28" xfId="0" applyNumberFormat="1" applyFont="1" applyFill="1" applyBorder="1" applyAlignment="1">
      <alignment horizontal="right" vertical="center"/>
    </xf>
    <xf numFmtId="49" fontId="31" fillId="0" borderId="5" xfId="0" applyNumberFormat="1" applyFont="1" applyBorder="1" applyAlignment="1">
      <alignment horizontal="left" vertical="center"/>
    </xf>
    <xf numFmtId="0" fontId="31" fillId="0" borderId="9" xfId="0" applyFont="1" applyBorder="1" applyAlignment="1">
      <alignment vertical="center" wrapText="1"/>
    </xf>
    <xf numFmtId="3" fontId="29" fillId="0" borderId="29" xfId="0" applyNumberFormat="1" applyFont="1" applyBorder="1" applyAlignment="1">
      <alignment horizontal="right" vertical="center"/>
    </xf>
    <xf numFmtId="3" fontId="29" fillId="0" borderId="26" xfId="0" applyNumberFormat="1" applyFont="1" applyBorder="1" applyAlignment="1">
      <alignment horizontal="right" vertical="center"/>
    </xf>
    <xf numFmtId="3" fontId="29" fillId="0" borderId="9" xfId="0" applyNumberFormat="1" applyFont="1" applyBorder="1" applyAlignment="1">
      <alignment horizontal="right" vertical="center"/>
    </xf>
    <xf numFmtId="3" fontId="29" fillId="0" borderId="28" xfId="0" applyNumberFormat="1" applyFont="1" applyBorder="1" applyAlignment="1">
      <alignment horizontal="right" vertical="center"/>
    </xf>
    <xf numFmtId="49" fontId="37" fillId="0" borderId="5" xfId="0" applyNumberFormat="1" applyFont="1" applyBorder="1" applyAlignment="1">
      <alignment horizontal="center" vertical="center"/>
    </xf>
    <xf numFmtId="0" fontId="37" fillId="0" borderId="9" xfId="0" applyFont="1" applyBorder="1" applyAlignment="1">
      <alignment vertical="center" wrapText="1"/>
    </xf>
    <xf numFmtId="3" fontId="28" fillId="0" borderId="29" xfId="0" applyNumberFormat="1" applyFont="1" applyBorder="1" applyAlignment="1">
      <alignment horizontal="right" vertical="center"/>
    </xf>
    <xf numFmtId="3" fontId="28" fillId="0" borderId="26" xfId="0" applyNumberFormat="1" applyFont="1" applyBorder="1" applyAlignment="1">
      <alignment horizontal="right" vertical="center"/>
    </xf>
    <xf numFmtId="3" fontId="28" fillId="0" borderId="15" xfId="0" applyNumberFormat="1" applyFont="1" applyBorder="1" applyAlignment="1">
      <alignment horizontal="right" vertical="center"/>
    </xf>
    <xf numFmtId="0" fontId="17" fillId="8" borderId="9" xfId="0" applyFont="1" applyFill="1" applyBorder="1" applyAlignment="1">
      <alignment vertical="center" wrapText="1"/>
    </xf>
    <xf numFmtId="3" fontId="17" fillId="8" borderId="29" xfId="0" applyNumberFormat="1" applyFont="1" applyFill="1" applyBorder="1" applyAlignment="1">
      <alignment horizontal="right" vertical="center"/>
    </xf>
    <xf numFmtId="3" fontId="17" fillId="8" borderId="26" xfId="0" applyNumberFormat="1" applyFont="1" applyFill="1" applyBorder="1" applyAlignment="1">
      <alignment horizontal="right" vertical="center"/>
    </xf>
    <xf numFmtId="3" fontId="17" fillId="8" borderId="28" xfId="0" applyNumberFormat="1" applyFont="1" applyFill="1" applyBorder="1" applyAlignment="1">
      <alignment horizontal="right" vertical="center"/>
    </xf>
    <xf numFmtId="3" fontId="28" fillId="0" borderId="9" xfId="0" applyNumberFormat="1" applyFont="1" applyBorder="1" applyAlignment="1">
      <alignment horizontal="right" vertical="center"/>
    </xf>
    <xf numFmtId="3" fontId="28" fillId="0" borderId="28" xfId="0" applyNumberFormat="1" applyFont="1" applyBorder="1" applyAlignment="1">
      <alignment horizontal="right" vertical="center"/>
    </xf>
    <xf numFmtId="3" fontId="17" fillId="8" borderId="6" xfId="3" quotePrefix="1" applyNumberFormat="1" applyFont="1" applyFill="1" applyBorder="1" applyAlignment="1">
      <alignment horizontal="left" vertical="center"/>
    </xf>
    <xf numFmtId="0" fontId="29" fillId="8" borderId="1" xfId="0" applyFont="1" applyFill="1" applyBorder="1" applyAlignment="1">
      <alignment vertical="center" wrapText="1"/>
    </xf>
    <xf numFmtId="3" fontId="29" fillId="8" borderId="29" xfId="0" applyNumberFormat="1" applyFont="1" applyFill="1" applyBorder="1" applyAlignment="1">
      <alignment horizontal="right" vertical="center"/>
    </xf>
    <xf numFmtId="3" fontId="29" fillId="8" borderId="26" xfId="0" applyNumberFormat="1" applyFont="1" applyFill="1" applyBorder="1" applyAlignment="1">
      <alignment horizontal="right" vertical="center"/>
    </xf>
    <xf numFmtId="3" fontId="29" fillId="8" borderId="1" xfId="0" applyNumberFormat="1" applyFont="1" applyFill="1" applyBorder="1" applyAlignment="1">
      <alignment horizontal="right" vertical="center"/>
    </xf>
    <xf numFmtId="3" fontId="29" fillId="8" borderId="28" xfId="0" applyNumberFormat="1" applyFont="1" applyFill="1" applyBorder="1" applyAlignment="1">
      <alignment horizontal="right" vertical="center"/>
    </xf>
    <xf numFmtId="3" fontId="31" fillId="9" borderId="29" xfId="0" applyNumberFormat="1" applyFont="1" applyFill="1" applyBorder="1" applyAlignment="1">
      <alignment horizontal="right" vertical="center"/>
    </xf>
    <xf numFmtId="3" fontId="31" fillId="9" borderId="26" xfId="0" applyNumberFormat="1" applyFont="1" applyFill="1" applyBorder="1" applyAlignment="1">
      <alignment horizontal="right" vertical="center"/>
    </xf>
    <xf numFmtId="3" fontId="31" fillId="9" borderId="1" xfId="0" applyNumberFormat="1" applyFont="1" applyFill="1" applyBorder="1" applyAlignment="1">
      <alignment horizontal="right" vertical="center"/>
    </xf>
    <xf numFmtId="3" fontId="31" fillId="9" borderId="28" xfId="0" applyNumberFormat="1" applyFont="1" applyFill="1" applyBorder="1" applyAlignment="1">
      <alignment horizontal="right" vertical="center"/>
    </xf>
    <xf numFmtId="3" fontId="31" fillId="21" borderId="26" xfId="0" applyNumberFormat="1" applyFont="1" applyFill="1" applyBorder="1" applyAlignment="1">
      <alignment horizontal="right" vertical="center"/>
    </xf>
    <xf numFmtId="3" fontId="31" fillId="21" borderId="13" xfId="0" applyNumberFormat="1" applyFont="1" applyFill="1" applyBorder="1" applyAlignment="1">
      <alignment horizontal="right" vertical="center"/>
    </xf>
    <xf numFmtId="3" fontId="31" fillId="21" borderId="28" xfId="0" applyNumberFormat="1" applyFont="1" applyFill="1" applyBorder="1" applyAlignment="1">
      <alignment horizontal="right" vertical="center"/>
    </xf>
    <xf numFmtId="0" fontId="31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vertical="center" wrapText="1"/>
    </xf>
    <xf numFmtId="3" fontId="29" fillId="0" borderId="1" xfId="0" applyNumberFormat="1" applyFont="1" applyBorder="1" applyAlignment="1">
      <alignment horizontal="right" vertical="center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vertical="center" wrapText="1"/>
    </xf>
    <xf numFmtId="3" fontId="28" fillId="0" borderId="1" xfId="0" applyNumberFormat="1" applyFont="1" applyBorder="1" applyAlignment="1">
      <alignment horizontal="right" vertical="center"/>
    </xf>
    <xf numFmtId="0" fontId="28" fillId="38" borderId="0" xfId="0" applyFont="1" applyFill="1"/>
    <xf numFmtId="0" fontId="29" fillId="0" borderId="0" xfId="0" applyFont="1" applyAlignment="1">
      <alignment horizontal="left"/>
    </xf>
    <xf numFmtId="0" fontId="37" fillId="0" borderId="9" xfId="0" applyFont="1" applyBorder="1" applyAlignment="1">
      <alignment horizontal="center" vertical="center"/>
    </xf>
    <xf numFmtId="3" fontId="28" fillId="39" borderId="1" xfId="0" applyNumberFormat="1" applyFont="1" applyFill="1" applyBorder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vertical="center" wrapText="1"/>
    </xf>
    <xf numFmtId="3" fontId="28" fillId="3" borderId="29" xfId="0" applyNumberFormat="1" applyFont="1" applyFill="1" applyBorder="1" applyAlignment="1">
      <alignment horizontal="right" vertical="center"/>
    </xf>
    <xf numFmtId="3" fontId="28" fillId="3" borderId="26" xfId="0" applyNumberFormat="1" applyFont="1" applyFill="1" applyBorder="1" applyAlignment="1">
      <alignment horizontal="right" vertical="center"/>
    </xf>
    <xf numFmtId="3" fontId="28" fillId="3" borderId="15" xfId="0" applyNumberFormat="1" applyFont="1" applyFill="1" applyBorder="1" applyAlignment="1">
      <alignment horizontal="right" vertical="center"/>
    </xf>
    <xf numFmtId="0" fontId="31" fillId="0" borderId="1" xfId="0" applyFont="1" applyBorder="1" applyAlignment="1">
      <alignment horizontal="left" vertical="center" wrapText="1"/>
    </xf>
    <xf numFmtId="3" fontId="28" fillId="2" borderId="29" xfId="0" applyNumberFormat="1" applyFont="1" applyFill="1" applyBorder="1" applyAlignment="1">
      <alignment horizontal="right" vertical="center"/>
    </xf>
    <xf numFmtId="3" fontId="28" fillId="2" borderId="26" xfId="0" applyNumberFormat="1" applyFont="1" applyFill="1" applyBorder="1" applyAlignment="1">
      <alignment horizontal="right" vertical="center"/>
    </xf>
    <xf numFmtId="3" fontId="28" fillId="2" borderId="1" xfId="0" applyNumberFormat="1" applyFont="1" applyFill="1" applyBorder="1" applyAlignment="1">
      <alignment horizontal="right" vertical="center"/>
    </xf>
    <xf numFmtId="3" fontId="28" fillId="2" borderId="9" xfId="0" applyNumberFormat="1" applyFont="1" applyFill="1" applyBorder="1" applyAlignment="1">
      <alignment horizontal="right" vertical="center"/>
    </xf>
    <xf numFmtId="3" fontId="28" fillId="2" borderId="28" xfId="0" applyNumberFormat="1" applyFont="1" applyFill="1" applyBorder="1" applyAlignment="1">
      <alignment horizontal="right" vertical="center"/>
    </xf>
    <xf numFmtId="0" fontId="31" fillId="0" borderId="14" xfId="0" applyFont="1" applyBorder="1" applyAlignment="1">
      <alignment horizontal="left" vertical="center"/>
    </xf>
    <xf numFmtId="0" fontId="31" fillId="0" borderId="13" xfId="0" applyFont="1" applyBorder="1" applyAlignment="1">
      <alignment vertical="center" wrapText="1"/>
    </xf>
    <xf numFmtId="3" fontId="28" fillId="0" borderId="13" xfId="0" applyNumberFormat="1" applyFont="1" applyBorder="1" applyAlignment="1">
      <alignment horizontal="right" vertical="center"/>
    </xf>
    <xf numFmtId="0" fontId="37" fillId="0" borderId="14" xfId="0" applyFont="1" applyBorder="1" applyAlignment="1">
      <alignment horizontal="center" vertical="center"/>
    </xf>
    <xf numFmtId="0" fontId="37" fillId="0" borderId="13" xfId="0" applyFont="1" applyBorder="1" applyAlignment="1">
      <alignment vertical="center" wrapText="1"/>
    </xf>
    <xf numFmtId="0" fontId="29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vertical="center" wrapText="1"/>
    </xf>
    <xf numFmtId="0" fontId="17" fillId="16" borderId="11" xfId="3" quotePrefix="1" applyFont="1" applyFill="1" applyBorder="1" applyAlignment="1">
      <alignment vertical="center"/>
    </xf>
    <xf numFmtId="0" fontId="17" fillId="16" borderId="11" xfId="3" quotePrefix="1" applyFont="1" applyFill="1" applyBorder="1" applyAlignment="1">
      <alignment horizontal="left" vertical="center" wrapText="1"/>
    </xf>
    <xf numFmtId="3" fontId="17" fillId="16" borderId="34" xfId="6" applyNumberFormat="1" applyFont="1" applyFill="1" applyBorder="1">
      <alignment vertical="center"/>
    </xf>
    <xf numFmtId="3" fontId="17" fillId="16" borderId="46" xfId="6" applyNumberFormat="1" applyFont="1" applyFill="1" applyBorder="1">
      <alignment vertical="center"/>
    </xf>
    <xf numFmtId="3" fontId="17" fillId="16" borderId="27" xfId="6" applyNumberFormat="1" applyFont="1" applyFill="1" applyBorder="1">
      <alignment vertical="center"/>
    </xf>
    <xf numFmtId="3" fontId="17" fillId="16" borderId="11" xfId="6" applyNumberFormat="1" applyFont="1" applyFill="1" applyBorder="1">
      <alignment vertical="center"/>
    </xf>
    <xf numFmtId="0" fontId="28" fillId="3" borderId="0" xfId="0" applyFont="1" applyFill="1"/>
    <xf numFmtId="0" fontId="17" fillId="0" borderId="12" xfId="7" quotePrefix="1" applyFont="1" applyFill="1" applyBorder="1" applyAlignment="1">
      <alignment vertical="center"/>
    </xf>
    <xf numFmtId="0" fontId="17" fillId="0" borderId="12" xfId="7" quotePrefix="1" applyFont="1" applyFill="1" applyBorder="1" applyAlignment="1">
      <alignment horizontal="left" vertical="center" wrapText="1"/>
    </xf>
    <xf numFmtId="3" fontId="17" fillId="0" borderId="29" xfId="6" applyNumberFormat="1" applyFont="1" applyFill="1" applyBorder="1">
      <alignment vertical="center"/>
    </xf>
    <xf numFmtId="3" fontId="17" fillId="0" borderId="26" xfId="6" applyNumberFormat="1" applyFont="1" applyFill="1" applyBorder="1">
      <alignment vertical="center"/>
    </xf>
    <xf numFmtId="3" fontId="17" fillId="0" borderId="12" xfId="6" applyNumberFormat="1" applyFont="1" applyFill="1" applyBorder="1">
      <alignment vertical="center"/>
    </xf>
    <xf numFmtId="3" fontId="17" fillId="0" borderId="28" xfId="6" applyNumberFormat="1" applyFont="1" applyFill="1" applyBorder="1">
      <alignment vertical="center"/>
    </xf>
    <xf numFmtId="0" fontId="29" fillId="3" borderId="0" xfId="0" applyFont="1" applyFill="1"/>
    <xf numFmtId="0" fontId="12" fillId="0" borderId="12" xfId="7" quotePrefix="1" applyFont="1" applyFill="1" applyBorder="1" applyAlignment="1">
      <alignment horizontal="center" vertical="center"/>
    </xf>
    <xf numFmtId="0" fontId="12" fillId="0" borderId="12" xfId="7" quotePrefix="1" applyFont="1" applyFill="1" applyBorder="1" applyAlignment="1">
      <alignment horizontal="left" vertical="center" wrapText="1"/>
    </xf>
    <xf numFmtId="3" fontId="12" fillId="0" borderId="29" xfId="8" applyNumberFormat="1" applyFont="1" applyBorder="1">
      <alignment horizontal="right" vertical="center"/>
    </xf>
    <xf numFmtId="3" fontId="12" fillId="0" borderId="26" xfId="8" applyNumberFormat="1" applyFont="1" applyBorder="1">
      <alignment horizontal="right" vertical="center"/>
    </xf>
    <xf numFmtId="3" fontId="12" fillId="0" borderId="12" xfId="8" applyNumberFormat="1" applyFont="1" applyBorder="1">
      <alignment horizontal="right" vertical="center"/>
    </xf>
    <xf numFmtId="3" fontId="12" fillId="0" borderId="28" xfId="8" applyNumberFormat="1" applyFont="1" applyBorder="1">
      <alignment horizontal="right" vertical="center"/>
    </xf>
    <xf numFmtId="3" fontId="17" fillId="21" borderId="13" xfId="8" applyNumberFormat="1" applyFont="1" applyFill="1" applyBorder="1">
      <alignment horizontal="right" vertical="center"/>
    </xf>
    <xf numFmtId="3" fontId="17" fillId="21" borderId="28" xfId="8" applyNumberFormat="1" applyFont="1" applyFill="1" applyBorder="1">
      <alignment horizontal="right" vertical="center"/>
    </xf>
    <xf numFmtId="3" fontId="17" fillId="0" borderId="29" xfId="8" applyNumberFormat="1" applyFont="1" applyBorder="1">
      <alignment horizontal="right" vertical="center"/>
    </xf>
    <xf numFmtId="3" fontId="17" fillId="0" borderId="26" xfId="8" applyNumberFormat="1" applyFont="1" applyBorder="1">
      <alignment horizontal="right" vertical="center"/>
    </xf>
    <xf numFmtId="3" fontId="17" fillId="0" borderId="13" xfId="8" applyNumberFormat="1" applyFont="1" applyBorder="1">
      <alignment horizontal="right" vertical="center"/>
    </xf>
    <xf numFmtId="3" fontId="17" fillId="0" borderId="28" xfId="8" applyNumberFormat="1" applyFont="1" applyBorder="1">
      <alignment horizontal="right" vertical="center"/>
    </xf>
    <xf numFmtId="0" fontId="12" fillId="0" borderId="13" xfId="7" quotePrefix="1" applyFont="1" applyFill="1" applyBorder="1" applyAlignment="1">
      <alignment horizontal="center" vertical="center"/>
    </xf>
    <xf numFmtId="0" fontId="12" fillId="0" borderId="13" xfId="7" quotePrefix="1" applyFont="1" applyFill="1" applyBorder="1" applyAlignment="1">
      <alignment horizontal="left" vertical="center" wrapText="1"/>
    </xf>
    <xf numFmtId="3" fontId="31" fillId="3" borderId="29" xfId="0" applyNumberFormat="1" applyFont="1" applyFill="1" applyBorder="1" applyAlignment="1">
      <alignment horizontal="right" vertical="center"/>
    </xf>
    <xf numFmtId="3" fontId="31" fillId="3" borderId="26" xfId="0" applyNumberFormat="1" applyFont="1" applyFill="1" applyBorder="1" applyAlignment="1">
      <alignment horizontal="right" vertical="center"/>
    </xf>
    <xf numFmtId="3" fontId="31" fillId="3" borderId="28" xfId="0" applyNumberFormat="1" applyFont="1" applyFill="1" applyBorder="1" applyAlignment="1">
      <alignment horizontal="right" vertical="center"/>
    </xf>
    <xf numFmtId="3" fontId="37" fillId="3" borderId="28" xfId="0" applyNumberFormat="1" applyFont="1" applyFill="1" applyBorder="1" applyAlignment="1">
      <alignment horizontal="right" vertical="center"/>
    </xf>
    <xf numFmtId="0" fontId="37" fillId="0" borderId="13" xfId="0" applyFont="1" applyBorder="1" applyAlignment="1">
      <alignment horizontal="center" vertical="center"/>
    </xf>
    <xf numFmtId="3" fontId="28" fillId="3" borderId="1" xfId="0" applyNumberFormat="1" applyFont="1" applyFill="1" applyBorder="1" applyAlignment="1">
      <alignment horizontal="right" vertical="center"/>
    </xf>
    <xf numFmtId="3" fontId="28" fillId="2" borderId="12" xfId="0" applyNumberFormat="1" applyFont="1" applyFill="1" applyBorder="1" applyAlignment="1">
      <alignment horizontal="right" vertical="center"/>
    </xf>
    <xf numFmtId="3" fontId="17" fillId="16" borderId="41" xfId="6" applyNumberFormat="1" applyFont="1" applyFill="1" applyBorder="1">
      <alignment vertical="center"/>
    </xf>
    <xf numFmtId="3" fontId="28" fillId="2" borderId="0" xfId="0" applyNumberFormat="1" applyFont="1" applyFill="1" applyAlignment="1">
      <alignment horizontal="right" vertical="center"/>
    </xf>
    <xf numFmtId="0" fontId="31" fillId="9" borderId="42" xfId="0" applyFont="1" applyFill="1" applyBorder="1" applyAlignment="1">
      <alignment vertical="center"/>
    </xf>
    <xf numFmtId="3" fontId="31" fillId="9" borderId="43" xfId="0" applyNumberFormat="1" applyFont="1" applyFill="1" applyBorder="1" applyAlignment="1">
      <alignment horizontal="right" vertical="center"/>
    </xf>
    <xf numFmtId="3" fontId="31" fillId="9" borderId="42" xfId="0" applyNumberFormat="1" applyFont="1" applyFill="1" applyBorder="1" applyAlignment="1">
      <alignment horizontal="right" vertical="center"/>
    </xf>
    <xf numFmtId="3" fontId="31" fillId="21" borderId="42" xfId="0" applyNumberFormat="1" applyFont="1" applyFill="1" applyBorder="1" applyAlignment="1">
      <alignment horizontal="right" vertical="center"/>
    </xf>
    <xf numFmtId="0" fontId="29" fillId="0" borderId="42" xfId="0" applyFont="1" applyBorder="1" applyAlignment="1">
      <alignment horizontal="left" vertical="center"/>
    </xf>
    <xf numFmtId="0" fontId="31" fillId="0" borderId="42" xfId="0" applyFont="1" applyBorder="1" applyAlignment="1">
      <alignment vertical="center" wrapText="1"/>
    </xf>
    <xf numFmtId="3" fontId="29" fillId="0" borderId="43" xfId="0" applyNumberFormat="1" applyFont="1" applyBorder="1" applyAlignment="1">
      <alignment horizontal="right" vertical="center"/>
    </xf>
    <xf numFmtId="3" fontId="29" fillId="0" borderId="42" xfId="0" applyNumberFormat="1" applyFont="1" applyBorder="1" applyAlignment="1">
      <alignment horizontal="right" vertical="center"/>
    </xf>
    <xf numFmtId="0" fontId="28" fillId="0" borderId="42" xfId="0" applyFont="1" applyBorder="1" applyAlignment="1">
      <alignment horizontal="center" vertical="center"/>
    </xf>
    <xf numFmtId="0" fontId="28" fillId="0" borderId="42" xfId="0" applyFont="1" applyBorder="1" applyAlignment="1">
      <alignment vertical="center" wrapText="1"/>
    </xf>
    <xf numFmtId="3" fontId="28" fillId="0" borderId="43" xfId="0" applyNumberFormat="1" applyFont="1" applyBorder="1" applyAlignment="1">
      <alignment horizontal="right" vertical="center"/>
    </xf>
    <xf numFmtId="3" fontId="28" fillId="0" borderId="42" xfId="0" applyNumberFormat="1" applyFont="1" applyBorder="1" applyAlignment="1">
      <alignment horizontal="right" vertical="center"/>
    </xf>
    <xf numFmtId="0" fontId="28" fillId="0" borderId="12" xfId="0" applyFont="1" applyBorder="1" applyAlignment="1">
      <alignment horizontal="center" vertical="center"/>
    </xf>
    <xf numFmtId="0" fontId="28" fillId="0" borderId="12" xfId="0" applyFont="1" applyBorder="1" applyAlignment="1">
      <alignment vertical="center" wrapText="1"/>
    </xf>
    <xf numFmtId="3" fontId="28" fillId="0" borderId="12" xfId="0" applyNumberFormat="1" applyFont="1" applyBorder="1" applyAlignment="1">
      <alignment horizontal="right" vertical="center"/>
    </xf>
    <xf numFmtId="3" fontId="12" fillId="0" borderId="29" xfId="0" applyNumberFormat="1" applyFont="1" applyBorder="1" applyAlignment="1">
      <alignment horizontal="right" vertical="center"/>
    </xf>
    <xf numFmtId="3" fontId="12" fillId="0" borderId="26" xfId="0" applyNumberFormat="1" applyFont="1" applyBorder="1" applyAlignment="1">
      <alignment horizontal="right" vertical="center"/>
    </xf>
    <xf numFmtId="3" fontId="12" fillId="0" borderId="1" xfId="0" applyNumberFormat="1" applyFont="1" applyBorder="1" applyAlignment="1">
      <alignment horizontal="right" vertical="center"/>
    </xf>
    <xf numFmtId="0" fontId="29" fillId="8" borderId="1" xfId="0" applyFont="1" applyFill="1" applyBorder="1" applyAlignment="1">
      <alignment horizontal="center" vertical="center"/>
    </xf>
    <xf numFmtId="3" fontId="28" fillId="2" borderId="15" xfId="0" applyNumberFormat="1" applyFont="1" applyFill="1" applyBorder="1" applyAlignment="1">
      <alignment horizontal="right" vertical="center"/>
    </xf>
    <xf numFmtId="0" fontId="28" fillId="0" borderId="13" xfId="0" applyFont="1" applyBorder="1" applyAlignment="1">
      <alignment horizontal="center" vertical="center"/>
    </xf>
    <xf numFmtId="0" fontId="28" fillId="0" borderId="13" xfId="0" applyFont="1" applyBorder="1" applyAlignment="1">
      <alignment vertical="center" wrapText="1"/>
    </xf>
    <xf numFmtId="3" fontId="28" fillId="2" borderId="13" xfId="0" applyNumberFormat="1" applyFont="1" applyFill="1" applyBorder="1" applyAlignment="1">
      <alignment horizontal="right" vertical="center"/>
    </xf>
    <xf numFmtId="0" fontId="39" fillId="0" borderId="0" xfId="0" applyFont="1"/>
    <xf numFmtId="0" fontId="40" fillId="0" borderId="0" xfId="0" applyFont="1"/>
    <xf numFmtId="3" fontId="12" fillId="0" borderId="13" xfId="8" applyNumberFormat="1" applyFont="1" applyBorder="1">
      <alignment horizontal="right" vertical="center"/>
    </xf>
    <xf numFmtId="0" fontId="29" fillId="0" borderId="12" xfId="0" applyFont="1" applyBorder="1" applyAlignment="1">
      <alignment horizontal="left" vertical="center"/>
    </xf>
    <xf numFmtId="0" fontId="29" fillId="0" borderId="12" xfId="0" applyFont="1" applyBorder="1" applyAlignment="1">
      <alignment vertical="center" wrapText="1"/>
    </xf>
    <xf numFmtId="3" fontId="29" fillId="0" borderId="12" xfId="0" applyNumberFormat="1" applyFont="1" applyBorder="1" applyAlignment="1">
      <alignment horizontal="right" vertical="center"/>
    </xf>
    <xf numFmtId="0" fontId="37" fillId="0" borderId="12" xfId="0" applyFont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vertical="center" wrapText="1"/>
    </xf>
    <xf numFmtId="0" fontId="29" fillId="2" borderId="1" xfId="0" applyFont="1" applyFill="1" applyBorder="1" applyAlignment="1">
      <alignment horizontal="left" vertical="center"/>
    </xf>
    <xf numFmtId="0" fontId="17" fillId="8" borderId="12" xfId="3" quotePrefix="1" applyFont="1" applyFill="1" applyBorder="1" applyAlignment="1">
      <alignment vertical="center"/>
    </xf>
    <xf numFmtId="0" fontId="17" fillId="8" borderId="12" xfId="3" quotePrefix="1" applyFont="1" applyFill="1" applyBorder="1" applyAlignment="1">
      <alignment horizontal="left" vertical="center" wrapText="1"/>
    </xf>
    <xf numFmtId="3" fontId="17" fillId="8" borderId="29" xfId="6" applyNumberFormat="1" applyFont="1" applyFill="1" applyBorder="1">
      <alignment vertical="center"/>
    </xf>
    <xf numFmtId="3" fontId="17" fillId="8" borderId="26" xfId="6" applyNumberFormat="1" applyFont="1" applyFill="1" applyBorder="1">
      <alignment vertical="center"/>
    </xf>
    <xf numFmtId="3" fontId="17" fillId="8" borderId="12" xfId="6" applyNumberFormat="1" applyFont="1" applyFill="1" applyBorder="1">
      <alignment vertical="center"/>
    </xf>
    <xf numFmtId="3" fontId="17" fillId="8" borderId="28" xfId="6" applyNumberFormat="1" applyFont="1" applyFill="1" applyBorder="1">
      <alignment vertical="center"/>
    </xf>
    <xf numFmtId="3" fontId="17" fillId="9" borderId="29" xfId="6" applyNumberFormat="1" applyFont="1" applyFill="1" applyBorder="1">
      <alignment vertical="center"/>
    </xf>
    <xf numFmtId="3" fontId="17" fillId="9" borderId="26" xfId="6" applyNumberFormat="1" applyFont="1" applyFill="1" applyBorder="1">
      <alignment vertical="center"/>
    </xf>
    <xf numFmtId="3" fontId="17" fillId="9" borderId="12" xfId="6" applyNumberFormat="1" applyFont="1" applyFill="1" applyBorder="1">
      <alignment vertical="center"/>
    </xf>
    <xf numFmtId="3" fontId="17" fillId="9" borderId="28" xfId="6" applyNumberFormat="1" applyFont="1" applyFill="1" applyBorder="1">
      <alignment vertical="center"/>
    </xf>
    <xf numFmtId="3" fontId="31" fillId="18" borderId="1" xfId="0" applyNumberFormat="1" applyFont="1" applyFill="1" applyBorder="1" applyAlignment="1">
      <alignment horizontal="right" vertical="center"/>
    </xf>
    <xf numFmtId="3" fontId="31" fillId="18" borderId="28" xfId="0" applyNumberFormat="1" applyFont="1" applyFill="1" applyBorder="1" applyAlignment="1">
      <alignment horizontal="right" vertical="center"/>
    </xf>
    <xf numFmtId="0" fontId="28" fillId="0" borderId="18" xfId="0" applyFont="1" applyBorder="1" applyAlignment="1">
      <alignment horizontal="center" vertical="center"/>
    </xf>
    <xf numFmtId="0" fontId="37" fillId="0" borderId="18" xfId="0" applyFont="1" applyBorder="1" applyAlignment="1">
      <alignment vertical="center" wrapText="1"/>
    </xf>
    <xf numFmtId="3" fontId="28" fillId="0" borderId="18" xfId="0" applyNumberFormat="1" applyFont="1" applyBorder="1" applyAlignment="1">
      <alignment horizontal="right" vertical="center"/>
    </xf>
    <xf numFmtId="0" fontId="28" fillId="0" borderId="28" xfId="0" applyFont="1" applyBorder="1" applyAlignment="1">
      <alignment horizontal="center" vertical="center"/>
    </xf>
    <xf numFmtId="0" fontId="28" fillId="0" borderId="28" xfId="0" applyFont="1" applyBorder="1" applyAlignment="1">
      <alignment vertical="center" wrapText="1"/>
    </xf>
    <xf numFmtId="3" fontId="17" fillId="18" borderId="12" xfId="6" applyNumberFormat="1" applyFont="1" applyFill="1" applyBorder="1">
      <alignment vertical="center"/>
    </xf>
    <xf numFmtId="3" fontId="17" fillId="18" borderId="28" xfId="6" applyNumberFormat="1" applyFont="1" applyFill="1" applyBorder="1">
      <alignment vertical="center"/>
    </xf>
    <xf numFmtId="0" fontId="17" fillId="0" borderId="12" xfId="7" quotePrefix="1" applyFont="1" applyFill="1" applyBorder="1" applyAlignment="1">
      <alignment horizontal="left" vertical="center"/>
    </xf>
    <xf numFmtId="0" fontId="17" fillId="0" borderId="13" xfId="7" quotePrefix="1" applyFont="1" applyFill="1" applyBorder="1" applyAlignment="1">
      <alignment horizontal="left" vertical="center"/>
    </xf>
    <xf numFmtId="0" fontId="17" fillId="0" borderId="13" xfId="7" quotePrefix="1" applyFont="1" applyFill="1" applyBorder="1" applyAlignment="1">
      <alignment horizontal="left" vertical="center" wrapText="1"/>
    </xf>
    <xf numFmtId="164" fontId="12" fillId="0" borderId="29" xfId="8" applyNumberFormat="1" applyFont="1" applyBorder="1">
      <alignment horizontal="right" vertical="center"/>
    </xf>
    <xf numFmtId="164" fontId="12" fillId="0" borderId="26" xfId="8" applyNumberFormat="1" applyFont="1" applyBorder="1">
      <alignment horizontal="right" vertical="center"/>
    </xf>
    <xf numFmtId="164" fontId="12" fillId="0" borderId="12" xfId="8" applyNumberFormat="1" applyFont="1" applyBorder="1">
      <alignment horizontal="right" vertical="center"/>
    </xf>
    <xf numFmtId="164" fontId="12" fillId="0" borderId="28" xfId="8" applyNumberFormat="1" applyFont="1" applyBorder="1">
      <alignment horizontal="right" vertical="center"/>
    </xf>
    <xf numFmtId="0" fontId="29" fillId="8" borderId="12" xfId="0" applyFont="1" applyFill="1" applyBorder="1" applyAlignment="1">
      <alignment horizontal="center" vertical="center"/>
    </xf>
    <xf numFmtId="0" fontId="29" fillId="8" borderId="12" xfId="0" applyFont="1" applyFill="1" applyBorder="1" applyAlignment="1">
      <alignment vertical="center" wrapText="1"/>
    </xf>
    <xf numFmtId="3" fontId="29" fillId="8" borderId="12" xfId="0" applyNumberFormat="1" applyFont="1" applyFill="1" applyBorder="1" applyAlignment="1">
      <alignment horizontal="right" vertical="center"/>
    </xf>
    <xf numFmtId="0" fontId="31" fillId="0" borderId="12" xfId="0" applyFont="1" applyBorder="1" applyAlignment="1">
      <alignment horizontal="left" vertical="center"/>
    </xf>
    <xf numFmtId="0" fontId="37" fillId="0" borderId="18" xfId="0" applyFont="1" applyBorder="1" applyAlignment="1">
      <alignment horizontal="center" vertical="center"/>
    </xf>
    <xf numFmtId="0" fontId="12" fillId="0" borderId="18" xfId="7" quotePrefix="1" applyFont="1" applyFill="1" applyBorder="1" applyAlignment="1">
      <alignment horizontal="left" vertical="center" wrapText="1"/>
    </xf>
    <xf numFmtId="3" fontId="12" fillId="0" borderId="29" xfId="6" applyNumberFormat="1" applyFont="1" applyFill="1" applyBorder="1">
      <alignment vertical="center"/>
    </xf>
    <xf numFmtId="3" fontId="12" fillId="0" borderId="26" xfId="6" applyNumberFormat="1" applyFont="1" applyFill="1" applyBorder="1">
      <alignment vertical="center"/>
    </xf>
    <xf numFmtId="3" fontId="12" fillId="0" borderId="18" xfId="6" applyNumberFormat="1" applyFont="1" applyFill="1" applyBorder="1">
      <alignment vertical="center"/>
    </xf>
    <xf numFmtId="3" fontId="12" fillId="0" borderId="28" xfId="6" applyNumberFormat="1" applyFont="1" applyFill="1" applyBorder="1">
      <alignment vertical="center"/>
    </xf>
    <xf numFmtId="3" fontId="12" fillId="0" borderId="12" xfId="6" applyNumberFormat="1" applyFont="1" applyFill="1" applyBorder="1">
      <alignment vertical="center"/>
    </xf>
    <xf numFmtId="164" fontId="17" fillId="0" borderId="29" xfId="6" applyNumberFormat="1" applyFont="1" applyFill="1" applyBorder="1">
      <alignment vertical="center"/>
    </xf>
    <xf numFmtId="164" fontId="17" fillId="0" borderId="26" xfId="6" applyNumberFormat="1" applyFont="1" applyFill="1" applyBorder="1">
      <alignment vertical="center"/>
    </xf>
    <xf numFmtId="164" fontId="17" fillId="0" borderId="12" xfId="6" applyNumberFormat="1" applyFont="1" applyFill="1" applyBorder="1">
      <alignment vertical="center"/>
    </xf>
    <xf numFmtId="164" fontId="17" fillId="0" borderId="28" xfId="6" applyNumberFormat="1" applyFont="1" applyFill="1" applyBorder="1">
      <alignment vertical="center"/>
    </xf>
    <xf numFmtId="164" fontId="12" fillId="0" borderId="13" xfId="8" applyNumberFormat="1" applyFont="1" applyBorder="1">
      <alignment horizontal="right" vertical="center"/>
    </xf>
    <xf numFmtId="3" fontId="29" fillId="0" borderId="13" xfId="0" applyNumberFormat="1" applyFont="1" applyBorder="1" applyAlignment="1">
      <alignment horizontal="right" vertical="center"/>
    </xf>
    <xf numFmtId="0" fontId="12" fillId="0" borderId="28" xfId="7" quotePrefix="1" applyFont="1" applyFill="1" applyBorder="1" applyAlignment="1">
      <alignment horizontal="center" vertical="center"/>
    </xf>
    <xf numFmtId="0" fontId="12" fillId="0" borderId="28" xfId="7" quotePrefix="1" applyFont="1" applyFill="1" applyBorder="1" applyAlignment="1">
      <alignment horizontal="left" vertical="center" wrapText="1"/>
    </xf>
    <xf numFmtId="0" fontId="12" fillId="0" borderId="18" xfId="7" quotePrefix="1" applyFont="1" applyFill="1" applyBorder="1" applyAlignment="1">
      <alignment horizontal="center" vertical="center"/>
    </xf>
    <xf numFmtId="3" fontId="12" fillId="0" borderId="18" xfId="8" applyNumberFormat="1" applyFont="1" applyBorder="1">
      <alignment horizontal="right" vertical="center"/>
    </xf>
    <xf numFmtId="3" fontId="12" fillId="36" borderId="26" xfId="8" applyNumberFormat="1" applyFont="1" applyFill="1" applyBorder="1">
      <alignment horizontal="right" vertical="center"/>
    </xf>
    <xf numFmtId="3" fontId="12" fillId="0" borderId="29" xfId="8" applyNumberFormat="1" applyFont="1" applyBorder="1" applyAlignment="1">
      <alignment horizontal="center" vertical="center"/>
    </xf>
    <xf numFmtId="3" fontId="12" fillId="0" borderId="26" xfId="8" applyNumberFormat="1" applyFont="1" applyBorder="1" applyAlignment="1">
      <alignment horizontal="center" vertical="center"/>
    </xf>
    <xf numFmtId="3" fontId="12" fillId="0" borderId="12" xfId="8" applyNumberFormat="1" applyFont="1" applyBorder="1" applyAlignment="1">
      <alignment horizontal="center" vertical="center"/>
    </xf>
    <xf numFmtId="3" fontId="12" fillId="0" borderId="28" xfId="8" applyNumberFormat="1" applyFont="1" applyBorder="1" applyAlignment="1">
      <alignment horizontal="center" vertical="center"/>
    </xf>
    <xf numFmtId="0" fontId="40" fillId="0" borderId="0" xfId="0" applyFont="1" applyAlignment="1">
      <alignment horizontal="center"/>
    </xf>
    <xf numFmtId="0" fontId="12" fillId="0" borderId="42" xfId="7" quotePrefix="1" applyFont="1" applyFill="1" applyBorder="1" applyAlignment="1">
      <alignment horizontal="left" vertical="center" wrapText="1"/>
    </xf>
    <xf numFmtId="3" fontId="12" fillId="0" borderId="43" xfId="6" applyNumberFormat="1" applyFont="1" applyFill="1" applyBorder="1">
      <alignment vertical="center"/>
    </xf>
    <xf numFmtId="3" fontId="12" fillId="0" borderId="42" xfId="6" applyNumberFormat="1" applyFont="1" applyFill="1" applyBorder="1">
      <alignment vertical="center"/>
    </xf>
    <xf numFmtId="3" fontId="12" fillId="0" borderId="13" xfId="6" applyNumberFormat="1" applyFont="1" applyFill="1" applyBorder="1">
      <alignment vertical="center"/>
    </xf>
    <xf numFmtId="0" fontId="12" fillId="3" borderId="13" xfId="7" quotePrefix="1" applyFont="1" applyFill="1" applyBorder="1" applyAlignment="1">
      <alignment horizontal="center" vertical="center"/>
    </xf>
    <xf numFmtId="0" fontId="12" fillId="3" borderId="13" xfId="7" quotePrefix="1" applyFont="1" applyFill="1" applyBorder="1" applyAlignment="1">
      <alignment horizontal="left" vertical="center" wrapText="1"/>
    </xf>
    <xf numFmtId="3" fontId="12" fillId="3" borderId="29" xfId="6" applyNumberFormat="1" applyFont="1" applyFill="1" applyBorder="1">
      <alignment vertical="center"/>
    </xf>
    <xf numFmtId="3" fontId="12" fillId="3" borderId="26" xfId="6" applyNumberFormat="1" applyFont="1" applyFill="1" applyBorder="1">
      <alignment vertical="center"/>
    </xf>
    <xf numFmtId="3" fontId="12" fillId="3" borderId="13" xfId="6" applyNumberFormat="1" applyFont="1" applyFill="1" applyBorder="1">
      <alignment vertical="center"/>
    </xf>
    <xf numFmtId="0" fontId="12" fillId="3" borderId="12" xfId="7" quotePrefix="1" applyFont="1" applyFill="1" applyBorder="1" applyAlignment="1">
      <alignment horizontal="center" vertical="center"/>
    </xf>
    <xf numFmtId="0" fontId="12" fillId="3" borderId="12" xfId="7" quotePrefix="1" applyFont="1" applyFill="1" applyBorder="1" applyAlignment="1">
      <alignment horizontal="left" vertical="center" wrapText="1"/>
    </xf>
    <xf numFmtId="3" fontId="12" fillId="3" borderId="29" xfId="8" applyNumberFormat="1" applyFont="1" applyFill="1" applyBorder="1">
      <alignment horizontal="right" vertical="center"/>
    </xf>
    <xf numFmtId="3" fontId="12" fillId="3" borderId="26" xfId="8" applyNumberFormat="1" applyFont="1" applyFill="1" applyBorder="1">
      <alignment horizontal="right" vertical="center"/>
    </xf>
    <xf numFmtId="3" fontId="12" fillId="3" borderId="12" xfId="8" applyNumberFormat="1" applyFont="1" applyFill="1" applyBorder="1">
      <alignment horizontal="right" vertical="center"/>
    </xf>
    <xf numFmtId="3" fontId="12" fillId="0" borderId="29" xfId="6" applyNumberFormat="1" applyFont="1" applyFill="1" applyBorder="1" applyAlignment="1">
      <alignment horizontal="right" vertical="center"/>
    </xf>
    <xf numFmtId="3" fontId="12" fillId="0" borderId="26" xfId="6" applyNumberFormat="1" applyFont="1" applyFill="1" applyBorder="1" applyAlignment="1">
      <alignment horizontal="right" vertical="center"/>
    </xf>
    <xf numFmtId="3" fontId="12" fillId="0" borderId="13" xfId="6" applyNumberFormat="1" applyFont="1" applyFill="1" applyBorder="1" applyAlignment="1">
      <alignment horizontal="right" vertical="center"/>
    </xf>
    <xf numFmtId="3" fontId="17" fillId="21" borderId="26" xfId="6" applyNumberFormat="1" applyFont="1" applyFill="1" applyBorder="1">
      <alignment vertical="center"/>
    </xf>
    <xf numFmtId="3" fontId="17" fillId="21" borderId="12" xfId="6" applyNumberFormat="1" applyFont="1" applyFill="1" applyBorder="1">
      <alignment vertical="center"/>
    </xf>
    <xf numFmtId="3" fontId="17" fillId="21" borderId="28" xfId="6" applyNumberFormat="1" applyFont="1" applyFill="1" applyBorder="1">
      <alignment vertical="center"/>
    </xf>
    <xf numFmtId="0" fontId="31" fillId="0" borderId="13" xfId="0" applyFont="1" applyBorder="1" applyAlignment="1">
      <alignment vertical="center"/>
    </xf>
    <xf numFmtId="0" fontId="31" fillId="0" borderId="14" xfId="0" applyFont="1" applyBorder="1" applyAlignment="1">
      <alignment vertical="center" wrapText="1"/>
    </xf>
    <xf numFmtId="3" fontId="17" fillId="0" borderId="13" xfId="6" applyNumberFormat="1" applyFont="1" applyFill="1" applyBorder="1">
      <alignment vertical="center"/>
    </xf>
    <xf numFmtId="0" fontId="37" fillId="0" borderId="14" xfId="0" applyFont="1" applyBorder="1" applyAlignment="1">
      <alignment vertical="center" wrapText="1"/>
    </xf>
    <xf numFmtId="3" fontId="38" fillId="22" borderId="15" xfId="0" applyNumberFormat="1" applyFont="1" applyFill="1" applyBorder="1" applyAlignment="1">
      <alignment horizontal="right" vertical="center"/>
    </xf>
    <xf numFmtId="3" fontId="38" fillId="22" borderId="26" xfId="0" applyNumberFormat="1" applyFont="1" applyFill="1" applyBorder="1" applyAlignment="1">
      <alignment horizontal="right" vertical="center"/>
    </xf>
    <xf numFmtId="0" fontId="17" fillId="0" borderId="30" xfId="7" quotePrefix="1" applyFont="1" applyFill="1" applyBorder="1" applyAlignment="1">
      <alignment horizontal="left" vertical="center" wrapText="1"/>
    </xf>
    <xf numFmtId="3" fontId="12" fillId="0" borderId="15" xfId="6" applyNumberFormat="1" applyFont="1" applyFill="1" applyBorder="1">
      <alignment vertical="center"/>
    </xf>
    <xf numFmtId="3" fontId="12" fillId="0" borderId="15" xfId="8" applyNumberFormat="1" applyFont="1" applyBorder="1">
      <alignment horizontal="right" vertical="center"/>
    </xf>
    <xf numFmtId="3" fontId="12" fillId="0" borderId="15" xfId="6" applyNumberFormat="1" applyFont="1" applyFill="1" applyBorder="1" applyAlignment="1">
      <alignment horizontal="right" vertical="center"/>
    </xf>
    <xf numFmtId="3" fontId="17" fillId="21" borderId="13" xfId="6" applyNumberFormat="1" applyFont="1" applyFill="1" applyBorder="1" applyAlignment="1">
      <alignment horizontal="right" vertical="center"/>
    </xf>
    <xf numFmtId="3" fontId="17" fillId="21" borderId="28" xfId="6" applyNumberFormat="1" applyFont="1" applyFill="1" applyBorder="1" applyAlignment="1">
      <alignment horizontal="right" vertical="center"/>
    </xf>
    <xf numFmtId="0" fontId="31" fillId="23" borderId="13" xfId="0" applyFont="1" applyFill="1" applyBorder="1" applyAlignment="1">
      <alignment horizontal="left" vertical="center"/>
    </xf>
    <xf numFmtId="0" fontId="31" fillId="23" borderId="13" xfId="0" applyFont="1" applyFill="1" applyBorder="1" applyAlignment="1">
      <alignment vertical="center" wrapText="1"/>
    </xf>
    <xf numFmtId="3" fontId="17" fillId="0" borderId="29" xfId="6" applyNumberFormat="1" applyFont="1" applyFill="1" applyBorder="1" applyAlignment="1">
      <alignment horizontal="right" vertical="center"/>
    </xf>
    <xf numFmtId="3" fontId="17" fillId="0" borderId="26" xfId="6" applyNumberFormat="1" applyFont="1" applyFill="1" applyBorder="1" applyAlignment="1">
      <alignment horizontal="right" vertical="center"/>
    </xf>
    <xf numFmtId="3" fontId="17" fillId="0" borderId="13" xfId="6" applyNumberFormat="1" applyFont="1" applyFill="1" applyBorder="1" applyAlignment="1">
      <alignment horizontal="right" vertical="center"/>
    </xf>
    <xf numFmtId="3" fontId="17" fillId="0" borderId="28" xfId="6" applyNumberFormat="1" applyFont="1" applyFill="1" applyBorder="1" applyAlignment="1">
      <alignment horizontal="right" vertical="center"/>
    </xf>
    <xf numFmtId="0" fontId="37" fillId="23" borderId="13" xfId="0" applyFont="1" applyFill="1" applyBorder="1" applyAlignment="1">
      <alignment horizontal="center" vertical="center"/>
    </xf>
    <xf numFmtId="0" fontId="37" fillId="23" borderId="13" xfId="0" applyFont="1" applyFill="1" applyBorder="1" applyAlignment="1">
      <alignment vertical="center" wrapText="1"/>
    </xf>
    <xf numFmtId="0" fontId="37" fillId="23" borderId="28" xfId="0" applyFont="1" applyFill="1" applyBorder="1" applyAlignment="1">
      <alignment horizontal="center" vertical="center"/>
    </xf>
    <xf numFmtId="0" fontId="37" fillId="23" borderId="28" xfId="0" applyFont="1" applyFill="1" applyBorder="1" applyAlignment="1">
      <alignment vertical="center" wrapText="1"/>
    </xf>
    <xf numFmtId="3" fontId="12" fillId="0" borderId="28" xfId="6" applyNumberFormat="1" applyFont="1" applyFill="1" applyBorder="1" applyAlignment="1">
      <alignment horizontal="right" vertical="center"/>
    </xf>
    <xf numFmtId="3" fontId="17" fillId="21" borderId="13" xfId="6" applyNumberFormat="1" applyFont="1" applyFill="1" applyBorder="1">
      <alignment vertical="center"/>
    </xf>
    <xf numFmtId="0" fontId="31" fillId="23" borderId="28" xfId="0" applyFont="1" applyFill="1" applyBorder="1" applyAlignment="1">
      <alignment horizontal="left" vertical="center"/>
    </xf>
    <xf numFmtId="0" fontId="31" fillId="23" borderId="28" xfId="0" applyFont="1" applyFill="1" applyBorder="1" applyAlignment="1">
      <alignment vertical="center" wrapText="1"/>
    </xf>
    <xf numFmtId="3" fontId="17" fillId="3" borderId="29" xfId="6" applyNumberFormat="1" applyFont="1" applyFill="1" applyBorder="1">
      <alignment vertical="center"/>
    </xf>
    <xf numFmtId="3" fontId="17" fillId="3" borderId="26" xfId="6" applyNumberFormat="1" applyFont="1" applyFill="1" applyBorder="1">
      <alignment vertical="center"/>
    </xf>
    <xf numFmtId="3" fontId="17" fillId="3" borderId="13" xfId="6" applyNumberFormat="1" applyFont="1" applyFill="1" applyBorder="1">
      <alignment vertical="center"/>
    </xf>
    <xf numFmtId="3" fontId="17" fillId="3" borderId="28" xfId="6" applyNumberFormat="1" applyFont="1" applyFill="1" applyBorder="1">
      <alignment vertical="center"/>
    </xf>
    <xf numFmtId="3" fontId="12" fillId="3" borderId="28" xfId="6" applyNumberFormat="1" applyFont="1" applyFill="1" applyBorder="1">
      <alignment vertical="center"/>
    </xf>
    <xf numFmtId="0" fontId="37" fillId="3" borderId="13" xfId="0" applyFont="1" applyFill="1" applyBorder="1" applyAlignment="1">
      <alignment horizontal="center" vertical="center"/>
    </xf>
    <xf numFmtId="0" fontId="37" fillId="3" borderId="13" xfId="0" applyFont="1" applyFill="1" applyBorder="1" applyAlignment="1">
      <alignment vertical="center" wrapText="1"/>
    </xf>
    <xf numFmtId="0" fontId="31" fillId="3" borderId="13" xfId="0" applyFont="1" applyFill="1" applyBorder="1" applyAlignment="1">
      <alignment horizontal="left" vertical="center"/>
    </xf>
    <xf numFmtId="0" fontId="31" fillId="3" borderId="13" xfId="0" applyFont="1" applyFill="1" applyBorder="1" applyAlignment="1">
      <alignment vertical="center" wrapText="1"/>
    </xf>
    <xf numFmtId="0" fontId="12" fillId="23" borderId="13" xfId="0" applyFont="1" applyFill="1" applyBorder="1" applyAlignment="1">
      <alignment horizontal="center" vertical="center"/>
    </xf>
    <xf numFmtId="0" fontId="12" fillId="23" borderId="13" xfId="0" applyFont="1" applyFill="1" applyBorder="1" applyAlignment="1">
      <alignment vertical="center" wrapText="1"/>
    </xf>
    <xf numFmtId="0" fontId="17" fillId="8" borderId="13" xfId="3" quotePrefix="1" applyFont="1" applyFill="1" applyBorder="1" applyAlignment="1">
      <alignment vertical="center"/>
    </xf>
    <xf numFmtId="0" fontId="17" fillId="8" borderId="13" xfId="3" quotePrefix="1" applyFont="1" applyFill="1" applyBorder="1" applyAlignment="1">
      <alignment horizontal="left" vertical="center" wrapText="1"/>
    </xf>
    <xf numFmtId="3" fontId="17" fillId="8" borderId="13" xfId="6" applyNumberFormat="1" applyFont="1" applyFill="1" applyBorder="1">
      <alignment vertical="center"/>
    </xf>
    <xf numFmtId="3" fontId="17" fillId="18" borderId="13" xfId="6" applyNumberFormat="1" applyFont="1" applyFill="1" applyBorder="1">
      <alignment vertical="center"/>
    </xf>
    <xf numFmtId="3" fontId="17" fillId="24" borderId="13" xfId="6" applyNumberFormat="1" applyFont="1" applyFill="1" applyBorder="1">
      <alignment vertical="center"/>
    </xf>
    <xf numFmtId="3" fontId="17" fillId="24" borderId="28" xfId="6" applyNumberFormat="1" applyFont="1" applyFill="1" applyBorder="1">
      <alignment vertical="center"/>
    </xf>
    <xf numFmtId="0" fontId="37" fillId="23" borderId="42" xfId="0" applyFont="1" applyFill="1" applyBorder="1" applyAlignment="1">
      <alignment vertical="center" wrapText="1"/>
    </xf>
    <xf numFmtId="3" fontId="31" fillId="21" borderId="42" xfId="0" applyNumberFormat="1" applyFont="1" applyFill="1" applyBorder="1" applyAlignment="1">
      <alignment vertical="center"/>
    </xf>
    <xf numFmtId="0" fontId="31" fillId="23" borderId="42" xfId="0" applyFont="1" applyFill="1" applyBorder="1" applyAlignment="1">
      <alignment vertical="center" wrapText="1"/>
    </xf>
    <xf numFmtId="3" fontId="31" fillId="0" borderId="42" xfId="0" applyNumberFormat="1" applyFont="1" applyBorder="1" applyAlignment="1">
      <alignment vertical="center"/>
    </xf>
    <xf numFmtId="3" fontId="37" fillId="0" borderId="42" xfId="0" applyNumberFormat="1" applyFont="1" applyBorder="1" applyAlignment="1">
      <alignment vertical="center"/>
    </xf>
    <xf numFmtId="3" fontId="37" fillId="0" borderId="28" xfId="0" applyNumberFormat="1" applyFont="1" applyBorder="1" applyAlignment="1">
      <alignment vertical="center"/>
    </xf>
    <xf numFmtId="0" fontId="17" fillId="8" borderId="28" xfId="3" quotePrefix="1" applyFont="1" applyFill="1" applyBorder="1" applyAlignment="1">
      <alignment vertical="center"/>
    </xf>
    <xf numFmtId="0" fontId="17" fillId="8" borderId="28" xfId="3" quotePrefix="1" applyFont="1" applyFill="1" applyBorder="1" applyAlignment="1">
      <alignment horizontal="left" vertical="center" wrapText="1"/>
    </xf>
    <xf numFmtId="3" fontId="17" fillId="8" borderId="32" xfId="6" applyNumberFormat="1" applyFont="1" applyFill="1" applyBorder="1">
      <alignment vertical="center"/>
    </xf>
    <xf numFmtId="3" fontId="17" fillId="8" borderId="30" xfId="6" applyNumberFormat="1" applyFont="1" applyFill="1" applyBorder="1">
      <alignment vertical="center"/>
    </xf>
    <xf numFmtId="0" fontId="31" fillId="3" borderId="28" xfId="0" applyFont="1" applyFill="1" applyBorder="1" applyAlignment="1">
      <alignment horizontal="left" vertical="center"/>
    </xf>
    <xf numFmtId="0" fontId="31" fillId="3" borderId="28" xfId="0" applyFont="1" applyFill="1" applyBorder="1" applyAlignment="1">
      <alignment vertical="center" wrapText="1"/>
    </xf>
    <xf numFmtId="0" fontId="37" fillId="3" borderId="28" xfId="0" applyFont="1" applyFill="1" applyBorder="1" applyAlignment="1">
      <alignment horizontal="center" vertical="center"/>
    </xf>
    <xf numFmtId="0" fontId="37" fillId="3" borderId="28" xfId="0" applyFont="1" applyFill="1" applyBorder="1" applyAlignment="1">
      <alignment vertical="center" wrapText="1"/>
    </xf>
    <xf numFmtId="0" fontId="31" fillId="0" borderId="28" xfId="0" applyFont="1" applyBorder="1" applyAlignment="1">
      <alignment horizontal="left" vertical="center"/>
    </xf>
    <xf numFmtId="0" fontId="31" fillId="0" borderId="28" xfId="0" applyFont="1" applyBorder="1" applyAlignment="1">
      <alignment vertical="center" wrapText="1"/>
    </xf>
    <xf numFmtId="0" fontId="37" fillId="0" borderId="28" xfId="0" applyFont="1" applyBorder="1" applyAlignment="1">
      <alignment horizontal="center" vertical="center"/>
    </xf>
    <xf numFmtId="0" fontId="37" fillId="0" borderId="28" xfId="0" applyFont="1" applyBorder="1" applyAlignment="1">
      <alignment vertical="center" wrapText="1"/>
    </xf>
    <xf numFmtId="0" fontId="12" fillId="23" borderId="28" xfId="0" applyFont="1" applyFill="1" applyBorder="1" applyAlignment="1">
      <alignment horizontal="center" vertical="center"/>
    </xf>
    <xf numFmtId="0" fontId="12" fillId="23" borderId="28" xfId="0" applyFont="1" applyFill="1" applyBorder="1" applyAlignment="1">
      <alignment vertical="center" wrapText="1"/>
    </xf>
    <xf numFmtId="0" fontId="37" fillId="0" borderId="30" xfId="0" applyFont="1" applyBorder="1" applyAlignment="1">
      <alignment vertical="center" wrapText="1"/>
    </xf>
    <xf numFmtId="0" fontId="31" fillId="18" borderId="30" xfId="0" applyFont="1" applyFill="1" applyBorder="1" applyAlignment="1">
      <alignment vertical="center"/>
    </xf>
    <xf numFmtId="3" fontId="31" fillId="18" borderId="30" xfId="0" applyNumberFormat="1" applyFont="1" applyFill="1" applyBorder="1" applyAlignment="1">
      <alignment vertical="center"/>
    </xf>
    <xf numFmtId="3" fontId="12" fillId="21" borderId="26" xfId="6" applyNumberFormat="1" applyFont="1" applyFill="1" applyBorder="1">
      <alignment vertical="center"/>
    </xf>
    <xf numFmtId="0" fontId="31" fillId="23" borderId="30" xfId="0" applyFont="1" applyFill="1" applyBorder="1" applyAlignment="1">
      <alignment vertical="center" wrapText="1"/>
    </xf>
    <xf numFmtId="3" fontId="12" fillId="8" borderId="29" xfId="6" applyNumberFormat="1" applyFont="1" applyFill="1" applyBorder="1">
      <alignment vertical="center"/>
    </xf>
    <xf numFmtId="3" fontId="12" fillId="8" borderId="26" xfId="6" applyNumberFormat="1" applyFont="1" applyFill="1" applyBorder="1">
      <alignment vertical="center"/>
    </xf>
    <xf numFmtId="3" fontId="12" fillId="8" borderId="28" xfId="6" applyNumberFormat="1" applyFont="1" applyFill="1" applyBorder="1">
      <alignment vertical="center"/>
    </xf>
    <xf numFmtId="3" fontId="28" fillId="8" borderId="26" xfId="0" applyNumberFormat="1" applyFont="1" applyFill="1" applyBorder="1" applyAlignment="1">
      <alignment horizontal="right" vertical="center"/>
    </xf>
    <xf numFmtId="3" fontId="28" fillId="21" borderId="26" xfId="0" applyNumberFormat="1" applyFont="1" applyFill="1" applyBorder="1" applyAlignment="1">
      <alignment horizontal="right" vertical="center"/>
    </xf>
    <xf numFmtId="0" fontId="17" fillId="0" borderId="28" xfId="7" quotePrefix="1" applyFont="1" applyFill="1" applyBorder="1" applyAlignment="1">
      <alignment horizontal="left" vertical="center"/>
    </xf>
    <xf numFmtId="3" fontId="12" fillId="19" borderId="29" xfId="6" applyNumberFormat="1" applyFont="1" applyFill="1" applyBorder="1">
      <alignment vertical="center"/>
    </xf>
    <xf numFmtId="3" fontId="12" fillId="19" borderId="26" xfId="6" applyNumberFormat="1" applyFont="1" applyFill="1" applyBorder="1">
      <alignment vertical="center"/>
    </xf>
    <xf numFmtId="3" fontId="12" fillId="19" borderId="28" xfId="6" applyNumberFormat="1" applyFont="1" applyFill="1" applyBorder="1">
      <alignment vertical="center"/>
    </xf>
    <xf numFmtId="3" fontId="17" fillId="19" borderId="28" xfId="6" applyNumberFormat="1" applyFont="1" applyFill="1" applyBorder="1">
      <alignment vertical="center"/>
    </xf>
    <xf numFmtId="3" fontId="28" fillId="19" borderId="26" xfId="0" applyNumberFormat="1" applyFont="1" applyFill="1" applyBorder="1" applyAlignment="1">
      <alignment horizontal="right" vertical="center"/>
    </xf>
    <xf numFmtId="3" fontId="31" fillId="18" borderId="28" xfId="0" applyNumberFormat="1" applyFont="1" applyFill="1" applyBorder="1" applyAlignment="1">
      <alignment vertical="center"/>
    </xf>
    <xf numFmtId="3" fontId="31" fillId="21" borderId="28" xfId="0" applyNumberFormat="1" applyFont="1" applyFill="1" applyBorder="1" applyAlignment="1">
      <alignment vertical="center"/>
    </xf>
    <xf numFmtId="0" fontId="31" fillId="0" borderId="28" xfId="0" applyFont="1" applyBorder="1" applyAlignment="1">
      <alignment vertical="center"/>
    </xf>
    <xf numFmtId="3" fontId="37" fillId="0" borderId="26" xfId="0" applyNumberFormat="1" applyFont="1" applyBorder="1" applyAlignment="1">
      <alignment vertical="center"/>
    </xf>
    <xf numFmtId="3" fontId="31" fillId="0" borderId="28" xfId="0" applyNumberFormat="1" applyFont="1" applyBorder="1" applyAlignment="1">
      <alignment vertical="center"/>
    </xf>
    <xf numFmtId="0" fontId="37" fillId="0" borderId="28" xfId="0" applyFont="1" applyBorder="1" applyAlignment="1">
      <alignment vertical="center"/>
    </xf>
    <xf numFmtId="0" fontId="31" fillId="23" borderId="28" xfId="0" applyFont="1" applyFill="1" applyBorder="1" applyAlignment="1">
      <alignment horizontal="center" vertical="center"/>
    </xf>
    <xf numFmtId="0" fontId="31" fillId="0" borderId="28" xfId="0" applyFont="1" applyBorder="1" applyAlignment="1">
      <alignment horizontal="center" vertical="center"/>
    </xf>
    <xf numFmtId="0" fontId="17" fillId="0" borderId="28" xfId="7" quotePrefix="1" applyFont="1" applyFill="1" applyBorder="1" applyAlignment="1">
      <alignment horizontal="center" vertical="center"/>
    </xf>
    <xf numFmtId="0" fontId="17" fillId="0" borderId="28" xfId="7" quotePrefix="1" applyFont="1" applyFill="1" applyBorder="1" applyAlignment="1">
      <alignment horizontal="left" vertical="center" wrapText="1"/>
    </xf>
    <xf numFmtId="0" fontId="12" fillId="0" borderId="42" xfId="7" quotePrefix="1" applyFont="1" applyFill="1" applyBorder="1" applyAlignment="1">
      <alignment horizontal="center" vertical="center"/>
    </xf>
    <xf numFmtId="49" fontId="29" fillId="12" borderId="1" xfId="0" applyNumberFormat="1" applyFont="1" applyFill="1" applyBorder="1" applyAlignment="1">
      <alignment horizontal="center" vertical="center" wrapText="1"/>
    </xf>
    <xf numFmtId="3" fontId="31" fillId="12" borderId="29" xfId="0" applyNumberFormat="1" applyFont="1" applyFill="1" applyBorder="1" applyAlignment="1">
      <alignment horizontal="right" vertical="center" wrapText="1"/>
    </xf>
    <xf numFmtId="3" fontId="31" fillId="12" borderId="26" xfId="0" applyNumberFormat="1" applyFont="1" applyFill="1" applyBorder="1" applyAlignment="1">
      <alignment horizontal="right" vertical="center" wrapText="1"/>
    </xf>
    <xf numFmtId="3" fontId="31" fillId="12" borderId="1" xfId="0" applyNumberFormat="1" applyFont="1" applyFill="1" applyBorder="1" applyAlignment="1">
      <alignment horizontal="right" vertical="center" wrapText="1"/>
    </xf>
    <xf numFmtId="166" fontId="31" fillId="12" borderId="28" xfId="0" applyNumberFormat="1" applyFont="1" applyFill="1" applyBorder="1" applyAlignment="1">
      <alignment horizontal="right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3" fontId="31" fillId="0" borderId="33" xfId="0" applyNumberFormat="1" applyFont="1" applyBorder="1" applyAlignment="1">
      <alignment horizontal="right" vertical="center" wrapText="1"/>
    </xf>
    <xf numFmtId="3" fontId="31" fillId="0" borderId="25" xfId="0" applyNumberFormat="1" applyFont="1" applyBorder="1" applyAlignment="1">
      <alignment horizontal="right" vertical="center" wrapText="1"/>
    </xf>
    <xf numFmtId="3" fontId="31" fillId="0" borderId="2" xfId="0" applyNumberFormat="1" applyFont="1" applyBorder="1" applyAlignment="1">
      <alignment horizontal="right" vertical="center" wrapText="1"/>
    </xf>
    <xf numFmtId="166" fontId="31" fillId="0" borderId="36" xfId="0" applyNumberFormat="1" applyFont="1" applyBorder="1" applyAlignment="1">
      <alignment horizontal="right" vertical="center" wrapText="1"/>
    </xf>
    <xf numFmtId="49" fontId="32" fillId="3" borderId="7" xfId="0" applyNumberFormat="1" applyFont="1" applyFill="1" applyBorder="1" applyAlignment="1">
      <alignment horizontal="center" vertical="center" wrapText="1"/>
    </xf>
    <xf numFmtId="0" fontId="32" fillId="0" borderId="7" xfId="0" applyFont="1" applyBorder="1" applyAlignment="1">
      <alignment horizontal="right" vertical="center" wrapText="1"/>
    </xf>
    <xf numFmtId="3" fontId="32" fillId="0" borderId="35" xfId="0" applyNumberFormat="1" applyFont="1" applyBorder="1" applyAlignment="1">
      <alignment horizontal="right" vertical="center" wrapText="1"/>
    </xf>
    <xf numFmtId="3" fontId="32" fillId="0" borderId="47" xfId="0" applyNumberFormat="1" applyFont="1" applyBorder="1" applyAlignment="1">
      <alignment horizontal="right" vertical="center" wrapText="1"/>
    </xf>
    <xf numFmtId="3" fontId="32" fillId="0" borderId="45" xfId="0" applyNumberFormat="1" applyFont="1" applyBorder="1" applyAlignment="1">
      <alignment horizontal="right" vertical="center" wrapText="1"/>
    </xf>
    <xf numFmtId="3" fontId="32" fillId="0" borderId="7" xfId="0" applyNumberFormat="1" applyFont="1" applyBorder="1" applyAlignment="1">
      <alignment horizontal="right" vertical="center" wrapText="1"/>
    </xf>
    <xf numFmtId="49" fontId="32" fillId="0" borderId="8" xfId="0" applyNumberFormat="1" applyFont="1" applyBorder="1" applyAlignment="1">
      <alignment horizontal="center" vertical="center" wrapText="1"/>
    </xf>
    <xf numFmtId="0" fontId="32" fillId="0" borderId="8" xfId="0" applyFont="1" applyBorder="1" applyAlignment="1">
      <alignment horizontal="right" vertical="center" wrapText="1"/>
    </xf>
    <xf numFmtId="3" fontId="32" fillId="0" borderId="8" xfId="0" applyNumberFormat="1" applyFont="1" applyBorder="1" applyAlignment="1">
      <alignment horizontal="right" vertical="center" wrapText="1"/>
    </xf>
    <xf numFmtId="0" fontId="17" fillId="40" borderId="36" xfId="2" quotePrefix="1" applyNumberFormat="1" applyFont="1" applyFill="1" applyBorder="1" applyAlignment="1">
      <alignment horizontal="center" vertical="center" wrapText="1" justifyLastLine="1"/>
    </xf>
    <xf numFmtId="0" fontId="29" fillId="40" borderId="33" xfId="0" applyFont="1" applyFill="1" applyBorder="1" applyAlignment="1">
      <alignment horizontal="center" vertical="center" wrapText="1"/>
    </xf>
    <xf numFmtId="0" fontId="29" fillId="40" borderId="25" xfId="0" applyFont="1" applyFill="1" applyBorder="1" applyAlignment="1">
      <alignment horizontal="center" vertical="center" wrapText="1"/>
    </xf>
    <xf numFmtId="0" fontId="29" fillId="40" borderId="36" xfId="0" applyFont="1" applyFill="1" applyBorder="1" applyAlignment="1">
      <alignment horizontal="center" vertical="center" wrapText="1"/>
    </xf>
    <xf numFmtId="0" fontId="34" fillId="40" borderId="38" xfId="2" quotePrefix="1" applyNumberFormat="1" applyFont="1" applyFill="1" applyBorder="1" applyAlignment="1">
      <alignment horizontal="center" vertical="center" wrapText="1" justifyLastLine="1"/>
    </xf>
    <xf numFmtId="0" fontId="35" fillId="40" borderId="39" xfId="0" applyFont="1" applyFill="1" applyBorder="1" applyAlignment="1">
      <alignment horizontal="center" vertical="center" wrapText="1"/>
    </xf>
    <xf numFmtId="0" fontId="35" fillId="40" borderId="40" xfId="0" applyFont="1" applyFill="1" applyBorder="1" applyAlignment="1">
      <alignment horizontal="center" vertical="center" wrapText="1"/>
    </xf>
    <xf numFmtId="0" fontId="35" fillId="40" borderId="38" xfId="0" applyFont="1" applyFill="1" applyBorder="1" applyAlignment="1">
      <alignment horizontal="center" vertical="center" wrapText="1"/>
    </xf>
    <xf numFmtId="0" fontId="31" fillId="41" borderId="14" xfId="0" applyFont="1" applyFill="1" applyBorder="1" applyAlignment="1">
      <alignment vertical="center"/>
    </xf>
    <xf numFmtId="0" fontId="31" fillId="41" borderId="13" xfId="0" applyFont="1" applyFill="1" applyBorder="1" applyAlignment="1">
      <alignment vertical="center" wrapText="1"/>
    </xf>
    <xf numFmtId="3" fontId="29" fillId="41" borderId="29" xfId="0" applyNumberFormat="1" applyFont="1" applyFill="1" applyBorder="1" applyAlignment="1">
      <alignment horizontal="right" vertical="center"/>
    </xf>
    <xf numFmtId="3" fontId="29" fillId="41" borderId="26" xfId="0" applyNumberFormat="1" applyFont="1" applyFill="1" applyBorder="1" applyAlignment="1">
      <alignment horizontal="right" vertical="center"/>
    </xf>
    <xf numFmtId="3" fontId="29" fillId="41" borderId="13" xfId="0" applyNumberFormat="1" applyFont="1" applyFill="1" applyBorder="1" applyAlignment="1">
      <alignment horizontal="right" vertical="center"/>
    </xf>
    <xf numFmtId="0" fontId="31" fillId="41" borderId="13" xfId="0" applyFont="1" applyFill="1" applyBorder="1" applyAlignment="1">
      <alignment vertical="center"/>
    </xf>
    <xf numFmtId="3" fontId="31" fillId="41" borderId="29" xfId="0" applyNumberFormat="1" applyFont="1" applyFill="1" applyBorder="1" applyAlignment="1">
      <alignment horizontal="right" vertical="center"/>
    </xf>
    <xf numFmtId="3" fontId="31" fillId="41" borderId="26" xfId="0" applyNumberFormat="1" applyFont="1" applyFill="1" applyBorder="1" applyAlignment="1">
      <alignment horizontal="right" vertical="center"/>
    </xf>
    <xf numFmtId="3" fontId="31" fillId="41" borderId="13" xfId="0" applyNumberFormat="1" applyFont="1" applyFill="1" applyBorder="1" applyAlignment="1">
      <alignment horizontal="right" vertical="center"/>
    </xf>
    <xf numFmtId="0" fontId="31" fillId="41" borderId="13" xfId="0" applyFont="1" applyFill="1" applyBorder="1" applyAlignment="1">
      <alignment horizontal="left" vertical="center"/>
    </xf>
    <xf numFmtId="0" fontId="31" fillId="41" borderId="13" xfId="0" applyFont="1" applyFill="1" applyBorder="1" applyAlignment="1">
      <alignment horizontal="left" vertical="center" wrapText="1"/>
    </xf>
    <xf numFmtId="0" fontId="31" fillId="41" borderId="14" xfId="0" applyFont="1" applyFill="1" applyBorder="1" applyAlignment="1">
      <alignment horizontal="left" vertical="center"/>
    </xf>
    <xf numFmtId="0" fontId="17" fillId="41" borderId="13" xfId="7" quotePrefix="1" applyFont="1" applyFill="1" applyBorder="1" applyAlignment="1">
      <alignment horizontal="left" vertical="center"/>
    </xf>
    <xf numFmtId="0" fontId="17" fillId="41" borderId="13" xfId="7" quotePrefix="1" applyFont="1" applyFill="1" applyBorder="1" applyAlignment="1">
      <alignment horizontal="left" vertical="center" wrapText="1"/>
    </xf>
    <xf numFmtId="3" fontId="17" fillId="41" borderId="29" xfId="8" applyNumberFormat="1" applyFont="1" applyFill="1" applyBorder="1">
      <alignment horizontal="right" vertical="center"/>
    </xf>
    <xf numFmtId="3" fontId="17" fillId="41" borderId="26" xfId="8" applyNumberFormat="1" applyFont="1" applyFill="1" applyBorder="1">
      <alignment horizontal="right" vertical="center"/>
    </xf>
    <xf numFmtId="3" fontId="17" fillId="41" borderId="13" xfId="8" applyNumberFormat="1" applyFont="1" applyFill="1" applyBorder="1">
      <alignment horizontal="right" vertical="center"/>
    </xf>
    <xf numFmtId="0" fontId="31" fillId="41" borderId="42" xfId="0" applyFont="1" applyFill="1" applyBorder="1" applyAlignment="1">
      <alignment horizontal="left" vertical="center"/>
    </xf>
    <xf numFmtId="0" fontId="31" fillId="41" borderId="42" xfId="0" applyFont="1" applyFill="1" applyBorder="1" applyAlignment="1">
      <alignment vertical="center" wrapText="1"/>
    </xf>
    <xf numFmtId="3" fontId="31" fillId="41" borderId="43" xfId="0" applyNumberFormat="1" applyFont="1" applyFill="1" applyBorder="1" applyAlignment="1">
      <alignment horizontal="right" vertical="center"/>
    </xf>
    <xf numFmtId="3" fontId="31" fillId="41" borderId="42" xfId="0" applyNumberFormat="1" applyFont="1" applyFill="1" applyBorder="1" applyAlignment="1">
      <alignment horizontal="right" vertical="center"/>
    </xf>
    <xf numFmtId="0" fontId="29" fillId="41" borderId="13" xfId="0" applyFont="1" applyFill="1" applyBorder="1" applyAlignment="1">
      <alignment horizontal="left" vertical="center"/>
    </xf>
    <xf numFmtId="0" fontId="29" fillId="41" borderId="13" xfId="0" applyFont="1" applyFill="1" applyBorder="1" applyAlignment="1">
      <alignment vertical="center" wrapText="1"/>
    </xf>
    <xf numFmtId="0" fontId="31" fillId="41" borderId="15" xfId="0" applyFont="1" applyFill="1" applyBorder="1" applyAlignment="1">
      <alignment vertical="center" wrapText="1"/>
    </xf>
    <xf numFmtId="3" fontId="29" fillId="41" borderId="28" xfId="0" applyNumberFormat="1" applyFont="1" applyFill="1" applyBorder="1" applyAlignment="1">
      <alignment horizontal="right" vertical="center"/>
    </xf>
    <xf numFmtId="0" fontId="17" fillId="41" borderId="12" xfId="7" quotePrefix="1" applyFont="1" applyFill="1" applyBorder="1" applyAlignment="1">
      <alignment horizontal="left" vertical="center"/>
    </xf>
    <xf numFmtId="0" fontId="17" fillId="41" borderId="12" xfId="7" quotePrefix="1" applyFont="1" applyFill="1" applyBorder="1" applyAlignment="1">
      <alignment horizontal="left" vertical="center" wrapText="1"/>
    </xf>
    <xf numFmtId="3" fontId="17" fillId="41" borderId="29" xfId="6" applyNumberFormat="1" applyFont="1" applyFill="1" applyBorder="1">
      <alignment vertical="center"/>
    </xf>
    <xf numFmtId="3" fontId="17" fillId="41" borderId="26" xfId="6" applyNumberFormat="1" applyFont="1" applyFill="1" applyBorder="1">
      <alignment vertical="center"/>
    </xf>
    <xf numFmtId="3" fontId="17" fillId="41" borderId="12" xfId="6" applyNumberFormat="1" applyFont="1" applyFill="1" applyBorder="1">
      <alignment vertical="center"/>
    </xf>
    <xf numFmtId="3" fontId="17" fillId="41" borderId="29" xfId="6" applyNumberFormat="1" applyFont="1" applyFill="1" applyBorder="1" applyAlignment="1">
      <alignment horizontal="right" vertical="center"/>
    </xf>
    <xf numFmtId="3" fontId="17" fillId="41" borderId="26" xfId="6" applyNumberFormat="1" applyFont="1" applyFill="1" applyBorder="1" applyAlignment="1">
      <alignment horizontal="right" vertical="center"/>
    </xf>
    <xf numFmtId="3" fontId="17" fillId="41" borderId="13" xfId="6" applyNumberFormat="1" applyFont="1" applyFill="1" applyBorder="1" applyAlignment="1">
      <alignment horizontal="right" vertical="center"/>
    </xf>
    <xf numFmtId="3" fontId="17" fillId="41" borderId="13" xfId="6" applyNumberFormat="1" applyFont="1" applyFill="1" applyBorder="1">
      <alignment vertical="center"/>
    </xf>
    <xf numFmtId="0" fontId="31" fillId="42" borderId="28" xfId="0" applyFont="1" applyFill="1" applyBorder="1" applyAlignment="1">
      <alignment horizontal="left" vertical="center"/>
    </xf>
    <xf numFmtId="0" fontId="31" fillId="42" borderId="28" xfId="0" applyFont="1" applyFill="1" applyBorder="1" applyAlignment="1">
      <alignment vertical="center" wrapText="1"/>
    </xf>
    <xf numFmtId="0" fontId="31" fillId="42" borderId="13" xfId="0" applyFont="1" applyFill="1" applyBorder="1" applyAlignment="1">
      <alignment horizontal="left" vertical="center"/>
    </xf>
    <xf numFmtId="0" fontId="31" fillId="42" borderId="13" xfId="0" applyFont="1" applyFill="1" applyBorder="1" applyAlignment="1">
      <alignment vertical="center" wrapText="1"/>
    </xf>
    <xf numFmtId="0" fontId="31" fillId="41" borderId="28" xfId="0" applyFont="1" applyFill="1" applyBorder="1" applyAlignment="1">
      <alignment horizontal="left" vertical="center"/>
    </xf>
    <xf numFmtId="3" fontId="31" fillId="41" borderId="42" xfId="0" applyNumberFormat="1" applyFont="1" applyFill="1" applyBorder="1" applyAlignment="1">
      <alignment vertical="center"/>
    </xf>
    <xf numFmtId="0" fontId="17" fillId="41" borderId="28" xfId="7" quotePrefix="1" applyFont="1" applyFill="1" applyBorder="1" applyAlignment="1">
      <alignment horizontal="left" vertical="center"/>
    </xf>
    <xf numFmtId="0" fontId="17" fillId="41" borderId="28" xfId="7" quotePrefix="1" applyFont="1" applyFill="1" applyBorder="1" applyAlignment="1">
      <alignment horizontal="left" vertical="center" wrapText="1"/>
    </xf>
    <xf numFmtId="3" fontId="17" fillId="41" borderId="28" xfId="6" applyNumberFormat="1" applyFont="1" applyFill="1" applyBorder="1">
      <alignment vertical="center"/>
    </xf>
    <xf numFmtId="0" fontId="29" fillId="41" borderId="28" xfId="0" applyFont="1" applyFill="1" applyBorder="1" applyAlignment="1">
      <alignment vertical="center" wrapText="1"/>
    </xf>
    <xf numFmtId="0" fontId="17" fillId="41" borderId="37" xfId="7" quotePrefix="1" applyFont="1" applyFill="1" applyBorder="1" applyAlignment="1">
      <alignment horizontal="left" vertical="center" wrapText="1"/>
    </xf>
    <xf numFmtId="3" fontId="17" fillId="41" borderId="32" xfId="6" applyNumberFormat="1" applyFont="1" applyFill="1" applyBorder="1">
      <alignment vertical="center"/>
    </xf>
    <xf numFmtId="3" fontId="17" fillId="41" borderId="30" xfId="6" applyNumberFormat="1" applyFont="1" applyFill="1" applyBorder="1">
      <alignment vertical="center"/>
    </xf>
    <xf numFmtId="3" fontId="12" fillId="41" borderId="32" xfId="6" applyNumberFormat="1" applyFont="1" applyFill="1" applyBorder="1">
      <alignment vertical="center"/>
    </xf>
    <xf numFmtId="3" fontId="12" fillId="41" borderId="30" xfId="6" applyNumberFormat="1" applyFont="1" applyFill="1" applyBorder="1">
      <alignment vertical="center"/>
    </xf>
    <xf numFmtId="3" fontId="12" fillId="41" borderId="28" xfId="6" applyNumberFormat="1" applyFont="1" applyFill="1" applyBorder="1">
      <alignment vertical="center"/>
    </xf>
    <xf numFmtId="3" fontId="12" fillId="41" borderId="29" xfId="6" applyNumberFormat="1" applyFont="1" applyFill="1" applyBorder="1">
      <alignment vertical="center"/>
    </xf>
    <xf numFmtId="3" fontId="12" fillId="41" borderId="26" xfId="6" applyNumberFormat="1" applyFont="1" applyFill="1" applyBorder="1">
      <alignment vertical="center"/>
    </xf>
    <xf numFmtId="0" fontId="31" fillId="41" borderId="28" xfId="0" applyFont="1" applyFill="1" applyBorder="1" applyAlignment="1">
      <alignment vertical="center"/>
    </xf>
    <xf numFmtId="0" fontId="31" fillId="41" borderId="28" xfId="0" applyFont="1" applyFill="1" applyBorder="1" applyAlignment="1">
      <alignment vertical="center" wrapText="1"/>
    </xf>
    <xf numFmtId="3" fontId="37" fillId="41" borderId="26" xfId="0" applyNumberFormat="1" applyFont="1" applyFill="1" applyBorder="1" applyAlignment="1">
      <alignment vertical="center"/>
    </xf>
    <xf numFmtId="3" fontId="37" fillId="41" borderId="28" xfId="0" applyNumberFormat="1" applyFont="1" applyFill="1" applyBorder="1" applyAlignment="1">
      <alignment vertical="center"/>
    </xf>
    <xf numFmtId="3" fontId="28" fillId="41" borderId="28" xfId="0" applyNumberFormat="1" applyFont="1" applyFill="1" applyBorder="1" applyAlignment="1">
      <alignment horizontal="right" vertical="center"/>
    </xf>
    <xf numFmtId="3" fontId="31" fillId="41" borderId="28" xfId="0" applyNumberFormat="1" applyFont="1" applyFill="1" applyBorder="1" applyAlignment="1">
      <alignment vertical="center"/>
    </xf>
    <xf numFmtId="3" fontId="12" fillId="0" borderId="9" xfId="0" applyNumberFormat="1" applyFont="1" applyBorder="1" applyAlignment="1">
      <alignment horizontal="right" vertical="center"/>
    </xf>
    <xf numFmtId="3" fontId="12" fillId="0" borderId="15" xfId="0" applyNumberFormat="1" applyFont="1" applyBorder="1" applyAlignment="1">
      <alignment horizontal="right" vertical="center"/>
    </xf>
    <xf numFmtId="3" fontId="29" fillId="19" borderId="1" xfId="0" applyNumberFormat="1" applyFont="1" applyFill="1" applyBorder="1" applyAlignment="1">
      <alignment horizontal="right" vertical="center"/>
    </xf>
    <xf numFmtId="3" fontId="17" fillId="43" borderId="11" xfId="6" applyNumberFormat="1" applyFont="1" applyFill="1" applyBorder="1">
      <alignment vertical="center"/>
    </xf>
    <xf numFmtId="3" fontId="12" fillId="2" borderId="12" xfId="0" applyNumberFormat="1" applyFont="1" applyFill="1" applyBorder="1" applyAlignment="1">
      <alignment horizontal="right" vertical="center"/>
    </xf>
    <xf numFmtId="3" fontId="28" fillId="3" borderId="12" xfId="0" applyNumberFormat="1" applyFont="1" applyFill="1" applyBorder="1" applyAlignment="1">
      <alignment horizontal="right" vertical="center"/>
    </xf>
    <xf numFmtId="3" fontId="12" fillId="3" borderId="13" xfId="8" applyNumberFormat="1" applyFont="1" applyFill="1" applyBorder="1">
      <alignment horizontal="right" vertical="center"/>
    </xf>
    <xf numFmtId="3" fontId="12" fillId="3" borderId="15" xfId="8" applyNumberFormat="1" applyFont="1" applyFill="1" applyBorder="1">
      <alignment horizontal="right" vertical="center"/>
    </xf>
    <xf numFmtId="3" fontId="37" fillId="3" borderId="28" xfId="0" applyNumberFormat="1" applyFont="1" applyFill="1" applyBorder="1" applyAlignment="1">
      <alignment vertical="center"/>
    </xf>
    <xf numFmtId="3" fontId="17" fillId="9" borderId="13" xfId="6" applyNumberFormat="1" applyFont="1" applyFill="1" applyBorder="1">
      <alignment vertical="center"/>
    </xf>
    <xf numFmtId="0" fontId="31" fillId="9" borderId="30" xfId="0" applyFont="1" applyFill="1" applyBorder="1" applyAlignment="1">
      <alignment vertical="center"/>
    </xf>
    <xf numFmtId="0" fontId="31" fillId="9" borderId="32" xfId="0" applyFont="1" applyFill="1" applyBorder="1" applyAlignment="1">
      <alignment vertical="center"/>
    </xf>
    <xf numFmtId="0" fontId="31" fillId="9" borderId="26" xfId="0" applyFont="1" applyFill="1" applyBorder="1" applyAlignment="1">
      <alignment vertical="center"/>
    </xf>
    <xf numFmtId="3" fontId="31" fillId="9" borderId="30" xfId="0" applyNumberFormat="1" applyFont="1" applyFill="1" applyBorder="1" applyAlignment="1">
      <alignment vertical="center"/>
    </xf>
    <xf numFmtId="3" fontId="12" fillId="9" borderId="29" xfId="6" applyNumberFormat="1" applyFont="1" applyFill="1" applyBorder="1">
      <alignment vertical="center"/>
    </xf>
    <xf numFmtId="3" fontId="12" fillId="9" borderId="26" xfId="6" applyNumberFormat="1" applyFont="1" applyFill="1" applyBorder="1">
      <alignment vertical="center"/>
    </xf>
    <xf numFmtId="3" fontId="12" fillId="9" borderId="28" xfId="6" applyNumberFormat="1" applyFont="1" applyFill="1" applyBorder="1">
      <alignment vertical="center"/>
    </xf>
    <xf numFmtId="0" fontId="31" fillId="9" borderId="28" xfId="0" applyFont="1" applyFill="1" applyBorder="1" applyAlignment="1">
      <alignment vertical="center"/>
    </xf>
    <xf numFmtId="3" fontId="31" fillId="9" borderId="28" xfId="0" applyNumberFormat="1" applyFont="1" applyFill="1" applyBorder="1" applyAlignment="1">
      <alignment vertical="center"/>
    </xf>
    <xf numFmtId="3" fontId="26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0" fontId="42" fillId="32" borderId="28" xfId="2" quotePrefix="1" applyNumberFormat="1" applyFont="1" applyFill="1" applyBorder="1" applyAlignment="1">
      <alignment horizontal="center" vertical="center" wrapText="1" justifyLastLine="1"/>
    </xf>
    <xf numFmtId="0" fontId="26" fillId="32" borderId="33" xfId="0" applyFont="1" applyFill="1" applyBorder="1" applyAlignment="1">
      <alignment horizontal="center" vertical="center" wrapText="1"/>
    </xf>
    <xf numFmtId="0" fontId="26" fillId="32" borderId="28" xfId="0" applyFont="1" applyFill="1" applyBorder="1" applyAlignment="1">
      <alignment horizontal="center" vertical="center" wrapText="1"/>
    </xf>
    <xf numFmtId="49" fontId="43" fillId="4" borderId="28" xfId="0" applyNumberFormat="1" applyFont="1" applyFill="1" applyBorder="1" applyAlignment="1">
      <alignment horizontal="center" vertical="center"/>
    </xf>
    <xf numFmtId="0" fontId="43" fillId="4" borderId="28" xfId="0" applyFont="1" applyFill="1" applyBorder="1" applyAlignment="1">
      <alignment vertical="center" wrapText="1"/>
    </xf>
    <xf numFmtId="3" fontId="26" fillId="4" borderId="28" xfId="0" applyNumberFormat="1" applyFont="1" applyFill="1" applyBorder="1" applyAlignment="1">
      <alignment horizontal="right" vertical="center"/>
    </xf>
    <xf numFmtId="49" fontId="43" fillId="6" borderId="28" xfId="0" applyNumberFormat="1" applyFont="1" applyFill="1" applyBorder="1" applyAlignment="1">
      <alignment horizontal="center" vertical="center"/>
    </xf>
    <xf numFmtId="0" fontId="43" fillId="6" borderId="28" xfId="0" applyFont="1" applyFill="1" applyBorder="1" applyAlignment="1">
      <alignment vertical="center" wrapText="1"/>
    </xf>
    <xf numFmtId="3" fontId="26" fillId="6" borderId="28" xfId="0" applyNumberFormat="1" applyFont="1" applyFill="1" applyBorder="1" applyAlignment="1">
      <alignment horizontal="right" vertical="center"/>
    </xf>
    <xf numFmtId="0" fontId="26" fillId="8" borderId="28" xfId="0" applyFont="1" applyFill="1" applyBorder="1" applyAlignment="1">
      <alignment horizontal="center" vertical="center"/>
    </xf>
    <xf numFmtId="0" fontId="26" fillId="8" borderId="28" xfId="0" applyFont="1" applyFill="1" applyBorder="1" applyAlignment="1">
      <alignment vertical="center" wrapText="1"/>
    </xf>
    <xf numFmtId="3" fontId="26" fillId="8" borderId="28" xfId="0" applyNumberFormat="1" applyFont="1" applyFill="1" applyBorder="1" applyAlignment="1">
      <alignment horizontal="right" vertical="center"/>
    </xf>
    <xf numFmtId="3" fontId="43" fillId="9" borderId="28" xfId="0" applyNumberFormat="1" applyFont="1" applyFill="1" applyBorder="1" applyAlignment="1">
      <alignment horizontal="right" vertical="center"/>
    </xf>
    <xf numFmtId="0" fontId="43" fillId="41" borderId="28" xfId="0" applyFont="1" applyFill="1" applyBorder="1" applyAlignment="1">
      <alignment horizontal="left" vertical="center"/>
    </xf>
    <xf numFmtId="0" fontId="43" fillId="41" borderId="28" xfId="0" applyFont="1" applyFill="1" applyBorder="1" applyAlignment="1">
      <alignment horizontal="left" vertical="center" wrapText="1"/>
    </xf>
    <xf numFmtId="3" fontId="26" fillId="41" borderId="28" xfId="0" applyNumberFormat="1" applyFont="1" applyFill="1" applyBorder="1" applyAlignment="1">
      <alignment horizontal="right" vertical="center"/>
    </xf>
    <xf numFmtId="0" fontId="43" fillId="0" borderId="28" xfId="0" applyFont="1" applyBorder="1" applyAlignment="1">
      <alignment horizontal="left" vertical="center"/>
    </xf>
    <xf numFmtId="0" fontId="43" fillId="0" borderId="28" xfId="0" applyFont="1" applyBorder="1" applyAlignment="1">
      <alignment vertical="center" wrapText="1"/>
    </xf>
    <xf numFmtId="3" fontId="26" fillId="0" borderId="28" xfId="0" applyNumberFormat="1" applyFont="1" applyBorder="1" applyAlignment="1">
      <alignment horizontal="right" vertical="center"/>
    </xf>
    <xf numFmtId="0" fontId="44" fillId="0" borderId="28" xfId="0" applyFont="1" applyBorder="1" applyAlignment="1">
      <alignment horizontal="center" vertical="center"/>
    </xf>
    <xf numFmtId="0" fontId="44" fillId="0" borderId="28" xfId="0" applyFont="1" applyBorder="1" applyAlignment="1">
      <alignment vertical="center" wrapText="1"/>
    </xf>
    <xf numFmtId="3" fontId="25" fillId="0" borderId="28" xfId="0" applyNumberFormat="1" applyFont="1" applyBorder="1" applyAlignment="1">
      <alignment horizontal="right" vertical="center"/>
    </xf>
    <xf numFmtId="3" fontId="25" fillId="39" borderId="28" xfId="0" applyNumberFormat="1" applyFont="1" applyFill="1" applyBorder="1" applyAlignment="1">
      <alignment horizontal="right" vertical="center"/>
    </xf>
    <xf numFmtId="3" fontId="43" fillId="9" borderId="28" xfId="0" applyNumberFormat="1" applyFont="1" applyFill="1" applyBorder="1" applyAlignment="1">
      <alignment vertical="center"/>
    </xf>
    <xf numFmtId="0" fontId="43" fillId="41" borderId="28" xfId="0" applyFont="1" applyFill="1" applyBorder="1" applyAlignment="1">
      <alignment vertical="center"/>
    </xf>
    <xf numFmtId="0" fontId="43" fillId="41" borderId="28" xfId="0" applyFont="1" applyFill="1" applyBorder="1" applyAlignment="1">
      <alignment vertical="center" wrapText="1"/>
    </xf>
    <xf numFmtId="3" fontId="43" fillId="41" borderId="28" xfId="0" applyNumberFormat="1" applyFont="1" applyFill="1" applyBorder="1" applyAlignment="1">
      <alignment horizontal="right" vertical="center"/>
    </xf>
    <xf numFmtId="0" fontId="26" fillId="0" borderId="28" xfId="0" applyFont="1" applyBorder="1" applyAlignment="1">
      <alignment horizontal="left" vertical="center"/>
    </xf>
    <xf numFmtId="0" fontId="25" fillId="0" borderId="28" xfId="0" applyFont="1" applyBorder="1" applyAlignment="1">
      <alignment horizontal="center" vertical="center"/>
    </xf>
    <xf numFmtId="0" fontId="25" fillId="0" borderId="28" xfId="0" applyFont="1" applyBorder="1" applyAlignment="1">
      <alignment vertical="center" wrapText="1"/>
    </xf>
    <xf numFmtId="3" fontId="25" fillId="3" borderId="28" xfId="0" applyNumberFormat="1" applyFont="1" applyFill="1" applyBorder="1" applyAlignment="1">
      <alignment horizontal="right" vertical="center"/>
    </xf>
    <xf numFmtId="0" fontId="26" fillId="0" borderId="28" xfId="0" applyFont="1" applyBorder="1" applyAlignment="1">
      <alignment vertical="center" wrapText="1"/>
    </xf>
    <xf numFmtId="0" fontId="43" fillId="41" borderId="30" xfId="0" applyFont="1" applyFill="1" applyBorder="1" applyAlignment="1">
      <alignment horizontal="left" vertical="center"/>
    </xf>
    <xf numFmtId="3" fontId="43" fillId="3" borderId="28" xfId="0" applyNumberFormat="1" applyFont="1" applyFill="1" applyBorder="1" applyAlignment="1">
      <alignment horizontal="right" vertical="center"/>
    </xf>
    <xf numFmtId="3" fontId="44" fillId="3" borderId="28" xfId="0" applyNumberFormat="1" applyFont="1" applyFill="1" applyBorder="1" applyAlignment="1">
      <alignment horizontal="right" vertical="center"/>
    </xf>
    <xf numFmtId="0" fontId="44" fillId="0" borderId="28" xfId="0" applyFont="1" applyBorder="1" applyAlignment="1">
      <alignment horizontal="left" vertical="center" wrapText="1"/>
    </xf>
    <xf numFmtId="3" fontId="44" fillId="0" borderId="28" xfId="0" applyNumberFormat="1" applyFont="1" applyBorder="1" applyAlignment="1">
      <alignment horizontal="right" vertical="center"/>
    </xf>
    <xf numFmtId="0" fontId="43" fillId="0" borderId="28" xfId="0" applyFont="1" applyBorder="1" applyAlignment="1">
      <alignment vertical="center"/>
    </xf>
    <xf numFmtId="3" fontId="26" fillId="2" borderId="28" xfId="0" applyNumberFormat="1" applyFont="1" applyFill="1" applyBorder="1" applyAlignment="1">
      <alignment horizontal="right" vertical="center"/>
    </xf>
    <xf numFmtId="0" fontId="44" fillId="3" borderId="28" xfId="0" applyFont="1" applyFill="1" applyBorder="1" applyAlignment="1">
      <alignment horizontal="center" vertical="center"/>
    </xf>
    <xf numFmtId="0" fontId="44" fillId="3" borderId="28" xfId="0" applyFont="1" applyFill="1" applyBorder="1" applyAlignment="1">
      <alignment vertical="center" wrapText="1"/>
    </xf>
    <xf numFmtId="3" fontId="26" fillId="3" borderId="28" xfId="0" applyNumberFormat="1" applyFont="1" applyFill="1" applyBorder="1" applyAlignment="1">
      <alignment horizontal="right" vertical="center"/>
    </xf>
    <xf numFmtId="0" fontId="44" fillId="0" borderId="28" xfId="0" applyFont="1" applyBorder="1" applyAlignment="1">
      <alignment horizontal="left" vertical="center"/>
    </xf>
    <xf numFmtId="0" fontId="44" fillId="0" borderId="28" xfId="0" applyFont="1" applyBorder="1" applyAlignment="1">
      <alignment vertical="center"/>
    </xf>
    <xf numFmtId="0" fontId="43" fillId="21" borderId="28" xfId="0" applyFont="1" applyFill="1" applyBorder="1" applyAlignment="1">
      <alignment horizontal="left" vertical="center"/>
    </xf>
    <xf numFmtId="0" fontId="43" fillId="21" borderId="28" xfId="0" applyFont="1" applyFill="1" applyBorder="1" applyAlignment="1">
      <alignment vertical="center" wrapText="1"/>
    </xf>
    <xf numFmtId="3" fontId="43" fillId="21" borderId="28" xfId="0" applyNumberFormat="1" applyFont="1" applyFill="1" applyBorder="1" applyAlignment="1">
      <alignment vertical="center" wrapText="1"/>
    </xf>
    <xf numFmtId="3" fontId="44" fillId="39" borderId="28" xfId="0" applyNumberFormat="1" applyFont="1" applyFill="1" applyBorder="1" applyAlignment="1">
      <alignment horizontal="right" vertical="center"/>
    </xf>
    <xf numFmtId="0" fontId="26" fillId="41" borderId="28" xfId="0" applyFont="1" applyFill="1" applyBorder="1" applyAlignment="1">
      <alignment horizontal="left" vertical="center"/>
    </xf>
    <xf numFmtId="0" fontId="26" fillId="41" borderId="28" xfId="0" applyFont="1" applyFill="1" applyBorder="1" applyAlignment="1">
      <alignment vertical="center" wrapText="1"/>
    </xf>
    <xf numFmtId="3" fontId="26" fillId="9" borderId="28" xfId="0" applyNumberFormat="1" applyFont="1" applyFill="1" applyBorder="1" applyAlignment="1">
      <alignment horizontal="right" vertical="center"/>
    </xf>
    <xf numFmtId="3" fontId="44" fillId="0" borderId="28" xfId="0" applyNumberFormat="1" applyFont="1" applyBorder="1" applyAlignment="1">
      <alignment vertical="center"/>
    </xf>
    <xf numFmtId="3" fontId="44" fillId="39" borderId="28" xfId="0" applyNumberFormat="1" applyFont="1" applyFill="1" applyBorder="1" applyAlignment="1">
      <alignment vertical="center"/>
    </xf>
    <xf numFmtId="3" fontId="44" fillId="3" borderId="28" xfId="0" applyNumberFormat="1" applyFont="1" applyFill="1" applyBorder="1" applyAlignment="1">
      <alignment vertical="center"/>
    </xf>
    <xf numFmtId="0" fontId="1" fillId="0" borderId="28" xfId="7" quotePrefix="1" applyFont="1" applyFill="1" applyBorder="1" applyAlignment="1">
      <alignment horizontal="left" vertical="center" wrapText="1"/>
    </xf>
    <xf numFmtId="0" fontId="43" fillId="9" borderId="28" xfId="0" applyFont="1" applyFill="1" applyBorder="1" applyAlignment="1">
      <alignment vertical="center"/>
    </xf>
    <xf numFmtId="3" fontId="43" fillId="8" borderId="28" xfId="0" applyNumberFormat="1" applyFont="1" applyFill="1" applyBorder="1" applyAlignment="1">
      <alignment horizontal="right" vertical="center"/>
    </xf>
    <xf numFmtId="3" fontId="43" fillId="41" borderId="28" xfId="0" applyNumberFormat="1" applyFont="1" applyFill="1" applyBorder="1" applyAlignment="1">
      <alignment vertical="center"/>
    </xf>
    <xf numFmtId="3" fontId="26" fillId="0" borderId="42" xfId="0" applyNumberFormat="1" applyFont="1" applyBorder="1" applyAlignment="1">
      <alignment horizontal="right" vertical="center"/>
    </xf>
    <xf numFmtId="3" fontId="25" fillId="0" borderId="42" xfId="0" applyNumberFormat="1" applyFont="1" applyBorder="1" applyAlignment="1">
      <alignment horizontal="right" vertical="center"/>
    </xf>
    <xf numFmtId="3" fontId="43" fillId="0" borderId="28" xfId="0" applyNumberFormat="1" applyFont="1" applyBorder="1" applyAlignment="1">
      <alignment horizontal="right" vertical="center"/>
    </xf>
    <xf numFmtId="0" fontId="44" fillId="0" borderId="42" xfId="0" applyFont="1" applyBorder="1" applyAlignment="1">
      <alignment horizontal="center" vertical="center"/>
    </xf>
    <xf numFmtId="0" fontId="44" fillId="0" borderId="42" xfId="0" applyFont="1" applyBorder="1" applyAlignment="1">
      <alignment vertical="center"/>
    </xf>
    <xf numFmtId="0" fontId="26" fillId="19" borderId="28" xfId="0" applyFont="1" applyFill="1" applyBorder="1" applyAlignment="1">
      <alignment horizontal="center" vertical="center"/>
    </xf>
    <xf numFmtId="0" fontId="26" fillId="19" borderId="28" xfId="0" applyFont="1" applyFill="1" applyBorder="1" applyAlignment="1">
      <alignment horizontal="left" wrapText="1"/>
    </xf>
    <xf numFmtId="0" fontId="26" fillId="3" borderId="28" xfId="0" applyFont="1" applyFill="1" applyBorder="1" applyAlignment="1">
      <alignment horizontal="left" vertical="center"/>
    </xf>
    <xf numFmtId="0" fontId="26" fillId="3" borderId="28" xfId="0" applyFont="1" applyFill="1" applyBorder="1" applyAlignment="1">
      <alignment vertical="center" wrapText="1"/>
    </xf>
    <xf numFmtId="0" fontId="25" fillId="3" borderId="28" xfId="0" applyFont="1" applyFill="1" applyBorder="1" applyAlignment="1">
      <alignment horizontal="center" vertical="center"/>
    </xf>
    <xf numFmtId="0" fontId="25" fillId="3" borderId="28" xfId="0" applyFont="1" applyFill="1" applyBorder="1" applyAlignment="1">
      <alignment vertical="center" wrapText="1"/>
    </xf>
    <xf numFmtId="0" fontId="42" fillId="8" borderId="28" xfId="3" quotePrefix="1" applyFont="1" applyFill="1" applyBorder="1" applyAlignment="1">
      <alignment horizontal="center" vertical="center"/>
    </xf>
    <xf numFmtId="0" fontId="42" fillId="8" borderId="28" xfId="3" quotePrefix="1" applyFont="1" applyFill="1" applyBorder="1" applyAlignment="1">
      <alignment horizontal="left" vertical="center" wrapText="1"/>
    </xf>
    <xf numFmtId="3" fontId="26" fillId="3" borderId="42" xfId="0" applyNumberFormat="1" applyFont="1" applyFill="1" applyBorder="1" applyAlignment="1">
      <alignment horizontal="right" vertical="center"/>
    </xf>
    <xf numFmtId="3" fontId="25" fillId="3" borderId="42" xfId="0" applyNumberFormat="1" applyFont="1" applyFill="1" applyBorder="1" applyAlignment="1">
      <alignment horizontal="right" vertical="center"/>
    </xf>
    <xf numFmtId="0" fontId="26" fillId="2" borderId="28" xfId="0" applyFont="1" applyFill="1" applyBorder="1" applyAlignment="1">
      <alignment horizontal="left" vertical="center"/>
    </xf>
    <xf numFmtId="0" fontId="26" fillId="2" borderId="28" xfId="0" applyFont="1" applyFill="1" applyBorder="1" applyAlignment="1">
      <alignment vertical="center" wrapText="1"/>
    </xf>
    <xf numFmtId="0" fontId="25" fillId="2" borderId="28" xfId="0" applyFont="1" applyFill="1" applyBorder="1" applyAlignment="1">
      <alignment horizontal="center" vertical="center"/>
    </xf>
    <xf numFmtId="0" fontId="25" fillId="2" borderId="28" xfId="0" applyFont="1" applyFill="1" applyBorder="1" applyAlignment="1">
      <alignment vertical="center" wrapText="1"/>
    </xf>
    <xf numFmtId="3" fontId="1" fillId="0" borderId="28" xfId="0" applyNumberFormat="1" applyFont="1" applyBorder="1" applyAlignment="1">
      <alignment horizontal="right" vertical="center"/>
    </xf>
    <xf numFmtId="3" fontId="42" fillId="8" borderId="28" xfId="3" quotePrefix="1" applyNumberFormat="1" applyFont="1" applyFill="1" applyBorder="1" applyAlignment="1">
      <alignment vertical="center"/>
    </xf>
    <xf numFmtId="0" fontId="42" fillId="41" borderId="28" xfId="0" applyFont="1" applyFill="1" applyBorder="1" applyAlignment="1">
      <alignment vertical="center"/>
    </xf>
    <xf numFmtId="3" fontId="42" fillId="41" borderId="28" xfId="0" applyNumberFormat="1" applyFont="1" applyFill="1" applyBorder="1" applyAlignment="1">
      <alignment horizontal="right" vertical="center"/>
    </xf>
    <xf numFmtId="0" fontId="42" fillId="8" borderId="28" xfId="3" quotePrefix="1" applyFont="1" applyFill="1" applyBorder="1" applyAlignment="1">
      <alignment vertical="center"/>
    </xf>
    <xf numFmtId="3" fontId="43" fillId="11" borderId="28" xfId="0" applyNumberFormat="1" applyFont="1" applyFill="1" applyBorder="1" applyAlignment="1">
      <alignment horizontal="right" vertical="center"/>
    </xf>
    <xf numFmtId="0" fontId="43" fillId="21" borderId="28" xfId="0" applyFont="1" applyFill="1" applyBorder="1" applyAlignment="1">
      <alignment vertical="center"/>
    </xf>
    <xf numFmtId="3" fontId="43" fillId="21" borderId="28" xfId="0" applyNumberFormat="1" applyFont="1" applyFill="1" applyBorder="1" applyAlignment="1">
      <alignment vertical="center"/>
    </xf>
    <xf numFmtId="0" fontId="42" fillId="0" borderId="28" xfId="7" quotePrefix="1" applyFont="1" applyFill="1" applyBorder="1" applyAlignment="1">
      <alignment vertical="center"/>
    </xf>
    <xf numFmtId="0" fontId="42" fillId="0" borderId="28" xfId="7" quotePrefix="1" applyFont="1" applyFill="1" applyBorder="1" applyAlignment="1">
      <alignment horizontal="left" vertical="center" wrapText="1"/>
    </xf>
    <xf numFmtId="3" fontId="43" fillId="0" borderId="28" xfId="0" applyNumberFormat="1" applyFont="1" applyBorder="1" applyAlignment="1">
      <alignment vertical="center"/>
    </xf>
    <xf numFmtId="0" fontId="1" fillId="0" borderId="28" xfId="7" quotePrefix="1" applyFont="1" applyFill="1" applyBorder="1" applyAlignment="1">
      <alignment horizontal="center" vertical="center"/>
    </xf>
    <xf numFmtId="3" fontId="45" fillId="0" borderId="28" xfId="0" applyNumberFormat="1" applyFont="1" applyBorder="1" applyAlignment="1">
      <alignment vertical="center"/>
    </xf>
    <xf numFmtId="3" fontId="43" fillId="21" borderId="28" xfId="0" applyNumberFormat="1" applyFont="1" applyFill="1" applyBorder="1" applyAlignment="1">
      <alignment horizontal="right" vertical="center"/>
    </xf>
    <xf numFmtId="3" fontId="26" fillId="21" borderId="28" xfId="0" applyNumberFormat="1" applyFont="1" applyFill="1" applyBorder="1" applyAlignment="1">
      <alignment horizontal="right" vertical="center"/>
    </xf>
    <xf numFmtId="0" fontId="44" fillId="3" borderId="28" xfId="0" applyFont="1" applyFill="1" applyBorder="1" applyAlignment="1">
      <alignment vertical="center"/>
    </xf>
    <xf numFmtId="3" fontId="43" fillId="0" borderId="42" xfId="0" applyNumberFormat="1" applyFont="1" applyBorder="1" applyAlignment="1">
      <alignment vertical="center"/>
    </xf>
    <xf numFmtId="3" fontId="44" fillId="0" borderId="42" xfId="0" applyNumberFormat="1" applyFont="1" applyBorder="1" applyAlignment="1">
      <alignment vertical="center"/>
    </xf>
    <xf numFmtId="0" fontId="42" fillId="19" borderId="28" xfId="3" quotePrefix="1" applyFont="1" applyFill="1" applyBorder="1" applyAlignment="1">
      <alignment horizontal="left" vertical="center" wrapText="1"/>
    </xf>
    <xf numFmtId="3" fontId="43" fillId="19" borderId="28" xfId="0" applyNumberFormat="1" applyFont="1" applyFill="1" applyBorder="1" applyAlignment="1">
      <alignment vertical="center"/>
    </xf>
    <xf numFmtId="3" fontId="42" fillId="8" borderId="28" xfId="6" applyNumberFormat="1" applyFont="1" applyFill="1" applyBorder="1">
      <alignment vertical="center"/>
    </xf>
    <xf numFmtId="3" fontId="42" fillId="9" borderId="28" xfId="6" applyNumberFormat="1" applyFont="1" applyFill="1" applyBorder="1">
      <alignment vertical="center"/>
    </xf>
    <xf numFmtId="3" fontId="42" fillId="0" borderId="28" xfId="6" applyNumberFormat="1" applyFont="1" applyFill="1" applyBorder="1">
      <alignment vertical="center"/>
    </xf>
    <xf numFmtId="3" fontId="1" fillId="0" borderId="28" xfId="6" applyNumberFormat="1" applyFont="1" applyFill="1" applyBorder="1">
      <alignment vertical="center"/>
    </xf>
    <xf numFmtId="0" fontId="44" fillId="0" borderId="42" xfId="0" applyFont="1" applyBorder="1" applyAlignment="1">
      <alignment vertical="center" wrapText="1"/>
    </xf>
    <xf numFmtId="0" fontId="25" fillId="0" borderId="28" xfId="0" applyFont="1" applyBorder="1"/>
    <xf numFmtId="3" fontId="43" fillId="20" borderId="28" xfId="0" applyNumberFormat="1" applyFont="1" applyFill="1" applyBorder="1" applyAlignment="1">
      <alignment horizontal="right" vertical="center"/>
    </xf>
    <xf numFmtId="0" fontId="43" fillId="3" borderId="28" xfId="0" applyFont="1" applyFill="1" applyBorder="1" applyAlignment="1">
      <alignment horizontal="left" vertical="center"/>
    </xf>
    <xf numFmtId="3" fontId="1" fillId="3" borderId="28" xfId="0" applyNumberFormat="1" applyFont="1" applyFill="1" applyBorder="1" applyAlignment="1">
      <alignment horizontal="right" vertical="center"/>
    </xf>
    <xf numFmtId="0" fontId="44" fillId="23" borderId="28" xfId="0" applyFont="1" applyFill="1" applyBorder="1" applyAlignment="1">
      <alignment horizontal="center" vertical="center"/>
    </xf>
    <xf numFmtId="0" fontId="44" fillId="23" borderId="28" xfId="0" applyFont="1" applyFill="1" applyBorder="1" applyAlignment="1">
      <alignment vertical="center" wrapText="1"/>
    </xf>
    <xf numFmtId="3" fontId="45" fillId="0" borderId="28" xfId="0" applyNumberFormat="1" applyFont="1" applyBorder="1" applyAlignment="1">
      <alignment horizontal="right" vertical="center"/>
    </xf>
    <xf numFmtId="0" fontId="42" fillId="0" borderId="28" xfId="7" quotePrefix="1" applyFont="1" applyFill="1" applyBorder="1" applyAlignment="1">
      <alignment horizontal="left" vertical="center"/>
    </xf>
    <xf numFmtId="3" fontId="26" fillId="41" borderId="31" xfId="0" applyNumberFormat="1" applyFont="1" applyFill="1" applyBorder="1" applyAlignment="1">
      <alignment horizontal="right" vertical="center"/>
    </xf>
    <xf numFmtId="0" fontId="43" fillId="3" borderId="28" xfId="0" applyFont="1" applyFill="1" applyBorder="1" applyAlignment="1">
      <alignment vertical="center" wrapText="1"/>
    </xf>
    <xf numFmtId="3" fontId="42" fillId="3" borderId="29" xfId="6" applyNumberFormat="1" applyFont="1" applyFill="1" applyBorder="1">
      <alignment vertical="center"/>
    </xf>
    <xf numFmtId="3" fontId="42" fillId="3" borderId="28" xfId="6" applyNumberFormat="1" applyFont="1" applyFill="1" applyBorder="1">
      <alignment vertical="center"/>
    </xf>
    <xf numFmtId="3" fontId="1" fillId="3" borderId="29" xfId="6" applyNumberFormat="1" applyFont="1" applyFill="1" applyBorder="1">
      <alignment vertical="center"/>
    </xf>
    <xf numFmtId="3" fontId="1" fillId="3" borderId="28" xfId="6" applyNumberFormat="1" applyFont="1" applyFill="1" applyBorder="1">
      <alignment vertical="center"/>
    </xf>
    <xf numFmtId="0" fontId="43" fillId="3" borderId="28" xfId="0" applyFont="1" applyFill="1" applyBorder="1" applyAlignment="1">
      <alignment vertical="center"/>
    </xf>
    <xf numFmtId="3" fontId="1" fillId="0" borderId="28" xfId="8" applyNumberFormat="1" applyFont="1" applyBorder="1">
      <alignment horizontal="right" vertical="center"/>
    </xf>
    <xf numFmtId="0" fontId="1" fillId="3" borderId="28" xfId="7" quotePrefix="1" applyFont="1" applyFill="1" applyBorder="1" applyAlignment="1">
      <alignment horizontal="center" vertical="center"/>
    </xf>
    <xf numFmtId="0" fontId="1" fillId="3" borderId="28" xfId="7" quotePrefix="1" applyFont="1" applyFill="1" applyBorder="1" applyAlignment="1">
      <alignment horizontal="left" vertical="center" wrapText="1"/>
    </xf>
    <xf numFmtId="3" fontId="1" fillId="3" borderId="28" xfId="8" applyNumberFormat="1" applyFont="1" applyFill="1" applyBorder="1">
      <alignment horizontal="right" vertical="center"/>
    </xf>
    <xf numFmtId="0" fontId="43" fillId="42" borderId="28" xfId="0" applyFont="1" applyFill="1" applyBorder="1" applyAlignment="1">
      <alignment horizontal="left" vertical="center"/>
    </xf>
    <xf numFmtId="0" fontId="43" fillId="42" borderId="28" xfId="0" applyFont="1" applyFill="1" applyBorder="1" applyAlignment="1">
      <alignment vertical="center" wrapText="1"/>
    </xf>
    <xf numFmtId="0" fontId="43" fillId="23" borderId="28" xfId="0" applyFont="1" applyFill="1" applyBorder="1" applyAlignment="1">
      <alignment horizontal="left" vertical="center"/>
    </xf>
    <xf numFmtId="0" fontId="43" fillId="23" borderId="28" xfId="0" applyFont="1" applyFill="1" applyBorder="1" applyAlignment="1">
      <alignment vertical="center" wrapText="1"/>
    </xf>
    <xf numFmtId="3" fontId="42" fillId="8" borderId="28" xfId="6" applyNumberFormat="1" applyFont="1" applyFill="1" applyBorder="1" applyAlignment="1">
      <alignment horizontal="right" vertical="center"/>
    </xf>
    <xf numFmtId="0" fontId="43" fillId="42" borderId="42" xfId="0" applyFont="1" applyFill="1" applyBorder="1" applyAlignment="1">
      <alignment horizontal="left" vertical="center"/>
    </xf>
    <xf numFmtId="3" fontId="44" fillId="41" borderId="42" xfId="0" applyNumberFormat="1" applyFont="1" applyFill="1" applyBorder="1" applyAlignment="1">
      <alignment horizontal="right" vertical="center"/>
    </xf>
    <xf numFmtId="0" fontId="26" fillId="0" borderId="42" xfId="0" applyFont="1" applyBorder="1" applyAlignment="1">
      <alignment horizontal="left"/>
    </xf>
    <xf numFmtId="0" fontId="43" fillId="23" borderId="42" xfId="0" applyFont="1" applyFill="1" applyBorder="1" applyAlignment="1">
      <alignment vertical="center" wrapText="1"/>
    </xf>
    <xf numFmtId="3" fontId="26" fillId="0" borderId="42" xfId="0" applyNumberFormat="1" applyFont="1" applyBorder="1"/>
    <xf numFmtId="0" fontId="25" fillId="0" borderId="42" xfId="0" applyFont="1" applyBorder="1" applyAlignment="1">
      <alignment horizontal="center"/>
    </xf>
    <xf numFmtId="0" fontId="44" fillId="23" borderId="42" xfId="0" applyFont="1" applyFill="1" applyBorder="1" applyAlignment="1">
      <alignment vertical="center" wrapText="1"/>
    </xf>
    <xf numFmtId="3" fontId="25" fillId="0" borderId="42" xfId="0" applyNumberFormat="1" applyFont="1" applyBorder="1"/>
    <xf numFmtId="0" fontId="44" fillId="23" borderId="42" xfId="0" applyFont="1" applyFill="1" applyBorder="1" applyAlignment="1">
      <alignment horizontal="center" vertical="center"/>
    </xf>
    <xf numFmtId="3" fontId="44" fillId="0" borderId="42" xfId="0" applyNumberFormat="1" applyFont="1" applyBorder="1" applyAlignment="1">
      <alignment horizontal="right" vertical="center"/>
    </xf>
    <xf numFmtId="3" fontId="43" fillId="0" borderId="42" xfId="0" applyNumberFormat="1" applyFont="1" applyBorder="1" applyAlignment="1">
      <alignment horizontal="right" vertical="center"/>
    </xf>
    <xf numFmtId="3" fontId="44" fillId="3" borderId="42" xfId="0" applyNumberFormat="1" applyFont="1" applyFill="1" applyBorder="1" applyAlignment="1">
      <alignment horizontal="right" vertical="center"/>
    </xf>
    <xf numFmtId="0" fontId="43" fillId="23" borderId="42" xfId="0" applyFont="1" applyFill="1" applyBorder="1" applyAlignment="1">
      <alignment horizontal="left" vertical="center"/>
    </xf>
    <xf numFmtId="3" fontId="42" fillId="0" borderId="28" xfId="6" applyNumberFormat="1" applyFont="1" applyFill="1" applyBorder="1" applyAlignment="1">
      <alignment horizontal="right" vertical="center"/>
    </xf>
    <xf numFmtId="0" fontId="1" fillId="0" borderId="28" xfId="0" applyFont="1" applyBorder="1" applyAlignment="1">
      <alignment vertical="center" wrapText="1"/>
    </xf>
    <xf numFmtId="0" fontId="43" fillId="25" borderId="28" xfId="0" applyFont="1" applyFill="1" applyBorder="1" applyAlignment="1">
      <alignment horizontal="left" vertical="center"/>
    </xf>
    <xf numFmtId="0" fontId="43" fillId="25" borderId="28" xfId="0" applyFont="1" applyFill="1" applyBorder="1" applyAlignment="1">
      <alignment vertical="center" wrapText="1"/>
    </xf>
    <xf numFmtId="0" fontId="43" fillId="3" borderId="28" xfId="0" applyFont="1" applyFill="1" applyBorder="1" applyAlignment="1">
      <alignment horizontal="left" vertical="center" wrapText="1"/>
    </xf>
    <xf numFmtId="0" fontId="44" fillId="3" borderId="28" xfId="0" applyFont="1" applyFill="1" applyBorder="1" applyAlignment="1">
      <alignment horizontal="left" vertical="center" wrapText="1"/>
    </xf>
    <xf numFmtId="0" fontId="42" fillId="41" borderId="28" xfId="7" quotePrefix="1" applyFont="1" applyFill="1" applyBorder="1" applyAlignment="1">
      <alignment horizontal="left" vertical="center"/>
    </xf>
    <xf numFmtId="0" fontId="42" fillId="41" borderId="28" xfId="7" quotePrefix="1" applyFont="1" applyFill="1" applyBorder="1" applyAlignment="1">
      <alignment horizontal="left" vertical="center" wrapText="1"/>
    </xf>
    <xf numFmtId="3" fontId="42" fillId="41" borderId="26" xfId="6" applyNumberFormat="1" applyFont="1" applyFill="1" applyBorder="1">
      <alignment vertical="center"/>
    </xf>
    <xf numFmtId="3" fontId="42" fillId="3" borderId="26" xfId="6" applyNumberFormat="1" applyFont="1" applyFill="1" applyBorder="1">
      <alignment vertical="center"/>
    </xf>
    <xf numFmtId="3" fontId="1" fillId="3" borderId="26" xfId="6" applyNumberFormat="1" applyFont="1" applyFill="1" applyBorder="1">
      <alignment vertical="center"/>
    </xf>
    <xf numFmtId="3" fontId="1" fillId="0" borderId="28" xfId="6" applyNumberFormat="1" applyFont="1" applyFill="1" applyBorder="1" applyAlignment="1">
      <alignment horizontal="right" vertical="center"/>
    </xf>
    <xf numFmtId="3" fontId="42" fillId="8" borderId="26" xfId="6" applyNumberFormat="1" applyFont="1" applyFill="1" applyBorder="1">
      <alignment vertical="center"/>
    </xf>
    <xf numFmtId="3" fontId="42" fillId="9" borderId="26" xfId="6" applyNumberFormat="1" applyFont="1" applyFill="1" applyBorder="1">
      <alignment vertical="center"/>
    </xf>
    <xf numFmtId="3" fontId="43" fillId="41" borderId="26" xfId="0" applyNumberFormat="1" applyFont="1" applyFill="1" applyBorder="1" applyAlignment="1">
      <alignment horizontal="right" vertical="center"/>
    </xf>
    <xf numFmtId="3" fontId="43" fillId="0" borderId="26" xfId="0" applyNumberFormat="1" applyFont="1" applyBorder="1" applyAlignment="1">
      <alignment horizontal="right" vertical="center"/>
    </xf>
    <xf numFmtId="3" fontId="44" fillId="0" borderId="26" xfId="0" applyNumberFormat="1" applyFont="1" applyBorder="1" applyAlignment="1">
      <alignment horizontal="right" vertical="center"/>
    </xf>
    <xf numFmtId="3" fontId="26" fillId="3" borderId="26" xfId="0" applyNumberFormat="1" applyFont="1" applyFill="1" applyBorder="1" applyAlignment="1">
      <alignment horizontal="right" vertical="center"/>
    </xf>
    <xf numFmtId="3" fontId="25" fillId="3" borderId="26" xfId="0" applyNumberFormat="1" applyFont="1" applyFill="1" applyBorder="1" applyAlignment="1">
      <alignment horizontal="right" vertical="center"/>
    </xf>
    <xf numFmtId="3" fontId="26" fillId="0" borderId="26" xfId="0" applyNumberFormat="1" applyFont="1" applyBorder="1" applyAlignment="1">
      <alignment horizontal="right" vertical="center"/>
    </xf>
    <xf numFmtId="3" fontId="25" fillId="0" borderId="26" xfId="0" applyNumberFormat="1" applyFont="1" applyBorder="1" applyAlignment="1">
      <alignment horizontal="right" vertical="center"/>
    </xf>
    <xf numFmtId="3" fontId="42" fillId="41" borderId="28" xfId="6" applyNumberFormat="1" applyFont="1" applyFill="1" applyBorder="1">
      <alignment vertical="center"/>
    </xf>
    <xf numFmtId="3" fontId="42" fillId="0" borderId="26" xfId="6" applyNumberFormat="1" applyFont="1" applyFill="1" applyBorder="1">
      <alignment vertical="center"/>
    </xf>
    <xf numFmtId="3" fontId="1" fillId="0" borderId="26" xfId="6" applyNumberFormat="1" applyFont="1" applyFill="1" applyBorder="1">
      <alignment vertical="center"/>
    </xf>
    <xf numFmtId="0" fontId="1" fillId="23" borderId="28" xfId="0" applyFont="1" applyFill="1" applyBorder="1" applyAlignment="1">
      <alignment horizontal="center" vertical="center"/>
    </xf>
    <xf numFmtId="0" fontId="1" fillId="23" borderId="28" xfId="0" applyFont="1" applyFill="1" applyBorder="1" applyAlignment="1">
      <alignment vertical="center" wrapText="1"/>
    </xf>
    <xf numFmtId="3" fontId="42" fillId="9" borderId="29" xfId="6" applyNumberFormat="1" applyFont="1" applyFill="1" applyBorder="1">
      <alignment vertical="center"/>
    </xf>
    <xf numFmtId="3" fontId="1" fillId="0" borderId="26" xfId="8" applyNumberFormat="1" applyFont="1" applyBorder="1">
      <alignment horizontal="right" vertical="center"/>
    </xf>
    <xf numFmtId="3" fontId="42" fillId="0" borderId="26" xfId="8" applyNumberFormat="1" applyFont="1" applyBorder="1">
      <alignment horizontal="right" vertical="center"/>
    </xf>
    <xf numFmtId="0" fontId="42" fillId="21" borderId="28" xfId="7" quotePrefix="1" applyFont="1" applyFill="1" applyBorder="1" applyAlignment="1">
      <alignment horizontal="left" vertical="center"/>
    </xf>
    <xf numFmtId="0" fontId="42" fillId="21" borderId="28" xfId="7" quotePrefix="1" applyFont="1" applyFill="1" applyBorder="1" applyAlignment="1">
      <alignment horizontal="left" vertical="center" wrapText="1"/>
    </xf>
    <xf numFmtId="3" fontId="42" fillId="21" borderId="26" xfId="6" applyNumberFormat="1" applyFont="1" applyFill="1" applyBorder="1">
      <alignment vertical="center"/>
    </xf>
    <xf numFmtId="3" fontId="42" fillId="21" borderId="28" xfId="6" applyNumberFormat="1" applyFont="1" applyFill="1" applyBorder="1">
      <alignment vertical="center"/>
    </xf>
    <xf numFmtId="3" fontId="25" fillId="8" borderId="26" xfId="0" applyNumberFormat="1" applyFont="1" applyFill="1" applyBorder="1" applyAlignment="1">
      <alignment horizontal="right" vertical="center"/>
    </xf>
    <xf numFmtId="3" fontId="25" fillId="8" borderId="28" xfId="0" applyNumberFormat="1" applyFont="1" applyFill="1" applyBorder="1" applyAlignment="1">
      <alignment horizontal="right" vertical="center"/>
    </xf>
    <xf numFmtId="0" fontId="42" fillId="41" borderId="37" xfId="7" quotePrefix="1" applyFont="1" applyFill="1" applyBorder="1" applyAlignment="1">
      <alignment horizontal="left" vertical="center" wrapText="1"/>
    </xf>
    <xf numFmtId="3" fontId="25" fillId="41" borderId="26" xfId="0" applyNumberFormat="1" applyFont="1" applyFill="1" applyBorder="1" applyAlignment="1">
      <alignment horizontal="right" vertical="center"/>
    </xf>
    <xf numFmtId="3" fontId="25" fillId="41" borderId="28" xfId="0" applyNumberFormat="1" applyFont="1" applyFill="1" applyBorder="1" applyAlignment="1">
      <alignment horizontal="right" vertical="center"/>
    </xf>
    <xf numFmtId="0" fontId="43" fillId="23" borderId="28" xfId="0" applyFont="1" applyFill="1" applyBorder="1" applyAlignment="1">
      <alignment horizontal="center" vertical="center"/>
    </xf>
    <xf numFmtId="3" fontId="26" fillId="8" borderId="26" xfId="0" applyNumberFormat="1" applyFont="1" applyFill="1" applyBorder="1" applyAlignment="1">
      <alignment horizontal="right" vertical="center"/>
    </xf>
    <xf numFmtId="0" fontId="43" fillId="23" borderId="30" xfId="0" applyFont="1" applyFill="1" applyBorder="1" applyAlignment="1">
      <alignment vertical="center" wrapText="1"/>
    </xf>
    <xf numFmtId="3" fontId="26" fillId="41" borderId="26" xfId="0" applyNumberFormat="1" applyFont="1" applyFill="1" applyBorder="1" applyAlignment="1">
      <alignment horizontal="right" vertical="center"/>
    </xf>
    <xf numFmtId="0" fontId="43" fillId="0" borderId="28" xfId="0" applyFont="1" applyBorder="1" applyAlignment="1">
      <alignment horizontal="center" vertical="center"/>
    </xf>
    <xf numFmtId="0" fontId="42" fillId="0" borderId="28" xfId="7" quotePrefix="1" applyFont="1" applyFill="1" applyBorder="1" applyAlignment="1">
      <alignment horizontal="center" vertical="center"/>
    </xf>
    <xf numFmtId="0" fontId="43" fillId="41" borderId="13" xfId="0" applyFont="1" applyFill="1" applyBorder="1" applyAlignment="1">
      <alignment horizontal="left" vertical="center"/>
    </xf>
    <xf numFmtId="0" fontId="43" fillId="41" borderId="13" xfId="0" applyFont="1" applyFill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vertical="center" wrapText="1"/>
    </xf>
    <xf numFmtId="3" fontId="1" fillId="19" borderId="29" xfId="6" applyNumberFormat="1" applyFont="1" applyFill="1" applyBorder="1">
      <alignment vertical="center"/>
    </xf>
    <xf numFmtId="3" fontId="1" fillId="19" borderId="26" xfId="6" applyNumberFormat="1" applyFont="1" applyFill="1" applyBorder="1">
      <alignment vertical="center"/>
    </xf>
    <xf numFmtId="3" fontId="1" fillId="19" borderId="28" xfId="6" applyNumberFormat="1" applyFont="1" applyFill="1" applyBorder="1">
      <alignment vertical="center"/>
    </xf>
    <xf numFmtId="3" fontId="42" fillId="19" borderId="28" xfId="6" applyNumberFormat="1" applyFont="1" applyFill="1" applyBorder="1">
      <alignment vertical="center"/>
    </xf>
    <xf numFmtId="0" fontId="43" fillId="37" borderId="28" xfId="0" applyFont="1" applyFill="1" applyBorder="1" applyAlignment="1">
      <alignment vertical="center"/>
    </xf>
    <xf numFmtId="3" fontId="44" fillId="41" borderId="26" xfId="0" applyNumberFormat="1" applyFont="1" applyFill="1" applyBorder="1" applyAlignment="1">
      <alignment vertical="center"/>
    </xf>
    <xf numFmtId="3" fontId="44" fillId="41" borderId="28" xfId="0" applyNumberFormat="1" applyFont="1" applyFill="1" applyBorder="1" applyAlignment="1">
      <alignment vertical="center"/>
    </xf>
    <xf numFmtId="3" fontId="44" fillId="0" borderId="26" xfId="0" applyNumberFormat="1" applyFont="1" applyBorder="1" applyAlignment="1">
      <alignment vertical="center"/>
    </xf>
    <xf numFmtId="3" fontId="25" fillId="0" borderId="15" xfId="0" applyNumberFormat="1" applyFont="1" applyBorder="1" applyAlignment="1">
      <alignment horizontal="right" vertical="center"/>
    </xf>
    <xf numFmtId="49" fontId="26" fillId="17" borderId="28" xfId="0" applyNumberFormat="1" applyFont="1" applyFill="1" applyBorder="1" applyAlignment="1">
      <alignment horizontal="center" vertical="center" wrapText="1"/>
    </xf>
    <xf numFmtId="3" fontId="43" fillId="17" borderId="28" xfId="0" applyNumberFormat="1" applyFont="1" applyFill="1" applyBorder="1" applyAlignment="1">
      <alignment horizontal="right" vertical="center" wrapText="1"/>
    </xf>
    <xf numFmtId="49" fontId="26" fillId="9" borderId="28" xfId="0" applyNumberFormat="1" applyFont="1" applyFill="1" applyBorder="1" applyAlignment="1">
      <alignment horizontal="center" vertical="center" wrapText="1"/>
    </xf>
    <xf numFmtId="3" fontId="43" fillId="9" borderId="28" xfId="0" applyNumberFormat="1" applyFont="1" applyFill="1" applyBorder="1" applyAlignment="1">
      <alignment horizontal="right" wrapText="1"/>
    </xf>
    <xf numFmtId="49" fontId="25" fillId="3" borderId="28" xfId="0" applyNumberFormat="1" applyFont="1" applyFill="1" applyBorder="1"/>
    <xf numFmtId="3" fontId="25" fillId="0" borderId="28" xfId="0" applyNumberFormat="1" applyFont="1" applyBorder="1"/>
    <xf numFmtId="49" fontId="25" fillId="0" borderId="28" xfId="0" applyNumberFormat="1" applyFont="1" applyBorder="1"/>
    <xf numFmtId="3" fontId="25" fillId="3" borderId="28" xfId="0" applyNumberFormat="1" applyFont="1" applyFill="1" applyBorder="1"/>
    <xf numFmtId="49" fontId="25" fillId="0" borderId="28" xfId="0" applyNumberFormat="1" applyFont="1" applyBorder="1" applyAlignment="1">
      <alignment wrapText="1"/>
    </xf>
    <xf numFmtId="0" fontId="31" fillId="9" borderId="30" xfId="0" applyFont="1" applyFill="1" applyBorder="1" applyAlignment="1">
      <alignment vertical="center"/>
    </xf>
    <xf numFmtId="0" fontId="31" fillId="9" borderId="26" xfId="0" applyFont="1" applyFill="1" applyBorder="1" applyAlignment="1">
      <alignment vertical="center"/>
    </xf>
    <xf numFmtId="0" fontId="31" fillId="9" borderId="14" xfId="0" applyFont="1" applyFill="1" applyBorder="1" applyAlignment="1">
      <alignment vertical="center"/>
    </xf>
    <xf numFmtId="0" fontId="31" fillId="9" borderId="15" xfId="0" applyFont="1" applyFill="1" applyBorder="1" applyAlignment="1">
      <alignment vertical="center"/>
    </xf>
    <xf numFmtId="0" fontId="31" fillId="9" borderId="12" xfId="0" applyFont="1" applyFill="1" applyBorder="1" applyAlignment="1">
      <alignment vertical="center"/>
    </xf>
    <xf numFmtId="0" fontId="31" fillId="9" borderId="1" xfId="0" applyFont="1" applyFill="1" applyBorder="1" applyAlignment="1">
      <alignment vertical="center"/>
    </xf>
    <xf numFmtId="2" fontId="30" fillId="0" borderId="0" xfId="0" applyNumberFormat="1" applyFont="1" applyAlignment="1">
      <alignment horizontal="center"/>
    </xf>
    <xf numFmtId="49" fontId="29" fillId="0" borderId="21" xfId="0" applyNumberFormat="1" applyFont="1" applyBorder="1" applyAlignment="1">
      <alignment horizontal="center"/>
    </xf>
    <xf numFmtId="0" fontId="31" fillId="9" borderId="42" xfId="0" applyFont="1" applyFill="1" applyBorder="1" applyAlignment="1">
      <alignment vertical="center"/>
    </xf>
    <xf numFmtId="2" fontId="29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0" fontId="43" fillId="9" borderId="28" xfId="0" applyFont="1" applyFill="1" applyBorder="1" applyAlignment="1">
      <alignment vertical="center"/>
    </xf>
    <xf numFmtId="0" fontId="43" fillId="20" borderId="28" xfId="0" applyFont="1" applyFill="1" applyBorder="1" applyAlignment="1">
      <alignment vertical="center"/>
    </xf>
    <xf numFmtId="3" fontId="26" fillId="0" borderId="0" xfId="0" applyNumberFormat="1" applyFont="1" applyAlignment="1">
      <alignment horizontal="center"/>
    </xf>
    <xf numFmtId="0" fontId="43" fillId="9" borderId="28" xfId="0" applyFont="1" applyFill="1" applyBorder="1" applyAlignment="1">
      <alignment horizontal="left" vertical="center"/>
    </xf>
    <xf numFmtId="0" fontId="43" fillId="9" borderId="30" xfId="0" applyFont="1" applyFill="1" applyBorder="1" applyAlignment="1">
      <alignment vertical="center"/>
    </xf>
    <xf numFmtId="0" fontId="43" fillId="9" borderId="26" xfId="0" applyFont="1" applyFill="1" applyBorder="1" applyAlignment="1">
      <alignment vertical="center"/>
    </xf>
    <xf numFmtId="0" fontId="41" fillId="0" borderId="0" xfId="0" applyFont="1" applyAlignment="1">
      <alignment horizontal="center" wrapText="1"/>
    </xf>
    <xf numFmtId="49" fontId="26" fillId="0" borderId="21" xfId="0" applyNumberFormat="1" applyFont="1" applyBorder="1" applyAlignment="1">
      <alignment horizontal="center"/>
    </xf>
    <xf numFmtId="0" fontId="30" fillId="0" borderId="0" xfId="0" applyFont="1" applyAlignment="1">
      <alignment horizontal="center" wrapText="1"/>
    </xf>
    <xf numFmtId="0" fontId="29" fillId="33" borderId="36" xfId="0" applyFont="1" applyFill="1" applyBorder="1" applyAlignment="1">
      <alignment horizontal="center" vertical="center" wrapText="1"/>
    </xf>
    <xf numFmtId="0" fontId="29" fillId="33" borderId="3" xfId="0" applyFont="1" applyFill="1" applyBorder="1" applyAlignment="1">
      <alignment horizontal="center" vertical="center" wrapText="1"/>
    </xf>
    <xf numFmtId="49" fontId="29" fillId="33" borderId="18" xfId="0" applyNumberFormat="1" applyFont="1" applyFill="1" applyBorder="1" applyAlignment="1">
      <alignment horizontal="center" vertical="center" wrapText="1"/>
    </xf>
    <xf numFmtId="0" fontId="31" fillId="33" borderId="18" xfId="0" applyFont="1" applyFill="1" applyBorder="1" applyAlignment="1">
      <alignment horizontal="center" vertical="center" wrapText="1"/>
    </xf>
  </cellXfs>
  <cellStyles count="34">
    <cellStyle name="Datum" xfId="30"/>
    <cellStyle name="Desni zeleni obrub" xfId="27"/>
    <cellStyle name="Donji obrub" xfId="26"/>
    <cellStyle name="GrayCell" xfId="23"/>
    <cellStyle name="Isticanje" xfId="31"/>
    <cellStyle name="Lijevi donji zeleni obrub" xfId="28"/>
    <cellStyle name="Lijevi zeleni obrub" xfId="29"/>
    <cellStyle name="Naslov 1 2" xfId="16"/>
    <cellStyle name="Naslov 2 2" xfId="17"/>
    <cellStyle name="Naslov 3 2" xfId="24"/>
    <cellStyle name="Naslov 4 2" xfId="25"/>
    <cellStyle name="Naslov 5" xfId="18"/>
    <cellStyle name="Normalno" xfId="0" builtinId="0"/>
    <cellStyle name="Normalno 2" xfId="5"/>
    <cellStyle name="Normalno 3" xfId="15"/>
    <cellStyle name="Normalno 5" xfId="12"/>
    <cellStyle name="Obično 2" xfId="1"/>
    <cellStyle name="Obično_Bilanca prihoda" xfId="13"/>
    <cellStyle name="OrangeBorder" xfId="21"/>
    <cellStyle name="SAPBEXaggData" xfId="6"/>
    <cellStyle name="SAPBEXaggItem" xfId="11"/>
    <cellStyle name="SAPBEXchaText" xfId="2"/>
    <cellStyle name="SAPBEXformats" xfId="10"/>
    <cellStyle name="SAPBEXHLevel0" xfId="14"/>
    <cellStyle name="SAPBEXHLevel1" xfId="4"/>
    <cellStyle name="SAPBEXHLevel2" xfId="3"/>
    <cellStyle name="SAPBEXHLevel3" xfId="7"/>
    <cellStyle name="SAPBEXstdData" xfId="8"/>
    <cellStyle name="SAPBEXstdItem" xfId="9"/>
    <cellStyle name="Tekst Pokreni" xfId="19"/>
    <cellStyle name="Tekst u stupcu Od Ž do A" xfId="20"/>
    <cellStyle name="Valuta [0] 2" xfId="33"/>
    <cellStyle name="Valuta 2" xfId="32"/>
    <cellStyle name="YellowCell" xfId="22"/>
  </cellStyles>
  <dxfs count="4">
    <dxf>
      <font>
        <color theme="0"/>
      </font>
      <fill>
        <patternFill>
          <bgColor rgb="FF359966"/>
        </patternFill>
      </fill>
    </dxf>
    <dxf>
      <font>
        <color theme="0"/>
      </font>
      <fill>
        <patternFill>
          <bgColor rgb="FF359966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339966"/>
        </patternFill>
      </fill>
    </dxf>
  </dxfs>
  <tableStyles count="2" defaultTableStyle="TableStyleMedium2" defaultPivotStyle="PivotStyleLight16">
    <tableStyle name="CustomTableStyle" pivot="0" count="2">
      <tableStyleElement type="headerRow" dxfId="3"/>
      <tableStyleElement type="firstRowStripe" dxfId="2"/>
    </tableStyle>
    <tableStyle name="Stil zaokretne tablice 1" table="0" count="2">
      <tableStyleElement type="headerRow" dxfId="1"/>
      <tableStyleElement type="totalRow" dxfId="0"/>
    </tableStyle>
  </tableStyles>
  <colors>
    <mruColors>
      <color rgb="FF92CDDC"/>
      <color rgb="FF33CCCC"/>
      <color rgb="FFF9FB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923925</xdr:colOff>
      <xdr:row>175</xdr:row>
      <xdr:rowOff>0</xdr:rowOff>
    </xdr:from>
    <xdr:to>
      <xdr:col>0</xdr:col>
      <xdr:colOff>1047750</xdr:colOff>
      <xdr:row>175</xdr:row>
      <xdr:rowOff>123825</xdr:rowOff>
    </xdr:to>
    <xdr:pic macro="[1]!DesignIconClicked">
      <xdr:nvPicPr>
        <xdr:cNvPr id="2" name="BExXTKAUX1WF2OZPXSNXALZLKGCO" descr="Expand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509492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1266825</xdr:colOff>
      <xdr:row>176</xdr:row>
      <xdr:rowOff>0</xdr:rowOff>
    </xdr:from>
    <xdr:to>
      <xdr:col>0</xdr:col>
      <xdr:colOff>1390650</xdr:colOff>
      <xdr:row>176</xdr:row>
      <xdr:rowOff>123825</xdr:rowOff>
    </xdr:to>
    <xdr:pic macro="[1]!DesignIconClicked">
      <xdr:nvPicPr>
        <xdr:cNvPr id="4" name="BExS4R4TNKEVJJW2M2WFRZE2I16B" descr="Expanded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512730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1381125</xdr:colOff>
      <xdr:row>177</xdr:row>
      <xdr:rowOff>0</xdr:rowOff>
    </xdr:from>
    <xdr:to>
      <xdr:col>0</xdr:col>
      <xdr:colOff>1504950</xdr:colOff>
      <xdr:row>177</xdr:row>
      <xdr:rowOff>123825</xdr:rowOff>
    </xdr:to>
    <xdr:pic macro="[1]!DesignIconClicked">
      <xdr:nvPicPr>
        <xdr:cNvPr id="5" name="BExQJYSSARZM4DYBE7563XYCDUP5" descr="Collapsed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514350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1266825</xdr:colOff>
      <xdr:row>178</xdr:row>
      <xdr:rowOff>0</xdr:rowOff>
    </xdr:from>
    <xdr:to>
      <xdr:col>0</xdr:col>
      <xdr:colOff>1390650</xdr:colOff>
      <xdr:row>178</xdr:row>
      <xdr:rowOff>123825</xdr:rowOff>
    </xdr:to>
    <xdr:pic macro="[1]!DesignIconClicked">
      <xdr:nvPicPr>
        <xdr:cNvPr id="6" name="BExW32TILCTUNWHFKU0UN85IZFNM" descr="Expanded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515969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1381125</xdr:colOff>
      <xdr:row>179</xdr:row>
      <xdr:rowOff>0</xdr:rowOff>
    </xdr:from>
    <xdr:to>
      <xdr:col>0</xdr:col>
      <xdr:colOff>1504950</xdr:colOff>
      <xdr:row>179</xdr:row>
      <xdr:rowOff>123825</xdr:rowOff>
    </xdr:to>
    <xdr:pic macro="[1]!DesignIconClicked">
      <xdr:nvPicPr>
        <xdr:cNvPr id="7" name="BExODWVRC1SXHAILZ6QY88MPOU9N" descr="Collapsed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517588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1266825</xdr:colOff>
      <xdr:row>180</xdr:row>
      <xdr:rowOff>0</xdr:rowOff>
    </xdr:from>
    <xdr:to>
      <xdr:col>0</xdr:col>
      <xdr:colOff>1390650</xdr:colOff>
      <xdr:row>180</xdr:row>
      <xdr:rowOff>123825</xdr:rowOff>
    </xdr:to>
    <xdr:pic macro="[1]!DesignIconClicked">
      <xdr:nvPicPr>
        <xdr:cNvPr id="8" name="BExXQJNP4TWMU3USGW6U4LZ0ZHTQ" descr="Expanded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519207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1381125</xdr:colOff>
      <xdr:row>181</xdr:row>
      <xdr:rowOff>0</xdr:rowOff>
    </xdr:from>
    <xdr:to>
      <xdr:col>0</xdr:col>
      <xdr:colOff>1504950</xdr:colOff>
      <xdr:row>181</xdr:row>
      <xdr:rowOff>123825</xdr:rowOff>
    </xdr:to>
    <xdr:pic macro="[1]!DesignIconClicked">
      <xdr:nvPicPr>
        <xdr:cNvPr id="9" name="BExETY2H4UR4LZ2BEH7SQ49SXJGA" descr="Collapsed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520827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1381125</xdr:colOff>
      <xdr:row>182</xdr:row>
      <xdr:rowOff>0</xdr:rowOff>
    </xdr:from>
    <xdr:to>
      <xdr:col>0</xdr:col>
      <xdr:colOff>1504950</xdr:colOff>
      <xdr:row>182</xdr:row>
      <xdr:rowOff>123825</xdr:rowOff>
    </xdr:to>
    <xdr:pic macro="[1]!DesignIconClicked">
      <xdr:nvPicPr>
        <xdr:cNvPr id="10" name="BEx1IM9OFERCD9Q0MV33MTB42ZI2" descr="Collapsed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522446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%20(x86)/Common%20Files/SAP%20Shared/BW/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"/>
      <sheetName val="BExStyles"/>
      <sheetName val="BExAnalyzer"/>
      <sheetName val="BExAnalyzer.xla"/>
    </sheetNames>
    <definedNames>
      <definedName name="DesignIconClicked"/>
    </definedNames>
    <sheetDataSet>
      <sheetData sheetId="0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25"/>
  <sheetViews>
    <sheetView zoomScale="110" zoomScaleNormal="110" workbookViewId="0">
      <pane xSplit="2" ySplit="5" topLeftCell="E481" activePane="bottomRight" state="frozen"/>
      <selection pane="topRight" activeCell="C1" sqref="C1"/>
      <selection pane="bottomLeft" activeCell="A6" sqref="A6"/>
      <selection pane="bottomRight" activeCell="B545" sqref="B545"/>
    </sheetView>
  </sheetViews>
  <sheetFormatPr defaultRowHeight="12.75" x14ac:dyDescent="0.2"/>
  <cols>
    <col min="1" max="1" width="9.7109375" style="1" customWidth="1"/>
    <col min="2" max="2" width="47.5703125" style="14" customWidth="1"/>
    <col min="3" max="4" width="11.42578125" style="3" hidden="1" customWidth="1"/>
    <col min="5" max="5" width="11.28515625" style="3" hidden="1" customWidth="1"/>
    <col min="6" max="6" width="10.7109375" style="3" hidden="1" customWidth="1"/>
    <col min="7" max="7" width="11.28515625" style="3" hidden="1" customWidth="1"/>
    <col min="8" max="8" width="15.140625" style="1" customWidth="1"/>
    <col min="9" max="9" width="14.5703125" style="1" customWidth="1"/>
    <col min="10" max="10" width="14.85546875" style="1" customWidth="1"/>
    <col min="11" max="11" width="12.85546875" style="1" hidden="1" customWidth="1"/>
    <col min="12" max="13" width="11.28515625" style="1" hidden="1" customWidth="1"/>
    <col min="14" max="14" width="11.5703125" style="1" hidden="1" customWidth="1"/>
    <col min="15" max="15" width="9.85546875" style="1" hidden="1" customWidth="1"/>
    <col min="16" max="16" width="19.28515625" style="1" hidden="1" customWidth="1"/>
    <col min="17" max="17" width="11.7109375" style="1" hidden="1" customWidth="1"/>
    <col min="18" max="19" width="9.85546875" style="1" hidden="1" customWidth="1"/>
    <col min="20" max="20" width="0.140625" style="1" customWidth="1"/>
    <col min="21" max="16384" width="9.140625" style="1"/>
  </cols>
  <sheetData>
    <row r="1" spans="1:19" x14ac:dyDescent="0.2">
      <c r="G1" s="16"/>
      <c r="J1" s="25" t="s">
        <v>452</v>
      </c>
    </row>
    <row r="2" spans="1:19" ht="18" customHeight="1" x14ac:dyDescent="0.25">
      <c r="A2" s="705" t="s">
        <v>447</v>
      </c>
      <c r="B2" s="705"/>
      <c r="C2" s="705"/>
      <c r="D2" s="705"/>
      <c r="E2" s="705"/>
      <c r="F2" s="705"/>
      <c r="G2" s="705"/>
      <c r="H2" s="705"/>
      <c r="I2" s="705"/>
      <c r="J2" s="705"/>
      <c r="K2" s="705"/>
      <c r="L2" s="705"/>
      <c r="M2" s="705"/>
      <c r="N2" s="705"/>
      <c r="O2" s="35"/>
      <c r="P2" s="35"/>
      <c r="Q2" s="35"/>
      <c r="R2" s="35"/>
      <c r="S2" s="35"/>
    </row>
    <row r="3" spans="1:19" ht="18" customHeight="1" x14ac:dyDescent="0.25">
      <c r="A3" s="708" t="s">
        <v>448</v>
      </c>
      <c r="B3" s="709"/>
      <c r="C3" s="709"/>
      <c r="D3" s="709"/>
      <c r="E3" s="709"/>
      <c r="F3" s="709"/>
      <c r="G3" s="709"/>
      <c r="H3" s="709"/>
      <c r="I3" s="709"/>
      <c r="J3" s="709"/>
      <c r="K3" s="66"/>
      <c r="L3" s="66"/>
      <c r="M3" s="66"/>
      <c r="N3" s="66"/>
      <c r="O3" s="35"/>
      <c r="P3" s="35"/>
      <c r="Q3" s="35"/>
      <c r="R3" s="35"/>
      <c r="S3" s="35"/>
    </row>
    <row r="4" spans="1:19" ht="18.75" customHeight="1" x14ac:dyDescent="0.2">
      <c r="A4" s="67"/>
      <c r="B4" s="68"/>
      <c r="C4" s="706" t="s">
        <v>449</v>
      </c>
      <c r="D4" s="706"/>
      <c r="E4" s="706"/>
      <c r="F4" s="706"/>
      <c r="G4" s="706"/>
      <c r="H4" s="706"/>
      <c r="I4" s="706"/>
      <c r="J4" s="706"/>
      <c r="K4" s="706"/>
      <c r="L4" s="706"/>
      <c r="M4" s="706"/>
      <c r="N4" s="706"/>
      <c r="O4" s="35"/>
      <c r="P4" s="35"/>
      <c r="Q4" s="35"/>
      <c r="R4" s="35"/>
      <c r="S4" s="35"/>
    </row>
    <row r="5" spans="1:19" ht="41.25" customHeight="1" thickBot="1" x14ac:dyDescent="0.25">
      <c r="A5" s="405" t="s">
        <v>92</v>
      </c>
      <c r="B5" s="405" t="s">
        <v>93</v>
      </c>
      <c r="C5" s="406" t="s">
        <v>382</v>
      </c>
      <c r="D5" s="407"/>
      <c r="E5" s="407" t="s">
        <v>424</v>
      </c>
      <c r="F5" s="408" t="s">
        <v>379</v>
      </c>
      <c r="G5" s="408" t="s">
        <v>380</v>
      </c>
      <c r="H5" s="408" t="s">
        <v>318</v>
      </c>
      <c r="I5" s="408" t="s">
        <v>319</v>
      </c>
      <c r="J5" s="408" t="s">
        <v>381</v>
      </c>
      <c r="K5" s="69" t="s">
        <v>392</v>
      </c>
      <c r="L5" s="69" t="s">
        <v>418</v>
      </c>
      <c r="M5" s="69" t="s">
        <v>393</v>
      </c>
      <c r="N5" s="69" t="s">
        <v>397</v>
      </c>
      <c r="O5" s="69"/>
      <c r="P5" s="35"/>
      <c r="Q5" s="35" t="s">
        <v>421</v>
      </c>
      <c r="R5" s="35" t="s">
        <v>432</v>
      </c>
      <c r="S5" s="35" t="s">
        <v>433</v>
      </c>
    </row>
    <row r="6" spans="1:19" s="20" customFormat="1" ht="17.25" customHeight="1" thickTop="1" thickBot="1" x14ac:dyDescent="0.3">
      <c r="A6" s="409" t="s">
        <v>389</v>
      </c>
      <c r="B6" s="409" t="s">
        <v>417</v>
      </c>
      <c r="C6" s="410">
        <v>1</v>
      </c>
      <c r="D6" s="411"/>
      <c r="E6" s="411">
        <v>2</v>
      </c>
      <c r="F6" s="412">
        <v>3</v>
      </c>
      <c r="G6" s="412">
        <v>4</v>
      </c>
      <c r="H6" s="412">
        <v>5</v>
      </c>
      <c r="I6" s="412">
        <v>6</v>
      </c>
      <c r="J6" s="412">
        <v>7</v>
      </c>
      <c r="K6" s="70" t="s">
        <v>414</v>
      </c>
      <c r="L6" s="70"/>
      <c r="M6" s="70" t="s">
        <v>415</v>
      </c>
      <c r="N6" s="70" t="s">
        <v>416</v>
      </c>
      <c r="O6" s="71"/>
      <c r="P6" s="72" t="s">
        <v>423</v>
      </c>
      <c r="Q6" s="73">
        <v>903794691</v>
      </c>
      <c r="R6" s="73">
        <v>901244393</v>
      </c>
      <c r="S6" s="73">
        <v>898872615</v>
      </c>
    </row>
    <row r="7" spans="1:19" s="2" customFormat="1" ht="14.25" customHeight="1" thickTop="1" x14ac:dyDescent="0.2">
      <c r="A7" s="74" t="s">
        <v>90</v>
      </c>
      <c r="B7" s="75" t="s">
        <v>0</v>
      </c>
      <c r="C7" s="76">
        <f t="shared" ref="C7:O7" si="0">SUM(C8)</f>
        <v>858277740</v>
      </c>
      <c r="D7" s="76"/>
      <c r="E7" s="76">
        <f t="shared" si="0"/>
        <v>910275740</v>
      </c>
      <c r="F7" s="76">
        <f t="shared" si="0"/>
        <v>848849288</v>
      </c>
      <c r="G7" s="76">
        <f t="shared" si="0"/>
        <v>849646573</v>
      </c>
      <c r="H7" s="76">
        <f t="shared" si="0"/>
        <v>1048256150</v>
      </c>
      <c r="I7" s="76">
        <f t="shared" si="0"/>
        <v>1049806393</v>
      </c>
      <c r="J7" s="76">
        <f t="shared" si="0"/>
        <v>1049287615</v>
      </c>
      <c r="K7" s="76">
        <f t="shared" si="0"/>
        <v>137977410</v>
      </c>
      <c r="L7" s="76"/>
      <c r="M7" s="76">
        <f t="shared" si="0"/>
        <v>199403862</v>
      </c>
      <c r="N7" s="76">
        <f t="shared" si="0"/>
        <v>200155820</v>
      </c>
      <c r="O7" s="77">
        <f t="shared" si="0"/>
        <v>0</v>
      </c>
      <c r="P7" s="78" t="s">
        <v>422</v>
      </c>
      <c r="Q7" s="79">
        <f>H7-Q6</f>
        <v>144461459</v>
      </c>
      <c r="R7" s="79">
        <f t="shared" ref="R7:S7" si="1">I7-R6</f>
        <v>148562000</v>
      </c>
      <c r="S7" s="79">
        <f t="shared" si="1"/>
        <v>150415000</v>
      </c>
    </row>
    <row r="8" spans="1:19" s="2" customFormat="1" x14ac:dyDescent="0.2">
      <c r="A8" s="80" t="s">
        <v>91</v>
      </c>
      <c r="B8" s="81" t="s">
        <v>0</v>
      </c>
      <c r="C8" s="82">
        <f t="shared" ref="C8:N8" si="2">SUM(C9,C16,C23,C84,C105,C134,C148,C201,C206,C224,C254,C306,C338,C365,C390,C420,C454,C482,C523,C563,C572,C577,C590,C597,C629,C634,C651,C674,C705,C732,C737,C742,C758,C781,C786,C794,C813,C833,C886)</f>
        <v>858277740</v>
      </c>
      <c r="D8" s="82">
        <f t="shared" si="2"/>
        <v>0</v>
      </c>
      <c r="E8" s="82">
        <f t="shared" si="2"/>
        <v>910275740</v>
      </c>
      <c r="F8" s="82">
        <f t="shared" si="2"/>
        <v>848849288</v>
      </c>
      <c r="G8" s="82">
        <f t="shared" si="2"/>
        <v>849646573</v>
      </c>
      <c r="H8" s="82">
        <f t="shared" si="2"/>
        <v>1048256150</v>
      </c>
      <c r="I8" s="82">
        <f t="shared" si="2"/>
        <v>1049806393</v>
      </c>
      <c r="J8" s="82">
        <f t="shared" si="2"/>
        <v>1049287615</v>
      </c>
      <c r="K8" s="82">
        <f t="shared" si="2"/>
        <v>137977410</v>
      </c>
      <c r="L8" s="82">
        <f t="shared" si="2"/>
        <v>0</v>
      </c>
      <c r="M8" s="82">
        <f t="shared" si="2"/>
        <v>199403862</v>
      </c>
      <c r="N8" s="82">
        <f t="shared" si="2"/>
        <v>200155820</v>
      </c>
      <c r="O8" s="83">
        <f>SUM(O9,O16,O23,O84,O105,O134,O148,O206,O224,O254,O306,O338,O365,O390,O420,O454,O482,O523,O563,O572,O577,O590,O597,O629,O634,O651,O674,O705,O732,O737,O742,O758,O781,O786,O794,O813,O833)</f>
        <v>0</v>
      </c>
      <c r="P8" s="50"/>
      <c r="Q8" s="50"/>
      <c r="R8" s="50"/>
      <c r="S8" s="50"/>
    </row>
    <row r="9" spans="1:19" s="2" customFormat="1" ht="20.25" customHeight="1" x14ac:dyDescent="0.2">
      <c r="A9" s="84" t="s">
        <v>208</v>
      </c>
      <c r="B9" s="85" t="s">
        <v>450</v>
      </c>
      <c r="C9" s="86">
        <f t="shared" ref="C9:O10" si="3">SUM(C10)</f>
        <v>1592700</v>
      </c>
      <c r="D9" s="86"/>
      <c r="E9" s="86">
        <f t="shared" si="3"/>
        <v>1592700</v>
      </c>
      <c r="F9" s="86">
        <f t="shared" si="3"/>
        <v>1592700</v>
      </c>
      <c r="G9" s="86">
        <f t="shared" si="3"/>
        <v>1592700</v>
      </c>
      <c r="H9" s="86">
        <f t="shared" si="3"/>
        <v>1592700</v>
      </c>
      <c r="I9" s="86">
        <f t="shared" si="3"/>
        <v>1592700</v>
      </c>
      <c r="J9" s="86">
        <f t="shared" si="3"/>
        <v>1592700</v>
      </c>
      <c r="K9" s="86">
        <f t="shared" si="3"/>
        <v>0</v>
      </c>
      <c r="L9" s="86"/>
      <c r="M9" s="86">
        <f t="shared" si="3"/>
        <v>0</v>
      </c>
      <c r="N9" s="86">
        <f t="shared" si="3"/>
        <v>0</v>
      </c>
      <c r="O9" s="87">
        <f t="shared" si="3"/>
        <v>0</v>
      </c>
      <c r="P9" s="88" t="s">
        <v>419</v>
      </c>
      <c r="Q9" s="50"/>
      <c r="R9" s="50"/>
      <c r="S9" s="50"/>
    </row>
    <row r="10" spans="1:19" s="2" customFormat="1" ht="17.25" customHeight="1" x14ac:dyDescent="0.2">
      <c r="A10" s="704" t="s">
        <v>1</v>
      </c>
      <c r="B10" s="704"/>
      <c r="C10" s="89">
        <f t="shared" si="3"/>
        <v>1592700</v>
      </c>
      <c r="D10" s="90"/>
      <c r="E10" s="90">
        <f t="shared" si="3"/>
        <v>1592700</v>
      </c>
      <c r="F10" s="91">
        <f t="shared" si="3"/>
        <v>1592700</v>
      </c>
      <c r="G10" s="91">
        <f t="shared" si="3"/>
        <v>1592700</v>
      </c>
      <c r="H10" s="91">
        <f t="shared" si="3"/>
        <v>1592700</v>
      </c>
      <c r="I10" s="91">
        <f t="shared" si="3"/>
        <v>1592700</v>
      </c>
      <c r="J10" s="91">
        <f t="shared" si="3"/>
        <v>1592700</v>
      </c>
      <c r="K10" s="91">
        <f t="shared" si="3"/>
        <v>0</v>
      </c>
      <c r="L10" s="92"/>
      <c r="M10" s="91">
        <f t="shared" si="3"/>
        <v>0</v>
      </c>
      <c r="N10" s="91">
        <f t="shared" si="3"/>
        <v>0</v>
      </c>
      <c r="O10" s="91">
        <f t="shared" si="3"/>
        <v>0</v>
      </c>
      <c r="P10" s="50"/>
      <c r="Q10" s="50"/>
      <c r="R10" s="50"/>
      <c r="S10" s="50"/>
    </row>
    <row r="11" spans="1:19" s="2" customFormat="1" ht="17.25" customHeight="1" x14ac:dyDescent="0.2">
      <c r="A11" s="413" t="s">
        <v>320</v>
      </c>
      <c r="B11" s="414" t="s">
        <v>321</v>
      </c>
      <c r="C11" s="415">
        <f t="shared" ref="C11:G11" si="4">SUM(C12,C14)</f>
        <v>1592700</v>
      </c>
      <c r="D11" s="416"/>
      <c r="E11" s="416">
        <f t="shared" ref="E11" si="5">SUM(E12,E14)</f>
        <v>1592700</v>
      </c>
      <c r="F11" s="417">
        <f t="shared" si="4"/>
        <v>1592700</v>
      </c>
      <c r="G11" s="417">
        <f t="shared" si="4"/>
        <v>1592700</v>
      </c>
      <c r="H11" s="417">
        <f t="shared" ref="H11:I11" si="6">SUM(H12,H14)</f>
        <v>1592700</v>
      </c>
      <c r="I11" s="417">
        <f t="shared" si="6"/>
        <v>1592700</v>
      </c>
      <c r="J11" s="417">
        <f t="shared" ref="J11:K11" si="7">SUM(J12,J14)</f>
        <v>1592700</v>
      </c>
      <c r="K11" s="93">
        <f t="shared" si="7"/>
        <v>0</v>
      </c>
      <c r="L11" s="94"/>
      <c r="M11" s="93">
        <f t="shared" ref="M11:O11" si="8">SUM(M12,M14)</f>
        <v>0</v>
      </c>
      <c r="N11" s="93">
        <f t="shared" ref="N11" si="9">SUM(N12,N14)</f>
        <v>0</v>
      </c>
      <c r="O11" s="93">
        <f t="shared" si="8"/>
        <v>0</v>
      </c>
      <c r="P11" s="50"/>
      <c r="Q11" s="50"/>
      <c r="R11" s="50"/>
      <c r="S11" s="50"/>
    </row>
    <row r="12" spans="1:19" s="2" customFormat="1" ht="15" customHeight="1" x14ac:dyDescent="0.2">
      <c r="A12" s="95" t="s">
        <v>139</v>
      </c>
      <c r="B12" s="96" t="s">
        <v>124</v>
      </c>
      <c r="C12" s="97">
        <f t="shared" ref="C12:O12" si="10">SUM(C13)</f>
        <v>929000</v>
      </c>
      <c r="D12" s="98"/>
      <c r="E12" s="98">
        <f t="shared" si="10"/>
        <v>929000</v>
      </c>
      <c r="F12" s="99">
        <f t="shared" si="10"/>
        <v>929000</v>
      </c>
      <c r="G12" s="99">
        <f t="shared" si="10"/>
        <v>929000</v>
      </c>
      <c r="H12" s="99">
        <f t="shared" si="10"/>
        <v>929000</v>
      </c>
      <c r="I12" s="99">
        <f t="shared" si="10"/>
        <v>929000</v>
      </c>
      <c r="J12" s="99">
        <f t="shared" si="10"/>
        <v>929000</v>
      </c>
      <c r="K12" s="99">
        <f t="shared" si="10"/>
        <v>0</v>
      </c>
      <c r="L12" s="100"/>
      <c r="M12" s="99">
        <f t="shared" si="10"/>
        <v>0</v>
      </c>
      <c r="N12" s="99">
        <f t="shared" si="10"/>
        <v>0</v>
      </c>
      <c r="O12" s="99">
        <f t="shared" si="10"/>
        <v>0</v>
      </c>
      <c r="P12" s="50"/>
      <c r="Q12" s="50"/>
      <c r="R12" s="50"/>
      <c r="S12" s="50"/>
    </row>
    <row r="13" spans="1:19" ht="12.75" customHeight="1" x14ac:dyDescent="0.2">
      <c r="A13" s="101" t="s">
        <v>140</v>
      </c>
      <c r="B13" s="102" t="s">
        <v>46</v>
      </c>
      <c r="C13" s="103">
        <v>929000</v>
      </c>
      <c r="D13" s="104"/>
      <c r="E13" s="104">
        <v>929000</v>
      </c>
      <c r="F13" s="105">
        <v>929000</v>
      </c>
      <c r="G13" s="105">
        <v>929000</v>
      </c>
      <c r="H13" s="105">
        <v>929000</v>
      </c>
      <c r="I13" s="105">
        <v>929000</v>
      </c>
      <c r="J13" s="105">
        <v>929000</v>
      </c>
      <c r="K13" s="105">
        <f>H13-E13</f>
        <v>0</v>
      </c>
      <c r="L13" s="104"/>
      <c r="M13" s="105">
        <f>H13-F13</f>
        <v>0</v>
      </c>
      <c r="N13" s="105">
        <f>I13-G13</f>
        <v>0</v>
      </c>
      <c r="O13" s="105"/>
      <c r="P13" s="35"/>
      <c r="Q13" s="35"/>
      <c r="R13" s="35"/>
      <c r="S13" s="35"/>
    </row>
    <row r="14" spans="1:19" s="2" customFormat="1" ht="14.25" customHeight="1" x14ac:dyDescent="0.2">
      <c r="A14" s="95" t="s">
        <v>141</v>
      </c>
      <c r="B14" s="96" t="s">
        <v>211</v>
      </c>
      <c r="C14" s="97">
        <f t="shared" ref="C14:O14" si="11">SUM(C15)</f>
        <v>663700</v>
      </c>
      <c r="D14" s="98"/>
      <c r="E14" s="98">
        <f t="shared" si="11"/>
        <v>663700</v>
      </c>
      <c r="F14" s="99">
        <f t="shared" si="11"/>
        <v>663700</v>
      </c>
      <c r="G14" s="99">
        <f t="shared" si="11"/>
        <v>663700</v>
      </c>
      <c r="H14" s="99">
        <f t="shared" si="11"/>
        <v>663700</v>
      </c>
      <c r="I14" s="99">
        <f t="shared" si="11"/>
        <v>663700</v>
      </c>
      <c r="J14" s="99">
        <f t="shared" si="11"/>
        <v>663700</v>
      </c>
      <c r="K14" s="99">
        <f t="shared" si="11"/>
        <v>0</v>
      </c>
      <c r="L14" s="100"/>
      <c r="M14" s="99">
        <f t="shared" si="11"/>
        <v>0</v>
      </c>
      <c r="N14" s="99">
        <f t="shared" si="11"/>
        <v>0</v>
      </c>
      <c r="O14" s="99">
        <f t="shared" si="11"/>
        <v>0</v>
      </c>
      <c r="P14" s="50"/>
      <c r="Q14" s="50"/>
      <c r="R14" s="50"/>
      <c r="S14" s="50"/>
    </row>
    <row r="15" spans="1:19" x14ac:dyDescent="0.2">
      <c r="A15" s="101" t="s">
        <v>142</v>
      </c>
      <c r="B15" s="102" t="s">
        <v>130</v>
      </c>
      <c r="C15" s="103">
        <v>663700</v>
      </c>
      <c r="D15" s="104"/>
      <c r="E15" s="104">
        <v>663700</v>
      </c>
      <c r="F15" s="105">
        <v>663700</v>
      </c>
      <c r="G15" s="105">
        <v>663700</v>
      </c>
      <c r="H15" s="105">
        <v>663700</v>
      </c>
      <c r="I15" s="105">
        <v>663700</v>
      </c>
      <c r="J15" s="105">
        <v>663700</v>
      </c>
      <c r="K15" s="105">
        <f>H15-E15</f>
        <v>0</v>
      </c>
      <c r="L15" s="104"/>
      <c r="M15" s="105">
        <f>H15-F15</f>
        <v>0</v>
      </c>
      <c r="N15" s="105">
        <f>I15-G15</f>
        <v>0</v>
      </c>
      <c r="O15" s="105"/>
      <c r="P15" s="35"/>
      <c r="Q15" s="35"/>
      <c r="R15" s="35"/>
      <c r="S15" s="35"/>
    </row>
    <row r="16" spans="1:19" s="2" customFormat="1" ht="19.5" customHeight="1" x14ac:dyDescent="0.2">
      <c r="A16" s="84" t="s">
        <v>367</v>
      </c>
      <c r="B16" s="106" t="s">
        <v>342</v>
      </c>
      <c r="C16" s="107">
        <f t="shared" ref="C16:O17" si="12">SUM(C17)</f>
        <v>796400</v>
      </c>
      <c r="D16" s="108"/>
      <c r="E16" s="108">
        <f t="shared" si="12"/>
        <v>796400</v>
      </c>
      <c r="F16" s="87">
        <f t="shared" si="12"/>
        <v>796400</v>
      </c>
      <c r="G16" s="87">
        <f t="shared" si="12"/>
        <v>796400</v>
      </c>
      <c r="H16" s="87">
        <f t="shared" si="12"/>
        <v>796400</v>
      </c>
      <c r="I16" s="87">
        <f t="shared" si="12"/>
        <v>796400</v>
      </c>
      <c r="J16" s="87">
        <f t="shared" si="12"/>
        <v>796400</v>
      </c>
      <c r="K16" s="87">
        <f t="shared" si="12"/>
        <v>0</v>
      </c>
      <c r="L16" s="109"/>
      <c r="M16" s="87">
        <f t="shared" si="12"/>
        <v>0</v>
      </c>
      <c r="N16" s="87">
        <f t="shared" si="12"/>
        <v>0</v>
      </c>
      <c r="O16" s="87">
        <f t="shared" si="12"/>
        <v>0</v>
      </c>
      <c r="P16" s="88" t="s">
        <v>419</v>
      </c>
      <c r="Q16" s="50"/>
      <c r="R16" s="50"/>
      <c r="S16" s="50"/>
    </row>
    <row r="17" spans="1:19" s="2" customFormat="1" ht="17.25" customHeight="1" x14ac:dyDescent="0.2">
      <c r="A17" s="704" t="s">
        <v>1</v>
      </c>
      <c r="B17" s="704"/>
      <c r="C17" s="89">
        <f t="shared" si="12"/>
        <v>796400</v>
      </c>
      <c r="D17" s="90"/>
      <c r="E17" s="90">
        <f t="shared" si="12"/>
        <v>796400</v>
      </c>
      <c r="F17" s="91">
        <f t="shared" si="12"/>
        <v>796400</v>
      </c>
      <c r="G17" s="91">
        <f t="shared" si="12"/>
        <v>796400</v>
      </c>
      <c r="H17" s="91">
        <f t="shared" si="12"/>
        <v>796400</v>
      </c>
      <c r="I17" s="91">
        <f t="shared" si="12"/>
        <v>796400</v>
      </c>
      <c r="J17" s="91">
        <f t="shared" si="12"/>
        <v>796400</v>
      </c>
      <c r="K17" s="91">
        <f t="shared" si="12"/>
        <v>0</v>
      </c>
      <c r="L17" s="92"/>
      <c r="M17" s="91">
        <f t="shared" si="12"/>
        <v>0</v>
      </c>
      <c r="N17" s="91">
        <f t="shared" si="12"/>
        <v>0</v>
      </c>
      <c r="O17" s="91">
        <f t="shared" si="12"/>
        <v>0</v>
      </c>
      <c r="P17" s="50"/>
      <c r="Q17" s="50"/>
      <c r="R17" s="50"/>
      <c r="S17" s="50"/>
    </row>
    <row r="18" spans="1:19" s="2" customFormat="1" ht="17.25" customHeight="1" x14ac:dyDescent="0.2">
      <c r="A18" s="413" t="s">
        <v>320</v>
      </c>
      <c r="B18" s="414" t="s">
        <v>321</v>
      </c>
      <c r="C18" s="415">
        <f t="shared" ref="C18:G18" si="13">SUM(C19,C21)</f>
        <v>796400</v>
      </c>
      <c r="D18" s="416"/>
      <c r="E18" s="416">
        <f t="shared" ref="E18" si="14">SUM(E19,E21)</f>
        <v>796400</v>
      </c>
      <c r="F18" s="417">
        <f t="shared" si="13"/>
        <v>796400</v>
      </c>
      <c r="G18" s="417">
        <f t="shared" si="13"/>
        <v>796400</v>
      </c>
      <c r="H18" s="417">
        <f t="shared" ref="H18:I18" si="15">SUM(H19,H21)</f>
        <v>796400</v>
      </c>
      <c r="I18" s="417">
        <f t="shared" si="15"/>
        <v>796400</v>
      </c>
      <c r="J18" s="417">
        <f t="shared" ref="J18:K18" si="16">SUM(J19,J21)</f>
        <v>796400</v>
      </c>
      <c r="K18" s="93">
        <f t="shared" si="16"/>
        <v>0</v>
      </c>
      <c r="L18" s="94"/>
      <c r="M18" s="93">
        <f t="shared" ref="M18:O18" si="17">SUM(M19,M21)</f>
        <v>0</v>
      </c>
      <c r="N18" s="93">
        <f t="shared" ref="N18" si="18">SUM(N19,N21)</f>
        <v>0</v>
      </c>
      <c r="O18" s="93">
        <f t="shared" si="17"/>
        <v>0</v>
      </c>
      <c r="P18" s="50"/>
      <c r="Q18" s="50"/>
      <c r="R18" s="50"/>
      <c r="S18" s="50"/>
    </row>
    <row r="19" spans="1:19" s="2" customFormat="1" ht="15" customHeight="1" x14ac:dyDescent="0.2">
      <c r="A19" s="95" t="s">
        <v>139</v>
      </c>
      <c r="B19" s="96" t="s">
        <v>124</v>
      </c>
      <c r="C19" s="97">
        <f t="shared" ref="C19:O19" si="19">SUM(C20)</f>
        <v>796400</v>
      </c>
      <c r="D19" s="98"/>
      <c r="E19" s="98">
        <f t="shared" si="19"/>
        <v>796400</v>
      </c>
      <c r="F19" s="99">
        <f t="shared" si="19"/>
        <v>796400</v>
      </c>
      <c r="G19" s="99">
        <f t="shared" si="19"/>
        <v>796400</v>
      </c>
      <c r="H19" s="99">
        <f t="shared" si="19"/>
        <v>796400</v>
      </c>
      <c r="I19" s="99">
        <f t="shared" si="19"/>
        <v>796400</v>
      </c>
      <c r="J19" s="99">
        <f t="shared" si="19"/>
        <v>796400</v>
      </c>
      <c r="K19" s="99">
        <f t="shared" si="19"/>
        <v>0</v>
      </c>
      <c r="L19" s="100"/>
      <c r="M19" s="99">
        <f t="shared" si="19"/>
        <v>0</v>
      </c>
      <c r="N19" s="99">
        <f t="shared" si="19"/>
        <v>0</v>
      </c>
      <c r="O19" s="99">
        <f t="shared" si="19"/>
        <v>0</v>
      </c>
      <c r="P19" s="50"/>
      <c r="Q19" s="50"/>
      <c r="R19" s="50"/>
      <c r="S19" s="50"/>
    </row>
    <row r="20" spans="1:19" ht="12.75" customHeight="1" x14ac:dyDescent="0.2">
      <c r="A20" s="101" t="s">
        <v>140</v>
      </c>
      <c r="B20" s="102" t="s">
        <v>46</v>
      </c>
      <c r="C20" s="103">
        <v>796400</v>
      </c>
      <c r="D20" s="104"/>
      <c r="E20" s="104">
        <v>796400</v>
      </c>
      <c r="F20" s="105">
        <v>796400</v>
      </c>
      <c r="G20" s="105">
        <v>796400</v>
      </c>
      <c r="H20" s="105">
        <v>796400</v>
      </c>
      <c r="I20" s="105">
        <v>796400</v>
      </c>
      <c r="J20" s="105">
        <v>796400</v>
      </c>
      <c r="K20" s="105">
        <f>H20-E20</f>
        <v>0</v>
      </c>
      <c r="L20" s="104"/>
      <c r="M20" s="105">
        <f>H20-F20</f>
        <v>0</v>
      </c>
      <c r="N20" s="105">
        <f>I20-G20</f>
        <v>0</v>
      </c>
      <c r="O20" s="105"/>
      <c r="P20" s="35"/>
      <c r="Q20" s="35"/>
      <c r="R20" s="35"/>
      <c r="S20" s="35"/>
    </row>
    <row r="21" spans="1:19" s="2" customFormat="1" ht="14.25" hidden="1" customHeight="1" x14ac:dyDescent="0.2">
      <c r="A21" s="95" t="s">
        <v>141</v>
      </c>
      <c r="B21" s="96" t="s">
        <v>211</v>
      </c>
      <c r="C21" s="97">
        <f t="shared" ref="C21:O21" si="20">SUM(C22)</f>
        <v>0</v>
      </c>
      <c r="D21" s="98"/>
      <c r="E21" s="98">
        <f t="shared" si="20"/>
        <v>0</v>
      </c>
      <c r="F21" s="99">
        <f t="shared" si="20"/>
        <v>0</v>
      </c>
      <c r="G21" s="99">
        <f t="shared" si="20"/>
        <v>0</v>
      </c>
      <c r="H21" s="99">
        <f t="shared" si="20"/>
        <v>0</v>
      </c>
      <c r="I21" s="99">
        <f t="shared" si="20"/>
        <v>0</v>
      </c>
      <c r="J21" s="99">
        <f t="shared" si="20"/>
        <v>0</v>
      </c>
      <c r="K21" s="99">
        <f t="shared" si="20"/>
        <v>0</v>
      </c>
      <c r="L21" s="100"/>
      <c r="M21" s="99">
        <f t="shared" si="20"/>
        <v>0</v>
      </c>
      <c r="N21" s="99">
        <f t="shared" si="20"/>
        <v>0</v>
      </c>
      <c r="O21" s="99">
        <f t="shared" si="20"/>
        <v>0</v>
      </c>
      <c r="P21" s="50"/>
      <c r="Q21" s="50"/>
      <c r="R21" s="50"/>
      <c r="S21" s="50"/>
    </row>
    <row r="22" spans="1:19" hidden="1" x14ac:dyDescent="0.2">
      <c r="A22" s="101" t="s">
        <v>142</v>
      </c>
      <c r="B22" s="102" t="s">
        <v>130</v>
      </c>
      <c r="C22" s="103"/>
      <c r="D22" s="104"/>
      <c r="E22" s="104"/>
      <c r="F22" s="110"/>
      <c r="G22" s="110"/>
      <c r="H22" s="110"/>
      <c r="I22" s="110"/>
      <c r="J22" s="110"/>
      <c r="K22" s="110"/>
      <c r="L22" s="111"/>
      <c r="M22" s="110"/>
      <c r="N22" s="110"/>
      <c r="O22" s="110"/>
      <c r="P22" s="35"/>
      <c r="Q22" s="35"/>
      <c r="R22" s="35"/>
      <c r="S22" s="35"/>
    </row>
    <row r="23" spans="1:19" ht="18.75" customHeight="1" x14ac:dyDescent="0.2">
      <c r="A23" s="112" t="s">
        <v>2</v>
      </c>
      <c r="B23" s="113" t="s">
        <v>3</v>
      </c>
      <c r="C23" s="114">
        <f t="shared" ref="C23:O23" si="21">SUM(C24)</f>
        <v>717763640</v>
      </c>
      <c r="D23" s="115"/>
      <c r="E23" s="115">
        <f t="shared" si="21"/>
        <v>777726440</v>
      </c>
      <c r="F23" s="116">
        <f t="shared" si="21"/>
        <v>723594088</v>
      </c>
      <c r="G23" s="116">
        <f t="shared" si="21"/>
        <v>727923473</v>
      </c>
      <c r="H23" s="116">
        <f t="shared" si="21"/>
        <v>899563800</v>
      </c>
      <c r="I23" s="116">
        <f t="shared" si="21"/>
        <v>913499000</v>
      </c>
      <c r="J23" s="116">
        <f t="shared" si="21"/>
        <v>920023265</v>
      </c>
      <c r="K23" s="116">
        <f t="shared" si="21"/>
        <v>121837360</v>
      </c>
      <c r="L23" s="117">
        <f t="shared" si="21"/>
        <v>0</v>
      </c>
      <c r="M23" s="116">
        <f t="shared" si="21"/>
        <v>175969712</v>
      </c>
      <c r="N23" s="116">
        <f t="shared" si="21"/>
        <v>185575527</v>
      </c>
      <c r="O23" s="116">
        <f t="shared" si="21"/>
        <v>0</v>
      </c>
      <c r="P23" s="88"/>
      <c r="Q23" s="35"/>
      <c r="R23" s="35"/>
      <c r="S23" s="35"/>
    </row>
    <row r="24" spans="1:19" ht="18" customHeight="1" x14ac:dyDescent="0.2">
      <c r="A24" s="704" t="s">
        <v>1</v>
      </c>
      <c r="B24" s="704"/>
      <c r="C24" s="118">
        <f t="shared" ref="C24" si="22">SUM(C25,C35,C67,C73,C77)</f>
        <v>717763640</v>
      </c>
      <c r="D24" s="119"/>
      <c r="E24" s="119">
        <f t="shared" ref="E24:N24" si="23">SUM(E25,E35,E67,E73,E77)</f>
        <v>777726440</v>
      </c>
      <c r="F24" s="120">
        <f t="shared" si="23"/>
        <v>723594088</v>
      </c>
      <c r="G24" s="120">
        <f t="shared" si="23"/>
        <v>727923473</v>
      </c>
      <c r="H24" s="120">
        <f t="shared" si="23"/>
        <v>899563800</v>
      </c>
      <c r="I24" s="120">
        <f t="shared" si="23"/>
        <v>913499000</v>
      </c>
      <c r="J24" s="120">
        <f t="shared" si="23"/>
        <v>920023265</v>
      </c>
      <c r="K24" s="120">
        <f t="shared" si="23"/>
        <v>121837360</v>
      </c>
      <c r="L24" s="121">
        <f t="shared" si="23"/>
        <v>0</v>
      </c>
      <c r="M24" s="120">
        <f t="shared" si="23"/>
        <v>175969712</v>
      </c>
      <c r="N24" s="120">
        <f t="shared" si="23"/>
        <v>185575527</v>
      </c>
      <c r="O24" s="120">
        <f t="shared" ref="O24" si="24">SUM(O25,O35,O67,O73,O77)</f>
        <v>0</v>
      </c>
      <c r="P24" s="35"/>
      <c r="Q24" s="35"/>
      <c r="R24" s="35"/>
      <c r="S24" s="35"/>
    </row>
    <row r="25" spans="1:19" ht="18" customHeight="1" x14ac:dyDescent="0.2">
      <c r="A25" s="418" t="s">
        <v>322</v>
      </c>
      <c r="B25" s="414" t="s">
        <v>323</v>
      </c>
      <c r="C25" s="419">
        <f t="shared" ref="C25" si="25">SUM(C26,C29,C31)</f>
        <v>615654640</v>
      </c>
      <c r="D25" s="420"/>
      <c r="E25" s="420">
        <f t="shared" ref="E25:N25" si="26">SUM(E26,E29,E31)</f>
        <v>662397640</v>
      </c>
      <c r="F25" s="421">
        <f t="shared" si="26"/>
        <v>619999088</v>
      </c>
      <c r="G25" s="421">
        <f t="shared" si="26"/>
        <v>624328473</v>
      </c>
      <c r="H25" s="421">
        <f t="shared" si="26"/>
        <v>794827000</v>
      </c>
      <c r="I25" s="421">
        <f t="shared" si="26"/>
        <v>807817000</v>
      </c>
      <c r="J25" s="421">
        <f t="shared" si="26"/>
        <v>812829000</v>
      </c>
      <c r="K25" s="123">
        <f t="shared" si="26"/>
        <v>132429360</v>
      </c>
      <c r="L25" s="124">
        <f t="shared" si="26"/>
        <v>0</v>
      </c>
      <c r="M25" s="123">
        <f t="shared" si="26"/>
        <v>174827912</v>
      </c>
      <c r="N25" s="123">
        <f t="shared" si="26"/>
        <v>183488527</v>
      </c>
      <c r="O25" s="123">
        <f t="shared" ref="O25" si="27">SUM(O26,O29,O31)</f>
        <v>0</v>
      </c>
      <c r="P25" s="88" t="s">
        <v>419</v>
      </c>
      <c r="Q25" s="35"/>
      <c r="R25" s="65"/>
      <c r="S25" s="35"/>
    </row>
    <row r="26" spans="1:19" x14ac:dyDescent="0.2">
      <c r="A26" s="125">
        <v>311</v>
      </c>
      <c r="B26" s="126" t="s">
        <v>4</v>
      </c>
      <c r="C26" s="97">
        <f t="shared" ref="C26:G26" si="28">SUM(C27:C28)</f>
        <v>477692640</v>
      </c>
      <c r="D26" s="98"/>
      <c r="E26" s="98">
        <f t="shared" ref="E26" si="29">SUM(E27:E28)</f>
        <v>515635640</v>
      </c>
      <c r="F26" s="127">
        <f t="shared" si="28"/>
        <v>481140088</v>
      </c>
      <c r="G26" s="127">
        <f t="shared" si="28"/>
        <v>484707473</v>
      </c>
      <c r="H26" s="127">
        <f t="shared" ref="H26:I26" si="30">SUM(H27:H28)</f>
        <v>616454000</v>
      </c>
      <c r="I26" s="127">
        <f t="shared" si="30"/>
        <v>625177000</v>
      </c>
      <c r="J26" s="127">
        <f t="shared" ref="J26:K26" si="31">SUM(J27:J28)</f>
        <v>628920000</v>
      </c>
      <c r="K26" s="127">
        <f t="shared" si="31"/>
        <v>100818360</v>
      </c>
      <c r="L26" s="100"/>
      <c r="M26" s="127">
        <f t="shared" ref="M26:O26" si="32">SUM(M27:M28)</f>
        <v>135313912</v>
      </c>
      <c r="N26" s="127">
        <f t="shared" ref="N26" si="33">SUM(N27:N28)</f>
        <v>140469527</v>
      </c>
      <c r="O26" s="127">
        <f t="shared" si="32"/>
        <v>0</v>
      </c>
      <c r="P26" s="35"/>
      <c r="Q26" s="35"/>
      <c r="R26" s="35"/>
      <c r="S26" s="35"/>
    </row>
    <row r="27" spans="1:19" ht="12" customHeight="1" x14ac:dyDescent="0.2">
      <c r="A27" s="128">
        <v>3111</v>
      </c>
      <c r="B27" s="129" t="s">
        <v>5</v>
      </c>
      <c r="C27" s="103">
        <v>467738640</v>
      </c>
      <c r="D27" s="104"/>
      <c r="E27" s="104">
        <v>503481640</v>
      </c>
      <c r="F27" s="130">
        <f>432200000+613+22773193+16212282</f>
        <v>471186088</v>
      </c>
      <c r="G27" s="130">
        <f>432584000+1371+25838259+16329843</f>
        <v>474753473</v>
      </c>
      <c r="H27" s="186">
        <f>493438000-862459+1000000+109461459</f>
        <v>603037000</v>
      </c>
      <c r="I27" s="186">
        <f>495898000+112862000</f>
        <v>608760000</v>
      </c>
      <c r="J27" s="186">
        <f>498488000+114015000</f>
        <v>612503000</v>
      </c>
      <c r="K27" s="105">
        <f t="shared" ref="K27:K28" si="34">H27-E27</f>
        <v>99555360</v>
      </c>
      <c r="L27" s="104"/>
      <c r="M27" s="105">
        <f t="shared" ref="M27:M28" si="35">H27-F27</f>
        <v>131850912</v>
      </c>
      <c r="N27" s="105">
        <f t="shared" ref="N27:N33" si="36">I27-G27</f>
        <v>134006527</v>
      </c>
      <c r="O27" s="130"/>
      <c r="P27" s="131" t="s">
        <v>437</v>
      </c>
      <c r="Q27" s="35"/>
      <c r="R27" s="35"/>
      <c r="S27" s="35"/>
    </row>
    <row r="28" spans="1:19" x14ac:dyDescent="0.2">
      <c r="A28" s="128">
        <v>3113</v>
      </c>
      <c r="B28" s="129" t="s">
        <v>6</v>
      </c>
      <c r="C28" s="103">
        <v>9954000</v>
      </c>
      <c r="D28" s="104"/>
      <c r="E28" s="104">
        <v>12154000</v>
      </c>
      <c r="F28" s="130">
        <v>9954000</v>
      </c>
      <c r="G28" s="130">
        <v>9954000</v>
      </c>
      <c r="H28" s="130">
        <f>16417000-3000000</f>
        <v>13417000</v>
      </c>
      <c r="I28" s="130">
        <v>16417000</v>
      </c>
      <c r="J28" s="130">
        <v>16417000</v>
      </c>
      <c r="K28" s="105">
        <f t="shared" si="34"/>
        <v>1263000</v>
      </c>
      <c r="L28" s="104"/>
      <c r="M28" s="105">
        <f t="shared" si="35"/>
        <v>3463000</v>
      </c>
      <c r="N28" s="105">
        <f t="shared" si="36"/>
        <v>6463000</v>
      </c>
      <c r="O28" s="130"/>
      <c r="P28" s="35"/>
      <c r="Q28" s="35"/>
      <c r="R28" s="35"/>
      <c r="S28" s="35"/>
    </row>
    <row r="29" spans="1:19" x14ac:dyDescent="0.2">
      <c r="A29" s="125">
        <v>312</v>
      </c>
      <c r="B29" s="126" t="s">
        <v>7</v>
      </c>
      <c r="C29" s="97">
        <f t="shared" ref="C29:O29" si="37">SUM(C30)</f>
        <v>26611000</v>
      </c>
      <c r="D29" s="98"/>
      <c r="E29" s="98">
        <f t="shared" si="37"/>
        <v>32411000</v>
      </c>
      <c r="F29" s="127">
        <f t="shared" si="37"/>
        <v>26744000</v>
      </c>
      <c r="G29" s="127">
        <f t="shared" si="37"/>
        <v>26877000</v>
      </c>
      <c r="H29" s="127">
        <f t="shared" si="37"/>
        <v>37400000</v>
      </c>
      <c r="I29" s="127">
        <f t="shared" si="37"/>
        <v>39400000</v>
      </c>
      <c r="J29" s="127">
        <f t="shared" si="37"/>
        <v>39400000</v>
      </c>
      <c r="K29" s="127">
        <f t="shared" si="37"/>
        <v>4989000</v>
      </c>
      <c r="L29" s="100"/>
      <c r="M29" s="127">
        <f t="shared" si="37"/>
        <v>10656000</v>
      </c>
      <c r="N29" s="127">
        <f t="shared" si="37"/>
        <v>12523000</v>
      </c>
      <c r="O29" s="127">
        <f t="shared" si="37"/>
        <v>0</v>
      </c>
      <c r="P29" s="35"/>
      <c r="Q29" s="35"/>
      <c r="R29" s="35"/>
      <c r="S29" s="35"/>
    </row>
    <row r="30" spans="1:19" x14ac:dyDescent="0.2">
      <c r="A30" s="128">
        <v>3121</v>
      </c>
      <c r="B30" s="129" t="s">
        <v>7</v>
      </c>
      <c r="C30" s="103">
        <f>24553000+2058000</f>
        <v>26611000</v>
      </c>
      <c r="D30" s="104"/>
      <c r="E30" s="104">
        <v>32411000</v>
      </c>
      <c r="F30" s="130">
        <f>24686000+2058000</f>
        <v>26744000</v>
      </c>
      <c r="G30" s="130">
        <f>24819000+2058000</f>
        <v>26877000</v>
      </c>
      <c r="H30" s="186">
        <f>34400000-1000000-1000000+5000000</f>
        <v>37400000</v>
      </c>
      <c r="I30" s="186">
        <f>34400000+5000000</f>
        <v>39400000</v>
      </c>
      <c r="J30" s="186">
        <f>34400000+5000000</f>
        <v>39400000</v>
      </c>
      <c r="K30" s="105">
        <f t="shared" ref="K30" si="38">H30-E30</f>
        <v>4989000</v>
      </c>
      <c r="L30" s="104"/>
      <c r="M30" s="105">
        <f t="shared" ref="M30" si="39">H30-F30</f>
        <v>10656000</v>
      </c>
      <c r="N30" s="105">
        <f t="shared" si="36"/>
        <v>12523000</v>
      </c>
      <c r="O30" s="130"/>
      <c r="P30" s="131" t="s">
        <v>437</v>
      </c>
      <c r="Q30" s="35"/>
      <c r="R30" s="35"/>
      <c r="S30" s="35"/>
    </row>
    <row r="31" spans="1:19" x14ac:dyDescent="0.2">
      <c r="A31" s="125">
        <v>313</v>
      </c>
      <c r="B31" s="126" t="s">
        <v>451</v>
      </c>
      <c r="C31" s="97">
        <f t="shared" ref="C31:F31" si="40">SUM(C32:C34)</f>
        <v>111351000</v>
      </c>
      <c r="D31" s="98"/>
      <c r="E31" s="98">
        <f t="shared" ref="E31" si="41">SUM(E32:E34)</f>
        <v>114351000</v>
      </c>
      <c r="F31" s="127">
        <f t="shared" si="40"/>
        <v>112115000</v>
      </c>
      <c r="G31" s="127">
        <f t="shared" ref="G31:H31" si="42">SUM(G32:G34)</f>
        <v>112744000</v>
      </c>
      <c r="H31" s="127">
        <f t="shared" si="42"/>
        <v>140973000</v>
      </c>
      <c r="I31" s="127">
        <f t="shared" ref="I31:J31" si="43">SUM(I32:I34)</f>
        <v>143240000</v>
      </c>
      <c r="J31" s="127">
        <f t="shared" si="43"/>
        <v>144509000</v>
      </c>
      <c r="K31" s="127">
        <f t="shared" ref="K31" si="44">SUM(K32:K34)</f>
        <v>26622000</v>
      </c>
      <c r="L31" s="100"/>
      <c r="M31" s="127">
        <f t="shared" ref="M31:O31" si="45">SUM(M32:M34)</f>
        <v>28858000</v>
      </c>
      <c r="N31" s="127">
        <f t="shared" ref="N31" si="46">SUM(N32:N34)</f>
        <v>30496000</v>
      </c>
      <c r="O31" s="127">
        <f t="shared" si="45"/>
        <v>0</v>
      </c>
      <c r="P31" s="35"/>
      <c r="Q31" s="35"/>
      <c r="R31" s="35"/>
      <c r="S31" s="35"/>
    </row>
    <row r="32" spans="1:19" x14ac:dyDescent="0.2">
      <c r="A32" s="128">
        <v>3131</v>
      </c>
      <c r="B32" s="129" t="s">
        <v>9</v>
      </c>
      <c r="C32" s="103">
        <f>30526000+2500000+2800000</f>
        <v>35826000</v>
      </c>
      <c r="D32" s="104"/>
      <c r="E32" s="104">
        <f>30526000+2500000+2800000</f>
        <v>35826000</v>
      </c>
      <c r="F32" s="130">
        <f>30792000+2550000+2800000</f>
        <v>36142000</v>
      </c>
      <c r="G32" s="130">
        <f>30990000+2600000+2800000</f>
        <v>36390000</v>
      </c>
      <c r="H32" s="186">
        <f>34610000+10000000</f>
        <v>44610000</v>
      </c>
      <c r="I32" s="186">
        <f>34787000+10200000</f>
        <v>44987000</v>
      </c>
      <c r="J32" s="186">
        <f>34964000+10400000</f>
        <v>45364000</v>
      </c>
      <c r="K32" s="105">
        <f t="shared" ref="K32:K33" si="47">H32-E32</f>
        <v>8784000</v>
      </c>
      <c r="L32" s="104"/>
      <c r="M32" s="105">
        <f t="shared" ref="M32:M33" si="48">H32-F32</f>
        <v>8468000</v>
      </c>
      <c r="N32" s="105">
        <f t="shared" si="36"/>
        <v>8597000</v>
      </c>
      <c r="O32" s="130"/>
      <c r="P32" s="131" t="s">
        <v>437</v>
      </c>
      <c r="Q32" s="35"/>
      <c r="R32" s="35"/>
      <c r="S32" s="35"/>
    </row>
    <row r="33" spans="1:19" x14ac:dyDescent="0.2">
      <c r="A33" s="128">
        <v>3132</v>
      </c>
      <c r="B33" s="129" t="s">
        <v>10</v>
      </c>
      <c r="C33" s="103">
        <f>67025000+4000000+4500000</f>
        <v>75525000</v>
      </c>
      <c r="D33" s="104"/>
      <c r="E33" s="104">
        <v>78515000</v>
      </c>
      <c r="F33" s="130">
        <f>67423000+4050000+4500000</f>
        <v>75973000</v>
      </c>
      <c r="G33" s="130">
        <f>67754000+4100000+4500000</f>
        <v>76354000</v>
      </c>
      <c r="H33" s="186">
        <f>77363000-1000000+20000000</f>
        <v>96363000</v>
      </c>
      <c r="I33" s="186">
        <f>77753000+20500000</f>
        <v>98253000</v>
      </c>
      <c r="J33" s="186">
        <f>78145000+21000000</f>
        <v>99145000</v>
      </c>
      <c r="K33" s="105">
        <f t="shared" si="47"/>
        <v>17848000</v>
      </c>
      <c r="L33" s="104"/>
      <c r="M33" s="105">
        <f t="shared" si="48"/>
        <v>20390000</v>
      </c>
      <c r="N33" s="105">
        <f t="shared" si="36"/>
        <v>21899000</v>
      </c>
      <c r="O33" s="130"/>
      <c r="P33" s="131" t="s">
        <v>437</v>
      </c>
      <c r="Q33" s="35"/>
      <c r="R33" s="35"/>
      <c r="S33" s="35"/>
    </row>
    <row r="34" spans="1:19" x14ac:dyDescent="0.2">
      <c r="A34" s="128">
        <v>3133</v>
      </c>
      <c r="B34" s="129" t="s">
        <v>11</v>
      </c>
      <c r="C34" s="103"/>
      <c r="D34" s="104"/>
      <c r="E34" s="104">
        <v>10000</v>
      </c>
      <c r="F34" s="130"/>
      <c r="G34" s="130"/>
      <c r="H34" s="130"/>
      <c r="I34" s="130"/>
      <c r="J34" s="130"/>
      <c r="K34" s="105">
        <f t="shared" ref="K34" si="49">H34-E34</f>
        <v>-10000</v>
      </c>
      <c r="L34" s="104"/>
      <c r="M34" s="105">
        <f t="shared" ref="M34" si="50">H34-F34</f>
        <v>0</v>
      </c>
      <c r="N34" s="105">
        <f t="shared" ref="N34" si="51">I34-G34</f>
        <v>0</v>
      </c>
      <c r="O34" s="130"/>
      <c r="P34" s="35"/>
      <c r="Q34" s="35"/>
      <c r="R34" s="35"/>
      <c r="S34" s="35"/>
    </row>
    <row r="35" spans="1:19" s="12" customFormat="1" ht="20.25" customHeight="1" x14ac:dyDescent="0.2">
      <c r="A35" s="422" t="s">
        <v>324</v>
      </c>
      <c r="B35" s="423" t="s">
        <v>325</v>
      </c>
      <c r="C35" s="415">
        <f t="shared" ref="C35" si="52">SUM(C36,C41,C48,C57,C59)</f>
        <v>98256000</v>
      </c>
      <c r="D35" s="416"/>
      <c r="E35" s="416">
        <f t="shared" ref="E35:N35" si="53">SUM(E36,E41,E48,E57,E59)</f>
        <v>110475800</v>
      </c>
      <c r="F35" s="417">
        <f t="shared" si="53"/>
        <v>99742000</v>
      </c>
      <c r="G35" s="417">
        <f t="shared" si="53"/>
        <v>99742000</v>
      </c>
      <c r="H35" s="417">
        <f t="shared" si="53"/>
        <v>99759800</v>
      </c>
      <c r="I35" s="417">
        <f t="shared" si="53"/>
        <v>100032000</v>
      </c>
      <c r="J35" s="417">
        <f t="shared" si="53"/>
        <v>101544265</v>
      </c>
      <c r="K35" s="93">
        <f t="shared" si="53"/>
        <v>-10716000</v>
      </c>
      <c r="L35" s="94">
        <f t="shared" si="53"/>
        <v>0</v>
      </c>
      <c r="M35" s="93">
        <f t="shared" si="53"/>
        <v>17800</v>
      </c>
      <c r="N35" s="93">
        <f t="shared" si="53"/>
        <v>290000</v>
      </c>
      <c r="O35" s="93">
        <f t="shared" ref="O35" si="54">SUM(O36,O41,O48,O57,O59)</f>
        <v>0</v>
      </c>
      <c r="P35" s="132" t="s">
        <v>420</v>
      </c>
      <c r="Q35" s="132"/>
      <c r="R35" s="132"/>
      <c r="S35" s="132"/>
    </row>
    <row r="36" spans="1:19" x14ac:dyDescent="0.2">
      <c r="A36" s="125">
        <v>321</v>
      </c>
      <c r="B36" s="126" t="s">
        <v>12</v>
      </c>
      <c r="C36" s="97">
        <f t="shared" ref="C36" si="55">SUM(C37:C40)</f>
        <v>25417000</v>
      </c>
      <c r="D36" s="98"/>
      <c r="E36" s="98">
        <f t="shared" ref="E36:N36" si="56">SUM(E37:E40)</f>
        <v>28417000</v>
      </c>
      <c r="F36" s="127">
        <f t="shared" si="56"/>
        <v>25417000</v>
      </c>
      <c r="G36" s="127">
        <f t="shared" si="56"/>
        <v>25417000</v>
      </c>
      <c r="H36" s="127">
        <f t="shared" si="56"/>
        <v>24597000</v>
      </c>
      <c r="I36" s="127">
        <f t="shared" si="56"/>
        <v>24310000</v>
      </c>
      <c r="J36" s="127">
        <f t="shared" si="56"/>
        <v>25510000</v>
      </c>
      <c r="K36" s="127">
        <f t="shared" si="56"/>
        <v>-3820000</v>
      </c>
      <c r="L36" s="100">
        <f t="shared" si="56"/>
        <v>0</v>
      </c>
      <c r="M36" s="127">
        <f t="shared" si="56"/>
        <v>-820000</v>
      </c>
      <c r="N36" s="127">
        <f t="shared" si="56"/>
        <v>-1107000</v>
      </c>
      <c r="O36" s="127">
        <f t="shared" ref="O36" si="57">SUM(O37:O40)</f>
        <v>0</v>
      </c>
      <c r="P36" s="35"/>
      <c r="Q36" s="35"/>
      <c r="R36" s="35"/>
      <c r="S36" s="35"/>
    </row>
    <row r="37" spans="1:19" x14ac:dyDescent="0.2">
      <c r="A37" s="128">
        <v>3211</v>
      </c>
      <c r="B37" s="129" t="s">
        <v>13</v>
      </c>
      <c r="C37" s="103">
        <v>3318000</v>
      </c>
      <c r="D37" s="104"/>
      <c r="E37" s="130">
        <v>4818000</v>
      </c>
      <c r="F37" s="130">
        <v>3318000</v>
      </c>
      <c r="G37" s="130">
        <v>3318000</v>
      </c>
      <c r="H37" s="130">
        <v>4818000</v>
      </c>
      <c r="I37" s="130">
        <v>3600000</v>
      </c>
      <c r="J37" s="130">
        <v>3600000</v>
      </c>
      <c r="K37" s="105">
        <f t="shared" ref="K37:K40" si="58">H37-E37</f>
        <v>0</v>
      </c>
      <c r="L37" s="104"/>
      <c r="M37" s="105">
        <f t="shared" ref="M37:N40" si="59">H37-F37</f>
        <v>1500000</v>
      </c>
      <c r="N37" s="105">
        <f t="shared" si="59"/>
        <v>282000</v>
      </c>
      <c r="O37" s="130"/>
      <c r="P37" s="35"/>
      <c r="Q37" s="35"/>
      <c r="R37" s="35"/>
      <c r="S37" s="35"/>
    </row>
    <row r="38" spans="1:19" x14ac:dyDescent="0.2">
      <c r="A38" s="128">
        <v>3212</v>
      </c>
      <c r="B38" s="129" t="s">
        <v>14</v>
      </c>
      <c r="C38" s="103">
        <v>19908000</v>
      </c>
      <c r="D38" s="104"/>
      <c r="E38" s="130">
        <v>21408000</v>
      </c>
      <c r="F38" s="130">
        <v>19908000</v>
      </c>
      <c r="G38" s="130">
        <v>19908000</v>
      </c>
      <c r="H38" s="186">
        <f>21408000-3000000-820000</f>
        <v>17588000</v>
      </c>
      <c r="I38" s="130">
        <f>22000000-3500000</f>
        <v>18500000</v>
      </c>
      <c r="J38" s="130">
        <f>22000000-3000000</f>
        <v>19000000</v>
      </c>
      <c r="K38" s="105">
        <f t="shared" si="58"/>
        <v>-3820000</v>
      </c>
      <c r="L38" s="104"/>
      <c r="M38" s="105">
        <f t="shared" si="59"/>
        <v>-2320000</v>
      </c>
      <c r="N38" s="105">
        <f t="shared" si="59"/>
        <v>-1408000</v>
      </c>
      <c r="O38" s="130"/>
      <c r="P38" s="131" t="s">
        <v>443</v>
      </c>
      <c r="Q38" s="35"/>
      <c r="R38" s="35"/>
      <c r="S38" s="35"/>
    </row>
    <row r="39" spans="1:19" x14ac:dyDescent="0.2">
      <c r="A39" s="128">
        <v>3213</v>
      </c>
      <c r="B39" s="129" t="s">
        <v>15</v>
      </c>
      <c r="C39" s="103">
        <v>266000</v>
      </c>
      <c r="D39" s="104"/>
      <c r="E39" s="130">
        <v>266000</v>
      </c>
      <c r="F39" s="130">
        <v>266000</v>
      </c>
      <c r="G39" s="130">
        <v>266000</v>
      </c>
      <c r="H39" s="130">
        <v>266000</v>
      </c>
      <c r="I39" s="130">
        <v>270000</v>
      </c>
      <c r="J39" s="130">
        <v>270000</v>
      </c>
      <c r="K39" s="105">
        <f t="shared" si="58"/>
        <v>0</v>
      </c>
      <c r="L39" s="104"/>
      <c r="M39" s="105">
        <f t="shared" si="59"/>
        <v>0</v>
      </c>
      <c r="N39" s="105">
        <f t="shared" si="59"/>
        <v>4000</v>
      </c>
      <c r="O39" s="130"/>
      <c r="P39" s="35"/>
      <c r="Q39" s="35"/>
      <c r="R39" s="35"/>
      <c r="S39" s="35"/>
    </row>
    <row r="40" spans="1:19" x14ac:dyDescent="0.2">
      <c r="A40" s="133">
        <v>3214</v>
      </c>
      <c r="B40" s="102" t="s">
        <v>121</v>
      </c>
      <c r="C40" s="103">
        <v>1925000</v>
      </c>
      <c r="D40" s="104"/>
      <c r="E40" s="110">
        <v>1925000</v>
      </c>
      <c r="F40" s="110">
        <v>1925000</v>
      </c>
      <c r="G40" s="110">
        <v>1925000</v>
      </c>
      <c r="H40" s="471">
        <v>1925000</v>
      </c>
      <c r="I40" s="110">
        <f>2640000-700000</f>
        <v>1940000</v>
      </c>
      <c r="J40" s="110">
        <v>2640000</v>
      </c>
      <c r="K40" s="105">
        <f t="shared" si="58"/>
        <v>0</v>
      </c>
      <c r="L40" s="104"/>
      <c r="M40" s="105">
        <f t="shared" si="59"/>
        <v>0</v>
      </c>
      <c r="N40" s="105">
        <f t="shared" si="59"/>
        <v>15000</v>
      </c>
      <c r="O40" s="110"/>
      <c r="P40" s="35" t="s">
        <v>398</v>
      </c>
      <c r="Q40" s="35"/>
      <c r="R40" s="35"/>
      <c r="S40" s="35"/>
    </row>
    <row r="41" spans="1:19" x14ac:dyDescent="0.2">
      <c r="A41" s="125">
        <v>322</v>
      </c>
      <c r="B41" s="126" t="s">
        <v>16</v>
      </c>
      <c r="C41" s="97">
        <f t="shared" ref="C41:N41" si="60">SUM(C42:C47)</f>
        <v>29783000</v>
      </c>
      <c r="D41" s="98"/>
      <c r="E41" s="98">
        <f t="shared" si="60"/>
        <v>30083000</v>
      </c>
      <c r="F41" s="127">
        <f t="shared" si="60"/>
        <v>29783000</v>
      </c>
      <c r="G41" s="127">
        <f t="shared" si="60"/>
        <v>29783000</v>
      </c>
      <c r="H41" s="127">
        <f t="shared" si="60"/>
        <v>28083000</v>
      </c>
      <c r="I41" s="127">
        <f t="shared" si="60"/>
        <v>28113000</v>
      </c>
      <c r="J41" s="127">
        <f t="shared" si="60"/>
        <v>28425265</v>
      </c>
      <c r="K41" s="127">
        <f t="shared" si="60"/>
        <v>-2000000</v>
      </c>
      <c r="L41" s="100">
        <f t="shared" si="60"/>
        <v>0</v>
      </c>
      <c r="M41" s="127">
        <f t="shared" si="60"/>
        <v>-1700000</v>
      </c>
      <c r="N41" s="127">
        <f t="shared" si="60"/>
        <v>-1670000</v>
      </c>
      <c r="O41" s="127">
        <f t="shared" ref="O41" si="61">SUM(O42:O47)</f>
        <v>0</v>
      </c>
      <c r="P41" s="35"/>
      <c r="Q41" s="35"/>
      <c r="R41" s="35"/>
      <c r="S41" s="35"/>
    </row>
    <row r="42" spans="1:19" x14ac:dyDescent="0.2">
      <c r="A42" s="128">
        <v>3221</v>
      </c>
      <c r="B42" s="129" t="s">
        <v>17</v>
      </c>
      <c r="C42" s="103">
        <v>2389000</v>
      </c>
      <c r="D42" s="104"/>
      <c r="E42" s="105">
        <v>2689000</v>
      </c>
      <c r="F42" s="105">
        <v>2389000</v>
      </c>
      <c r="G42" s="105">
        <v>2389000</v>
      </c>
      <c r="H42" s="105">
        <v>2689000</v>
      </c>
      <c r="I42" s="105">
        <v>2700000</v>
      </c>
      <c r="J42" s="105">
        <v>2700000</v>
      </c>
      <c r="K42" s="105">
        <f t="shared" ref="K42:K47" si="62">H42-E42</f>
        <v>0</v>
      </c>
      <c r="L42" s="104"/>
      <c r="M42" s="105">
        <f t="shared" ref="M42:M47" si="63">H42-F42</f>
        <v>300000</v>
      </c>
      <c r="N42" s="105">
        <f t="shared" ref="N42:N47" si="64">I42-G42</f>
        <v>311000</v>
      </c>
      <c r="O42" s="105"/>
      <c r="P42" s="35"/>
      <c r="Q42" s="35"/>
      <c r="R42" s="35"/>
      <c r="S42" s="35"/>
    </row>
    <row r="43" spans="1:19" x14ac:dyDescent="0.2">
      <c r="A43" s="128">
        <v>3222</v>
      </c>
      <c r="B43" s="129" t="s">
        <v>18</v>
      </c>
      <c r="C43" s="103">
        <v>2256000</v>
      </c>
      <c r="D43" s="104"/>
      <c r="E43" s="105">
        <v>2256000</v>
      </c>
      <c r="F43" s="105">
        <v>2256000</v>
      </c>
      <c r="G43" s="105">
        <v>2256000</v>
      </c>
      <c r="H43" s="105">
        <v>2256000</v>
      </c>
      <c r="I43" s="105">
        <f>2500000-200000</f>
        <v>2300000</v>
      </c>
      <c r="J43" s="105">
        <v>2500000</v>
      </c>
      <c r="K43" s="105">
        <f t="shared" si="62"/>
        <v>0</v>
      </c>
      <c r="L43" s="104"/>
      <c r="M43" s="105">
        <f t="shared" si="63"/>
        <v>0</v>
      </c>
      <c r="N43" s="105">
        <f t="shared" si="64"/>
        <v>44000</v>
      </c>
      <c r="O43" s="105"/>
      <c r="P43" s="35"/>
      <c r="Q43" s="35"/>
      <c r="R43" s="35"/>
      <c r="S43" s="35"/>
    </row>
    <row r="44" spans="1:19" x14ac:dyDescent="0.2">
      <c r="A44" s="128">
        <v>3223</v>
      </c>
      <c r="B44" s="129" t="s">
        <v>19</v>
      </c>
      <c r="C44" s="103">
        <v>22563000</v>
      </c>
      <c r="D44" s="104"/>
      <c r="E44" s="130">
        <v>22563000</v>
      </c>
      <c r="F44" s="130">
        <v>22563000</v>
      </c>
      <c r="G44" s="130">
        <v>22563000</v>
      </c>
      <c r="H44" s="130">
        <f>22563000-2000000</f>
        <v>20563000</v>
      </c>
      <c r="I44" s="130">
        <f>30000000-9500000</f>
        <v>20500000</v>
      </c>
      <c r="J44" s="130">
        <f>30000000-9387735</f>
        <v>20612265</v>
      </c>
      <c r="K44" s="105">
        <f t="shared" si="62"/>
        <v>-2000000</v>
      </c>
      <c r="L44" s="104"/>
      <c r="M44" s="105">
        <f t="shared" si="63"/>
        <v>-2000000</v>
      </c>
      <c r="N44" s="105">
        <f t="shared" si="64"/>
        <v>-2063000</v>
      </c>
      <c r="O44" s="130"/>
      <c r="P44" s="35"/>
      <c r="Q44" s="35"/>
      <c r="R44" s="35"/>
      <c r="S44" s="35"/>
    </row>
    <row r="45" spans="1:19" x14ac:dyDescent="0.2">
      <c r="A45" s="128">
        <v>3224</v>
      </c>
      <c r="B45" s="129" t="s">
        <v>20</v>
      </c>
      <c r="C45" s="103">
        <v>1062000</v>
      </c>
      <c r="D45" s="104"/>
      <c r="E45" s="130">
        <v>1062000</v>
      </c>
      <c r="F45" s="130">
        <v>1062000</v>
      </c>
      <c r="G45" s="130">
        <v>1062000</v>
      </c>
      <c r="H45" s="130">
        <v>1062000</v>
      </c>
      <c r="I45" s="130">
        <v>1100000</v>
      </c>
      <c r="J45" s="130">
        <v>1100000</v>
      </c>
      <c r="K45" s="105">
        <f t="shared" si="62"/>
        <v>0</v>
      </c>
      <c r="L45" s="104"/>
      <c r="M45" s="105">
        <f t="shared" si="63"/>
        <v>0</v>
      </c>
      <c r="N45" s="105">
        <f t="shared" si="64"/>
        <v>38000</v>
      </c>
      <c r="O45" s="130"/>
      <c r="P45" s="35"/>
      <c r="Q45" s="35"/>
      <c r="R45" s="35"/>
      <c r="S45" s="35"/>
    </row>
    <row r="46" spans="1:19" x14ac:dyDescent="0.2">
      <c r="A46" s="128">
        <v>3225</v>
      </c>
      <c r="B46" s="129" t="s">
        <v>21</v>
      </c>
      <c r="C46" s="103">
        <v>1460000</v>
      </c>
      <c r="D46" s="104"/>
      <c r="E46" s="130">
        <v>1460000</v>
      </c>
      <c r="F46" s="130">
        <v>1460000</v>
      </c>
      <c r="G46" s="130">
        <v>1460000</v>
      </c>
      <c r="H46" s="130">
        <v>1460000</v>
      </c>
      <c r="I46" s="130">
        <v>1460000</v>
      </c>
      <c r="J46" s="130">
        <v>1460000</v>
      </c>
      <c r="K46" s="105">
        <f t="shared" si="62"/>
        <v>0</v>
      </c>
      <c r="L46" s="104"/>
      <c r="M46" s="105">
        <f t="shared" si="63"/>
        <v>0</v>
      </c>
      <c r="N46" s="105">
        <f t="shared" si="64"/>
        <v>0</v>
      </c>
      <c r="O46" s="130"/>
      <c r="P46" s="35"/>
      <c r="Q46" s="35"/>
      <c r="R46" s="35"/>
      <c r="S46" s="35"/>
    </row>
    <row r="47" spans="1:19" x14ac:dyDescent="0.2">
      <c r="A47" s="128">
        <v>3227</v>
      </c>
      <c r="B47" s="129" t="s">
        <v>22</v>
      </c>
      <c r="C47" s="103">
        <v>53000</v>
      </c>
      <c r="D47" s="104"/>
      <c r="E47" s="130">
        <v>53000</v>
      </c>
      <c r="F47" s="130">
        <v>53000</v>
      </c>
      <c r="G47" s="130">
        <v>53000</v>
      </c>
      <c r="H47" s="130">
        <v>53000</v>
      </c>
      <c r="I47" s="130">
        <v>53000</v>
      </c>
      <c r="J47" s="130">
        <v>53000</v>
      </c>
      <c r="K47" s="105">
        <f t="shared" si="62"/>
        <v>0</v>
      </c>
      <c r="L47" s="104"/>
      <c r="M47" s="105">
        <f t="shared" si="63"/>
        <v>0</v>
      </c>
      <c r="N47" s="105">
        <f t="shared" si="64"/>
        <v>0</v>
      </c>
      <c r="O47" s="130"/>
      <c r="P47" s="35"/>
      <c r="Q47" s="35"/>
      <c r="R47" s="35"/>
      <c r="S47" s="35"/>
    </row>
    <row r="48" spans="1:19" x14ac:dyDescent="0.2">
      <c r="A48" s="125">
        <v>323</v>
      </c>
      <c r="B48" s="126" t="s">
        <v>23</v>
      </c>
      <c r="C48" s="97">
        <f t="shared" ref="C48:N48" si="65">SUM(C49:C56)</f>
        <v>39592000</v>
      </c>
      <c r="D48" s="98"/>
      <c r="E48" s="98">
        <f t="shared" si="65"/>
        <v>48511800</v>
      </c>
      <c r="F48" s="127">
        <f t="shared" si="65"/>
        <v>41078000</v>
      </c>
      <c r="G48" s="127">
        <f t="shared" si="65"/>
        <v>41078000</v>
      </c>
      <c r="H48" s="127">
        <f t="shared" si="65"/>
        <v>43615800</v>
      </c>
      <c r="I48" s="127">
        <f t="shared" si="65"/>
        <v>43749000</v>
      </c>
      <c r="J48" s="127">
        <f t="shared" si="65"/>
        <v>43749000</v>
      </c>
      <c r="K48" s="127">
        <f t="shared" si="65"/>
        <v>-4896000</v>
      </c>
      <c r="L48" s="100">
        <f t="shared" si="65"/>
        <v>0</v>
      </c>
      <c r="M48" s="127">
        <f t="shared" si="65"/>
        <v>2537800</v>
      </c>
      <c r="N48" s="127">
        <f t="shared" si="65"/>
        <v>2671000</v>
      </c>
      <c r="O48" s="127">
        <f t="shared" ref="O48" si="66">SUM(O49:O56)</f>
        <v>0</v>
      </c>
      <c r="P48" s="35"/>
      <c r="Q48" s="35"/>
      <c r="R48" s="35"/>
      <c r="S48" s="35"/>
    </row>
    <row r="49" spans="1:19" x14ac:dyDescent="0.2">
      <c r="A49" s="128">
        <v>3231</v>
      </c>
      <c r="B49" s="129" t="s">
        <v>24</v>
      </c>
      <c r="C49" s="103">
        <v>6371000</v>
      </c>
      <c r="D49" s="104"/>
      <c r="E49" s="130">
        <v>9371000</v>
      </c>
      <c r="F49" s="130">
        <v>6636000</v>
      </c>
      <c r="G49" s="130">
        <v>6636000</v>
      </c>
      <c r="H49" s="130">
        <v>9371000</v>
      </c>
      <c r="I49" s="130">
        <v>9000000</v>
      </c>
      <c r="J49" s="130">
        <v>9000000</v>
      </c>
      <c r="K49" s="105">
        <f t="shared" ref="K49:K56" si="67">H49-E49</f>
        <v>0</v>
      </c>
      <c r="L49" s="104"/>
      <c r="M49" s="105">
        <f t="shared" ref="M49:N56" si="68">H49-F49</f>
        <v>2735000</v>
      </c>
      <c r="N49" s="105">
        <f t="shared" si="68"/>
        <v>2364000</v>
      </c>
      <c r="O49" s="130"/>
      <c r="P49" s="35"/>
      <c r="Q49" s="35"/>
      <c r="R49" s="35"/>
      <c r="S49" s="35"/>
    </row>
    <row r="50" spans="1:19" x14ac:dyDescent="0.2">
      <c r="A50" s="128">
        <v>3232</v>
      </c>
      <c r="B50" s="129" t="s">
        <v>25</v>
      </c>
      <c r="C50" s="103">
        <v>11122000</v>
      </c>
      <c r="D50" s="104"/>
      <c r="E50" s="134">
        <v>14118000</v>
      </c>
      <c r="F50" s="130">
        <v>11547000</v>
      </c>
      <c r="G50" s="130">
        <v>11547000</v>
      </c>
      <c r="H50" s="130">
        <f>13222000-2000000</f>
        <v>11222000</v>
      </c>
      <c r="I50" s="130">
        <f>13000000-2000000</f>
        <v>11000000</v>
      </c>
      <c r="J50" s="130">
        <f>13000000-2000000</f>
        <v>11000000</v>
      </c>
      <c r="K50" s="105">
        <f t="shared" si="67"/>
        <v>-2896000</v>
      </c>
      <c r="L50" s="104"/>
      <c r="M50" s="105">
        <f t="shared" si="68"/>
        <v>-325000</v>
      </c>
      <c r="N50" s="105">
        <f t="shared" si="68"/>
        <v>-547000</v>
      </c>
      <c r="O50" s="130"/>
      <c r="P50" s="35"/>
      <c r="Q50" s="35"/>
      <c r="R50" s="35"/>
      <c r="S50" s="35"/>
    </row>
    <row r="51" spans="1:19" x14ac:dyDescent="0.2">
      <c r="A51" s="128">
        <v>3233</v>
      </c>
      <c r="B51" s="129" t="s">
        <v>26</v>
      </c>
      <c r="C51" s="103">
        <v>200000</v>
      </c>
      <c r="D51" s="104"/>
      <c r="E51" s="130">
        <v>200000</v>
      </c>
      <c r="F51" s="130">
        <v>200000</v>
      </c>
      <c r="G51" s="130">
        <v>200000</v>
      </c>
      <c r="H51" s="130">
        <v>200000</v>
      </c>
      <c r="I51" s="130">
        <v>300000</v>
      </c>
      <c r="J51" s="130">
        <v>300000</v>
      </c>
      <c r="K51" s="105">
        <f t="shared" si="67"/>
        <v>0</v>
      </c>
      <c r="L51" s="104"/>
      <c r="M51" s="105">
        <f t="shared" si="68"/>
        <v>0</v>
      </c>
      <c r="N51" s="105">
        <f t="shared" si="68"/>
        <v>100000</v>
      </c>
      <c r="O51" s="130"/>
      <c r="P51" s="35"/>
      <c r="Q51" s="35"/>
      <c r="R51" s="35"/>
      <c r="S51" s="35"/>
    </row>
    <row r="52" spans="1:19" x14ac:dyDescent="0.2">
      <c r="A52" s="128">
        <v>3234</v>
      </c>
      <c r="B52" s="129" t="s">
        <v>27</v>
      </c>
      <c r="C52" s="103">
        <v>3716000</v>
      </c>
      <c r="D52" s="104"/>
      <c r="E52" s="130">
        <v>3716000</v>
      </c>
      <c r="F52" s="130">
        <v>3849000</v>
      </c>
      <c r="G52" s="130">
        <v>3849000</v>
      </c>
      <c r="H52" s="130">
        <v>3716000</v>
      </c>
      <c r="I52" s="130">
        <v>3849000</v>
      </c>
      <c r="J52" s="130">
        <v>3849000</v>
      </c>
      <c r="K52" s="105">
        <f t="shared" si="67"/>
        <v>0</v>
      </c>
      <c r="L52" s="104"/>
      <c r="M52" s="105">
        <f t="shared" si="68"/>
        <v>-133000</v>
      </c>
      <c r="N52" s="105">
        <f t="shared" si="68"/>
        <v>0</v>
      </c>
      <c r="O52" s="130"/>
      <c r="P52" s="35"/>
      <c r="Q52" s="35"/>
      <c r="R52" s="35"/>
      <c r="S52" s="35"/>
    </row>
    <row r="53" spans="1:19" x14ac:dyDescent="0.2">
      <c r="A53" s="128">
        <v>3235</v>
      </c>
      <c r="B53" s="129" t="s">
        <v>28</v>
      </c>
      <c r="C53" s="103">
        <v>8627000</v>
      </c>
      <c r="D53" s="104"/>
      <c r="E53" s="130">
        <v>8627000</v>
      </c>
      <c r="F53" s="130">
        <v>9290000</v>
      </c>
      <c r="G53" s="130">
        <v>9290000</v>
      </c>
      <c r="H53" s="130">
        <f>8627000-1000000</f>
        <v>7627000</v>
      </c>
      <c r="I53" s="130">
        <f>10600000-3000000</f>
        <v>7600000</v>
      </c>
      <c r="J53" s="130">
        <f>10600000-3000000</f>
        <v>7600000</v>
      </c>
      <c r="K53" s="105">
        <f t="shared" si="67"/>
        <v>-1000000</v>
      </c>
      <c r="L53" s="104"/>
      <c r="M53" s="105">
        <f t="shared" si="68"/>
        <v>-1663000</v>
      </c>
      <c r="N53" s="105">
        <f t="shared" si="68"/>
        <v>-1690000</v>
      </c>
      <c r="O53" s="130"/>
      <c r="P53" s="35"/>
      <c r="Q53" s="35"/>
      <c r="R53" s="35"/>
      <c r="S53" s="35"/>
    </row>
    <row r="54" spans="1:19" x14ac:dyDescent="0.2">
      <c r="A54" s="128">
        <v>3236</v>
      </c>
      <c r="B54" s="129" t="s">
        <v>29</v>
      </c>
      <c r="C54" s="103">
        <v>1991000</v>
      </c>
      <c r="D54" s="104"/>
      <c r="E54" s="105">
        <v>1991000</v>
      </c>
      <c r="F54" s="105">
        <v>1991000</v>
      </c>
      <c r="G54" s="105">
        <v>1991000</v>
      </c>
      <c r="H54" s="472">
        <v>1991000</v>
      </c>
      <c r="I54" s="105">
        <v>2500000</v>
      </c>
      <c r="J54" s="105">
        <v>2500000</v>
      </c>
      <c r="K54" s="105">
        <f t="shared" si="67"/>
        <v>0</v>
      </c>
      <c r="L54" s="104"/>
      <c r="M54" s="105">
        <f t="shared" si="68"/>
        <v>0</v>
      </c>
      <c r="N54" s="105">
        <f t="shared" si="68"/>
        <v>509000</v>
      </c>
      <c r="O54" s="105"/>
      <c r="P54" s="35" t="s">
        <v>394</v>
      </c>
      <c r="Q54" s="35"/>
      <c r="R54" s="35"/>
      <c r="S54" s="35"/>
    </row>
    <row r="55" spans="1:19" x14ac:dyDescent="0.2">
      <c r="A55" s="128">
        <v>3237</v>
      </c>
      <c r="B55" s="129" t="s">
        <v>30</v>
      </c>
      <c r="C55" s="103">
        <v>1991000</v>
      </c>
      <c r="D55" s="104"/>
      <c r="E55" s="105">
        <v>3339800</v>
      </c>
      <c r="F55" s="105">
        <v>1991000</v>
      </c>
      <c r="G55" s="105">
        <v>1991000</v>
      </c>
      <c r="H55" s="105">
        <v>3339800</v>
      </c>
      <c r="I55" s="105">
        <v>3400000</v>
      </c>
      <c r="J55" s="105">
        <v>3400000</v>
      </c>
      <c r="K55" s="105">
        <f t="shared" si="67"/>
        <v>0</v>
      </c>
      <c r="L55" s="104"/>
      <c r="M55" s="105">
        <f t="shared" si="68"/>
        <v>1348800</v>
      </c>
      <c r="N55" s="105">
        <f t="shared" si="68"/>
        <v>1409000</v>
      </c>
      <c r="O55" s="105"/>
      <c r="P55" s="35"/>
      <c r="Q55" s="35"/>
      <c r="R55" s="35"/>
      <c r="S55" s="35"/>
    </row>
    <row r="56" spans="1:19" x14ac:dyDescent="0.2">
      <c r="A56" s="128">
        <v>3239</v>
      </c>
      <c r="B56" s="129" t="s">
        <v>31</v>
      </c>
      <c r="C56" s="103">
        <v>5574000</v>
      </c>
      <c r="D56" s="104"/>
      <c r="E56" s="130">
        <v>7149000</v>
      </c>
      <c r="F56" s="130">
        <v>5574000</v>
      </c>
      <c r="G56" s="130">
        <v>5574000</v>
      </c>
      <c r="H56" s="130">
        <f>7149000-1000000</f>
        <v>6149000</v>
      </c>
      <c r="I56" s="130">
        <f>7600000-1500000</f>
        <v>6100000</v>
      </c>
      <c r="J56" s="130">
        <f>7600000-1500000</f>
        <v>6100000</v>
      </c>
      <c r="K56" s="105">
        <f t="shared" si="67"/>
        <v>-1000000</v>
      </c>
      <c r="L56" s="104"/>
      <c r="M56" s="105">
        <f t="shared" si="68"/>
        <v>575000</v>
      </c>
      <c r="N56" s="105">
        <f t="shared" si="68"/>
        <v>526000</v>
      </c>
      <c r="O56" s="130"/>
      <c r="P56" s="35"/>
      <c r="Q56" s="35"/>
      <c r="R56" s="35"/>
      <c r="S56" s="35"/>
    </row>
    <row r="57" spans="1:19" x14ac:dyDescent="0.2">
      <c r="A57" s="125">
        <v>324</v>
      </c>
      <c r="B57" s="126" t="s">
        <v>32</v>
      </c>
      <c r="C57" s="97">
        <f t="shared" ref="C57:O57" si="69">SUM(C58)</f>
        <v>53000</v>
      </c>
      <c r="D57" s="98"/>
      <c r="E57" s="98">
        <f t="shared" si="69"/>
        <v>53000</v>
      </c>
      <c r="F57" s="127">
        <f t="shared" si="69"/>
        <v>53000</v>
      </c>
      <c r="G57" s="127">
        <f t="shared" si="69"/>
        <v>53000</v>
      </c>
      <c r="H57" s="127">
        <f t="shared" si="69"/>
        <v>53000</v>
      </c>
      <c r="I57" s="127">
        <f t="shared" si="69"/>
        <v>53000</v>
      </c>
      <c r="J57" s="127">
        <f t="shared" si="69"/>
        <v>53000</v>
      </c>
      <c r="K57" s="127">
        <f t="shared" si="69"/>
        <v>0</v>
      </c>
      <c r="L57" s="100"/>
      <c r="M57" s="127">
        <f t="shared" si="69"/>
        <v>0</v>
      </c>
      <c r="N57" s="127">
        <f t="shared" si="69"/>
        <v>0</v>
      </c>
      <c r="O57" s="127">
        <f t="shared" si="69"/>
        <v>0</v>
      </c>
      <c r="P57" s="35"/>
      <c r="Q57" s="35"/>
      <c r="R57" s="35"/>
      <c r="S57" s="35"/>
    </row>
    <row r="58" spans="1:19" x14ac:dyDescent="0.2">
      <c r="A58" s="128">
        <v>3241</v>
      </c>
      <c r="B58" s="129" t="s">
        <v>32</v>
      </c>
      <c r="C58" s="103">
        <v>53000</v>
      </c>
      <c r="D58" s="104"/>
      <c r="E58" s="104">
        <v>53000</v>
      </c>
      <c r="F58" s="130">
        <v>53000</v>
      </c>
      <c r="G58" s="130">
        <v>53000</v>
      </c>
      <c r="H58" s="130">
        <v>53000</v>
      </c>
      <c r="I58" s="130">
        <v>53000</v>
      </c>
      <c r="J58" s="130">
        <v>53000</v>
      </c>
      <c r="K58" s="105">
        <f t="shared" ref="K58" si="70">H58-E58</f>
        <v>0</v>
      </c>
      <c r="L58" s="104"/>
      <c r="M58" s="105">
        <f>H58-F58</f>
        <v>0</v>
      </c>
      <c r="N58" s="105">
        <f>I58-G58</f>
        <v>0</v>
      </c>
      <c r="O58" s="130"/>
      <c r="P58" s="35"/>
      <c r="Q58" s="35"/>
      <c r="R58" s="35"/>
      <c r="S58" s="35"/>
    </row>
    <row r="59" spans="1:19" x14ac:dyDescent="0.2">
      <c r="A59" s="125">
        <v>329</v>
      </c>
      <c r="B59" s="126" t="s">
        <v>33</v>
      </c>
      <c r="C59" s="97">
        <f t="shared" ref="C59:N59" si="71">SUM(C60:C66)</f>
        <v>3411000</v>
      </c>
      <c r="D59" s="98"/>
      <c r="E59" s="98">
        <f t="shared" si="71"/>
        <v>3411000</v>
      </c>
      <c r="F59" s="127">
        <f t="shared" si="71"/>
        <v>3411000</v>
      </c>
      <c r="G59" s="127">
        <f t="shared" si="71"/>
        <v>3411000</v>
      </c>
      <c r="H59" s="127">
        <f t="shared" si="71"/>
        <v>3411000</v>
      </c>
      <c r="I59" s="127">
        <f t="shared" si="71"/>
        <v>3807000</v>
      </c>
      <c r="J59" s="127">
        <f t="shared" si="71"/>
        <v>3807000</v>
      </c>
      <c r="K59" s="127">
        <f t="shared" si="71"/>
        <v>0</v>
      </c>
      <c r="L59" s="100">
        <f t="shared" si="71"/>
        <v>0</v>
      </c>
      <c r="M59" s="127">
        <f t="shared" si="71"/>
        <v>0</v>
      </c>
      <c r="N59" s="127">
        <f t="shared" si="71"/>
        <v>396000</v>
      </c>
      <c r="O59" s="127">
        <f t="shared" ref="O59" si="72">SUM(O60:O66)</f>
        <v>0</v>
      </c>
      <c r="P59" s="35"/>
      <c r="Q59" s="35"/>
      <c r="R59" s="35"/>
      <c r="S59" s="35"/>
    </row>
    <row r="60" spans="1:19" ht="25.5" x14ac:dyDescent="0.2">
      <c r="A60" s="128">
        <v>3291</v>
      </c>
      <c r="B60" s="129" t="s">
        <v>34</v>
      </c>
      <c r="C60" s="103">
        <v>133000</v>
      </c>
      <c r="D60" s="104"/>
      <c r="E60" s="104">
        <v>133000</v>
      </c>
      <c r="F60" s="130">
        <v>133000</v>
      </c>
      <c r="G60" s="130">
        <v>133000</v>
      </c>
      <c r="H60" s="130">
        <v>133000</v>
      </c>
      <c r="I60" s="130">
        <v>133000</v>
      </c>
      <c r="J60" s="130">
        <v>133000</v>
      </c>
      <c r="K60" s="105">
        <f t="shared" ref="K60:K66" si="73">H60-E60</f>
        <v>0</v>
      </c>
      <c r="L60" s="104"/>
      <c r="M60" s="105">
        <f t="shared" ref="M60:M66" si="74">H60-F60</f>
        <v>0</v>
      </c>
      <c r="N60" s="105">
        <f t="shared" ref="N60:N66" si="75">I60-G60</f>
        <v>0</v>
      </c>
      <c r="O60" s="130"/>
      <c r="P60" s="35"/>
      <c r="Q60" s="35"/>
      <c r="R60" s="35"/>
      <c r="S60" s="35"/>
    </row>
    <row r="61" spans="1:19" x14ac:dyDescent="0.2">
      <c r="A61" s="128">
        <v>3292</v>
      </c>
      <c r="B61" s="129" t="s">
        <v>35</v>
      </c>
      <c r="C61" s="103">
        <v>1460000</v>
      </c>
      <c r="D61" s="104"/>
      <c r="E61" s="104">
        <v>1460000</v>
      </c>
      <c r="F61" s="105">
        <v>1460000</v>
      </c>
      <c r="G61" s="105">
        <v>1460000</v>
      </c>
      <c r="H61" s="105">
        <v>1460000</v>
      </c>
      <c r="I61" s="105">
        <v>1460000</v>
      </c>
      <c r="J61" s="105">
        <v>1460000</v>
      </c>
      <c r="K61" s="105">
        <f t="shared" si="73"/>
        <v>0</v>
      </c>
      <c r="L61" s="104"/>
      <c r="M61" s="105">
        <f t="shared" si="74"/>
        <v>0</v>
      </c>
      <c r="N61" s="105">
        <f t="shared" si="75"/>
        <v>0</v>
      </c>
      <c r="O61" s="105"/>
      <c r="P61" s="35"/>
      <c r="Q61" s="35"/>
      <c r="R61" s="35"/>
      <c r="S61" s="35"/>
    </row>
    <row r="62" spans="1:19" x14ac:dyDescent="0.2">
      <c r="A62" s="135">
        <v>3293</v>
      </c>
      <c r="B62" s="136" t="s">
        <v>36</v>
      </c>
      <c r="C62" s="103">
        <v>93000</v>
      </c>
      <c r="D62" s="104"/>
      <c r="E62" s="104">
        <v>93000</v>
      </c>
      <c r="F62" s="105">
        <v>93000</v>
      </c>
      <c r="G62" s="105">
        <v>93000</v>
      </c>
      <c r="H62" s="105">
        <v>93000</v>
      </c>
      <c r="I62" s="105">
        <v>100000</v>
      </c>
      <c r="J62" s="105">
        <v>100000</v>
      </c>
      <c r="K62" s="105">
        <f t="shared" si="73"/>
        <v>0</v>
      </c>
      <c r="L62" s="104"/>
      <c r="M62" s="105">
        <f t="shared" si="74"/>
        <v>0</v>
      </c>
      <c r="N62" s="105">
        <f t="shared" si="75"/>
        <v>7000</v>
      </c>
      <c r="O62" s="105"/>
      <c r="P62" s="35"/>
      <c r="Q62" s="35"/>
      <c r="R62" s="35"/>
      <c r="S62" s="35"/>
    </row>
    <row r="63" spans="1:19" x14ac:dyDescent="0.2">
      <c r="A63" s="128">
        <v>3294</v>
      </c>
      <c r="B63" s="129" t="s">
        <v>37</v>
      </c>
      <c r="C63" s="137">
        <v>955000</v>
      </c>
      <c r="D63" s="138"/>
      <c r="E63" s="138">
        <v>955000</v>
      </c>
      <c r="F63" s="139">
        <v>955000</v>
      </c>
      <c r="G63" s="139">
        <v>955000</v>
      </c>
      <c r="H63" s="139">
        <v>955000</v>
      </c>
      <c r="I63" s="139">
        <v>1000000</v>
      </c>
      <c r="J63" s="139">
        <v>1000000</v>
      </c>
      <c r="K63" s="105">
        <f t="shared" si="73"/>
        <v>0</v>
      </c>
      <c r="L63" s="104"/>
      <c r="M63" s="105">
        <f t="shared" si="74"/>
        <v>0</v>
      </c>
      <c r="N63" s="105">
        <f t="shared" si="75"/>
        <v>45000</v>
      </c>
      <c r="O63" s="139"/>
      <c r="P63" s="35"/>
      <c r="Q63" s="35"/>
      <c r="R63" s="35"/>
      <c r="S63" s="35"/>
    </row>
    <row r="64" spans="1:19" x14ac:dyDescent="0.2">
      <c r="A64" s="128">
        <v>3295</v>
      </c>
      <c r="B64" s="129" t="s">
        <v>38</v>
      </c>
      <c r="C64" s="103">
        <v>14000</v>
      </c>
      <c r="D64" s="104"/>
      <c r="E64" s="104">
        <v>14000</v>
      </c>
      <c r="F64" s="105">
        <v>14000</v>
      </c>
      <c r="G64" s="105">
        <v>14000</v>
      </c>
      <c r="H64" s="105">
        <v>14000</v>
      </c>
      <c r="I64" s="105">
        <v>14000</v>
      </c>
      <c r="J64" s="105">
        <v>14000</v>
      </c>
      <c r="K64" s="105">
        <f t="shared" si="73"/>
        <v>0</v>
      </c>
      <c r="L64" s="104"/>
      <c r="M64" s="105">
        <f t="shared" si="74"/>
        <v>0</v>
      </c>
      <c r="N64" s="105">
        <f t="shared" si="75"/>
        <v>0</v>
      </c>
      <c r="O64" s="105"/>
      <c r="P64" s="35"/>
      <c r="Q64" s="35"/>
      <c r="R64" s="35"/>
      <c r="S64" s="35"/>
    </row>
    <row r="65" spans="1:19" x14ac:dyDescent="0.2">
      <c r="A65" s="128">
        <v>3296</v>
      </c>
      <c r="B65" s="129" t="s">
        <v>39</v>
      </c>
      <c r="C65" s="103">
        <v>358000</v>
      </c>
      <c r="D65" s="104"/>
      <c r="E65" s="104">
        <v>358000</v>
      </c>
      <c r="F65" s="105">
        <v>358000</v>
      </c>
      <c r="G65" s="105">
        <v>358000</v>
      </c>
      <c r="H65" s="105">
        <v>358000</v>
      </c>
      <c r="I65" s="105">
        <v>700000</v>
      </c>
      <c r="J65" s="105">
        <v>700000</v>
      </c>
      <c r="K65" s="105">
        <f t="shared" si="73"/>
        <v>0</v>
      </c>
      <c r="L65" s="104"/>
      <c r="M65" s="105">
        <f t="shared" si="74"/>
        <v>0</v>
      </c>
      <c r="N65" s="105">
        <f t="shared" si="75"/>
        <v>342000</v>
      </c>
      <c r="O65" s="105"/>
      <c r="P65" s="35"/>
      <c r="Q65" s="35"/>
      <c r="R65" s="35"/>
      <c r="S65" s="35"/>
    </row>
    <row r="66" spans="1:19" x14ac:dyDescent="0.2">
      <c r="A66" s="128">
        <v>3299</v>
      </c>
      <c r="B66" s="129" t="s">
        <v>33</v>
      </c>
      <c r="C66" s="103">
        <v>398000</v>
      </c>
      <c r="D66" s="104"/>
      <c r="E66" s="104">
        <v>398000</v>
      </c>
      <c r="F66" s="105">
        <v>398000</v>
      </c>
      <c r="G66" s="105">
        <v>398000</v>
      </c>
      <c r="H66" s="105">
        <v>398000</v>
      </c>
      <c r="I66" s="105">
        <v>400000</v>
      </c>
      <c r="J66" s="105">
        <v>400000</v>
      </c>
      <c r="K66" s="105">
        <f t="shared" si="73"/>
        <v>0</v>
      </c>
      <c r="L66" s="104"/>
      <c r="M66" s="105">
        <f t="shared" si="74"/>
        <v>0</v>
      </c>
      <c r="N66" s="105">
        <f t="shared" si="75"/>
        <v>2000</v>
      </c>
      <c r="O66" s="105"/>
      <c r="P66" s="35"/>
      <c r="Q66" s="35"/>
      <c r="R66" s="35"/>
      <c r="S66" s="35"/>
    </row>
    <row r="67" spans="1:19" s="11" customFormat="1" x14ac:dyDescent="0.2">
      <c r="A67" s="422" t="s">
        <v>326</v>
      </c>
      <c r="B67" s="414" t="s">
        <v>327</v>
      </c>
      <c r="C67" s="415">
        <f t="shared" ref="C67:O67" si="76">SUM(C68)</f>
        <v>163000</v>
      </c>
      <c r="D67" s="416"/>
      <c r="E67" s="416">
        <f t="shared" si="76"/>
        <v>163000</v>
      </c>
      <c r="F67" s="417">
        <f t="shared" si="76"/>
        <v>163000</v>
      </c>
      <c r="G67" s="417">
        <f t="shared" si="76"/>
        <v>163000</v>
      </c>
      <c r="H67" s="417">
        <f t="shared" si="76"/>
        <v>163000</v>
      </c>
      <c r="I67" s="417">
        <f t="shared" si="76"/>
        <v>163000</v>
      </c>
      <c r="J67" s="417">
        <f>SUM(J68)</f>
        <v>163000</v>
      </c>
      <c r="K67" s="93">
        <f t="shared" si="76"/>
        <v>0</v>
      </c>
      <c r="L67" s="94"/>
      <c r="M67" s="93">
        <f t="shared" si="76"/>
        <v>0</v>
      </c>
      <c r="N67" s="93">
        <f t="shared" si="76"/>
        <v>0</v>
      </c>
      <c r="O67" s="93">
        <f t="shared" si="76"/>
        <v>0</v>
      </c>
      <c r="P67" s="88" t="s">
        <v>419</v>
      </c>
      <c r="Q67" s="50"/>
      <c r="R67" s="50"/>
      <c r="S67" s="50"/>
    </row>
    <row r="68" spans="1:19" x14ac:dyDescent="0.2">
      <c r="A68" s="125">
        <v>343</v>
      </c>
      <c r="B68" s="126" t="s">
        <v>40</v>
      </c>
      <c r="C68" s="97">
        <f t="shared" ref="C68:F68" si="77">SUM(C69:C72)</f>
        <v>163000</v>
      </c>
      <c r="D68" s="98"/>
      <c r="E68" s="98">
        <f t="shared" ref="E68" si="78">SUM(E69:E72)</f>
        <v>163000</v>
      </c>
      <c r="F68" s="127">
        <f t="shared" si="77"/>
        <v>163000</v>
      </c>
      <c r="G68" s="127">
        <f t="shared" ref="G68:H68" si="79">SUM(G69:G72)</f>
        <v>163000</v>
      </c>
      <c r="H68" s="127">
        <f t="shared" si="79"/>
        <v>163000</v>
      </c>
      <c r="I68" s="127">
        <f t="shared" ref="I68:J68" si="80">SUM(I69:I72)</f>
        <v>163000</v>
      </c>
      <c r="J68" s="127">
        <f t="shared" si="80"/>
        <v>163000</v>
      </c>
      <c r="K68" s="127">
        <f t="shared" ref="K68" si="81">SUM(K69:K72)</f>
        <v>0</v>
      </c>
      <c r="L68" s="100"/>
      <c r="M68" s="127">
        <f t="shared" ref="M68:O68" si="82">SUM(M69:M72)</f>
        <v>0</v>
      </c>
      <c r="N68" s="127">
        <f t="shared" ref="N68" si="83">SUM(N69:N72)</f>
        <v>0</v>
      </c>
      <c r="O68" s="127">
        <f t="shared" si="82"/>
        <v>0</v>
      </c>
      <c r="P68" s="35"/>
      <c r="Q68" s="35"/>
      <c r="R68" s="35"/>
      <c r="S68" s="35"/>
    </row>
    <row r="69" spans="1:19" ht="12.75" customHeight="1" x14ac:dyDescent="0.2">
      <c r="A69" s="128">
        <v>3431</v>
      </c>
      <c r="B69" s="129" t="s">
        <v>41</v>
      </c>
      <c r="C69" s="103">
        <v>40000</v>
      </c>
      <c r="D69" s="104"/>
      <c r="E69" s="104">
        <v>40000</v>
      </c>
      <c r="F69" s="130">
        <v>40000</v>
      </c>
      <c r="G69" s="130">
        <v>40000</v>
      </c>
      <c r="H69" s="130">
        <v>40000</v>
      </c>
      <c r="I69" s="130">
        <v>40000</v>
      </c>
      <c r="J69" s="130">
        <v>40000</v>
      </c>
      <c r="K69" s="105">
        <f t="shared" ref="K69:K72" si="84">H69-E69</f>
        <v>0</v>
      </c>
      <c r="L69" s="104"/>
      <c r="M69" s="105">
        <f t="shared" ref="M69:N72" si="85">H69-F69</f>
        <v>0</v>
      </c>
      <c r="N69" s="105">
        <f t="shared" si="85"/>
        <v>0</v>
      </c>
      <c r="O69" s="130"/>
      <c r="P69" s="35"/>
      <c r="Q69" s="35"/>
      <c r="R69" s="35"/>
      <c r="S69" s="35"/>
    </row>
    <row r="70" spans="1:19" ht="0.75" hidden="1" customHeight="1" x14ac:dyDescent="0.2">
      <c r="A70" s="128">
        <v>3432</v>
      </c>
      <c r="B70" s="129" t="s">
        <v>89</v>
      </c>
      <c r="C70" s="103"/>
      <c r="D70" s="104"/>
      <c r="E70" s="104"/>
      <c r="F70" s="130"/>
      <c r="G70" s="130"/>
      <c r="H70" s="130"/>
      <c r="I70" s="130"/>
      <c r="J70" s="130"/>
      <c r="K70" s="105">
        <f t="shared" si="84"/>
        <v>0</v>
      </c>
      <c r="L70" s="104"/>
      <c r="M70" s="105">
        <f t="shared" si="85"/>
        <v>0</v>
      </c>
      <c r="N70" s="105">
        <f t="shared" si="85"/>
        <v>0</v>
      </c>
      <c r="O70" s="130"/>
      <c r="P70" s="35"/>
      <c r="Q70" s="35"/>
      <c r="R70" s="35"/>
      <c r="S70" s="35"/>
    </row>
    <row r="71" spans="1:19" x14ac:dyDescent="0.2">
      <c r="A71" s="128">
        <v>3433</v>
      </c>
      <c r="B71" s="129" t="s">
        <v>42</v>
      </c>
      <c r="C71" s="103">
        <v>66000</v>
      </c>
      <c r="D71" s="104"/>
      <c r="E71" s="104">
        <v>66000</v>
      </c>
      <c r="F71" s="130">
        <v>66000</v>
      </c>
      <c r="G71" s="130">
        <v>66000</v>
      </c>
      <c r="H71" s="130">
        <v>66000</v>
      </c>
      <c r="I71" s="130">
        <v>66000</v>
      </c>
      <c r="J71" s="130">
        <v>66000</v>
      </c>
      <c r="K71" s="105">
        <f t="shared" si="84"/>
        <v>0</v>
      </c>
      <c r="L71" s="104"/>
      <c r="M71" s="105">
        <f t="shared" si="85"/>
        <v>0</v>
      </c>
      <c r="N71" s="105">
        <f t="shared" si="85"/>
        <v>0</v>
      </c>
      <c r="O71" s="130"/>
      <c r="P71" s="35"/>
      <c r="Q71" s="35"/>
      <c r="R71" s="35"/>
      <c r="S71" s="35"/>
    </row>
    <row r="72" spans="1:19" x14ac:dyDescent="0.2">
      <c r="A72" s="128">
        <v>3434</v>
      </c>
      <c r="B72" s="129" t="s">
        <v>43</v>
      </c>
      <c r="C72" s="103">
        <v>57000</v>
      </c>
      <c r="D72" s="104"/>
      <c r="E72" s="104">
        <v>57000</v>
      </c>
      <c r="F72" s="130">
        <v>57000</v>
      </c>
      <c r="G72" s="130">
        <v>57000</v>
      </c>
      <c r="H72" s="130">
        <v>57000</v>
      </c>
      <c r="I72" s="130">
        <v>57000</v>
      </c>
      <c r="J72" s="130">
        <v>57000</v>
      </c>
      <c r="K72" s="105">
        <f t="shared" si="84"/>
        <v>0</v>
      </c>
      <c r="L72" s="104"/>
      <c r="M72" s="105">
        <f t="shared" si="85"/>
        <v>0</v>
      </c>
      <c r="N72" s="105">
        <f t="shared" si="85"/>
        <v>0</v>
      </c>
      <c r="O72" s="130"/>
      <c r="P72" s="35"/>
      <c r="Q72" s="35"/>
      <c r="R72" s="35"/>
      <c r="S72" s="35"/>
    </row>
    <row r="73" spans="1:19" ht="25.5" x14ac:dyDescent="0.2">
      <c r="A73" s="422" t="s">
        <v>328</v>
      </c>
      <c r="B73" s="414" t="s">
        <v>329</v>
      </c>
      <c r="C73" s="415">
        <f t="shared" ref="C73:O73" si="86">SUM(C74)</f>
        <v>2256000</v>
      </c>
      <c r="D73" s="416"/>
      <c r="E73" s="416">
        <f t="shared" si="86"/>
        <v>2756000</v>
      </c>
      <c r="F73" s="417">
        <f t="shared" si="86"/>
        <v>2256000</v>
      </c>
      <c r="G73" s="417">
        <f t="shared" si="86"/>
        <v>2256000</v>
      </c>
      <c r="H73" s="417">
        <f t="shared" si="86"/>
        <v>2880000</v>
      </c>
      <c r="I73" s="417">
        <f t="shared" si="86"/>
        <v>2880000</v>
      </c>
      <c r="J73" s="417">
        <f t="shared" si="86"/>
        <v>2880000</v>
      </c>
      <c r="K73" s="93">
        <f t="shared" si="86"/>
        <v>124000</v>
      </c>
      <c r="L73" s="94"/>
      <c r="M73" s="93">
        <f t="shared" si="86"/>
        <v>624000</v>
      </c>
      <c r="N73" s="93">
        <f t="shared" si="86"/>
        <v>624000</v>
      </c>
      <c r="O73" s="93">
        <f t="shared" si="86"/>
        <v>0</v>
      </c>
      <c r="P73" s="88" t="s">
        <v>419</v>
      </c>
      <c r="Q73" s="35"/>
      <c r="R73" s="35"/>
      <c r="S73" s="35"/>
    </row>
    <row r="74" spans="1:19" ht="25.5" x14ac:dyDescent="0.2">
      <c r="A74" s="140">
        <v>372</v>
      </c>
      <c r="B74" s="126" t="s">
        <v>44</v>
      </c>
      <c r="C74" s="97">
        <f t="shared" ref="C74:F74" si="87">SUM(C75:C76)</f>
        <v>2256000</v>
      </c>
      <c r="D74" s="98"/>
      <c r="E74" s="98">
        <f t="shared" ref="E74" si="88">SUM(E75:E76)</f>
        <v>2756000</v>
      </c>
      <c r="F74" s="127">
        <f t="shared" si="87"/>
        <v>2256000</v>
      </c>
      <c r="G74" s="127">
        <f t="shared" ref="G74:H74" si="89">SUM(G75:G76)</f>
        <v>2256000</v>
      </c>
      <c r="H74" s="127">
        <f t="shared" si="89"/>
        <v>2880000</v>
      </c>
      <c r="I74" s="127">
        <f t="shared" ref="I74:J74" si="90">SUM(I75:I76)</f>
        <v>2880000</v>
      </c>
      <c r="J74" s="127">
        <f t="shared" si="90"/>
        <v>2880000</v>
      </c>
      <c r="K74" s="127">
        <f t="shared" ref="K74" si="91">SUM(K75:K76)</f>
        <v>124000</v>
      </c>
      <c r="L74" s="100"/>
      <c r="M74" s="127">
        <f t="shared" ref="M74:O74" si="92">SUM(M75:M76)</f>
        <v>624000</v>
      </c>
      <c r="N74" s="127">
        <f t="shared" ref="N74" si="93">SUM(N75:N76)</f>
        <v>624000</v>
      </c>
      <c r="O74" s="127">
        <f t="shared" si="92"/>
        <v>0</v>
      </c>
      <c r="P74" s="35"/>
      <c r="Q74" s="35"/>
      <c r="R74" s="35"/>
      <c r="S74" s="35"/>
    </row>
    <row r="75" spans="1:19" ht="12.75" customHeight="1" x14ac:dyDescent="0.2">
      <c r="A75" s="128">
        <v>3721</v>
      </c>
      <c r="B75" s="129" t="s">
        <v>45</v>
      </c>
      <c r="C75" s="141">
        <v>2256000</v>
      </c>
      <c r="D75" s="142"/>
      <c r="E75" s="142">
        <v>2756000</v>
      </c>
      <c r="F75" s="143">
        <v>2256000</v>
      </c>
      <c r="G75" s="143">
        <v>2256000</v>
      </c>
      <c r="H75" s="143">
        <v>2880000</v>
      </c>
      <c r="I75" s="143">
        <v>2880000</v>
      </c>
      <c r="J75" s="143">
        <v>2880000</v>
      </c>
      <c r="K75" s="105">
        <f t="shared" ref="K75" si="94">H75-E75</f>
        <v>124000</v>
      </c>
      <c r="L75" s="104"/>
      <c r="M75" s="105">
        <f>H75-F75</f>
        <v>624000</v>
      </c>
      <c r="N75" s="105">
        <f>I75-G75</f>
        <v>624000</v>
      </c>
      <c r="O75" s="143"/>
      <c r="P75" s="35"/>
      <c r="Q75" s="35"/>
      <c r="R75" s="35"/>
      <c r="S75" s="35"/>
    </row>
    <row r="76" spans="1:19" hidden="1" x14ac:dyDescent="0.2">
      <c r="A76" s="128">
        <v>3722</v>
      </c>
      <c r="B76" s="102" t="s">
        <v>209</v>
      </c>
      <c r="C76" s="141"/>
      <c r="D76" s="142"/>
      <c r="E76" s="142"/>
      <c r="F76" s="144"/>
      <c r="G76" s="144"/>
      <c r="H76" s="144"/>
      <c r="I76" s="144"/>
      <c r="J76" s="144"/>
      <c r="K76" s="144"/>
      <c r="L76" s="145"/>
      <c r="M76" s="144"/>
      <c r="N76" s="144"/>
      <c r="O76" s="144"/>
      <c r="P76" s="35"/>
      <c r="Q76" s="35"/>
      <c r="R76" s="35"/>
      <c r="S76" s="35"/>
    </row>
    <row r="77" spans="1:19" ht="15.75" customHeight="1" x14ac:dyDescent="0.2">
      <c r="A77" s="422" t="s">
        <v>320</v>
      </c>
      <c r="B77" s="414" t="s">
        <v>321</v>
      </c>
      <c r="C77" s="415">
        <f t="shared" ref="C77:G77" si="95">SUM(C78,C80)</f>
        <v>1434000</v>
      </c>
      <c r="D77" s="416"/>
      <c r="E77" s="416">
        <f t="shared" ref="E77" si="96">SUM(E78,E80)</f>
        <v>1934000</v>
      </c>
      <c r="F77" s="417">
        <f t="shared" si="95"/>
        <v>1434000</v>
      </c>
      <c r="G77" s="417">
        <f t="shared" si="95"/>
        <v>1434000</v>
      </c>
      <c r="H77" s="417">
        <f t="shared" ref="H77:I77" si="97">SUM(H78,H80)</f>
        <v>1934000</v>
      </c>
      <c r="I77" s="417">
        <f t="shared" si="97"/>
        <v>2607000</v>
      </c>
      <c r="J77" s="417">
        <f t="shared" ref="J77:K77" si="98">SUM(J78,J80)</f>
        <v>2607000</v>
      </c>
      <c r="K77" s="93">
        <f t="shared" si="98"/>
        <v>0</v>
      </c>
      <c r="L77" s="94"/>
      <c r="M77" s="93">
        <f t="shared" ref="M77:O77" si="99">SUM(M78,M80)</f>
        <v>500000</v>
      </c>
      <c r="N77" s="93">
        <f t="shared" ref="N77" si="100">SUM(N78,N80)</f>
        <v>1173000</v>
      </c>
      <c r="O77" s="93">
        <f t="shared" si="99"/>
        <v>0</v>
      </c>
      <c r="P77" s="132" t="s">
        <v>420</v>
      </c>
      <c r="Q77" s="35"/>
      <c r="R77" s="35"/>
      <c r="S77" s="35"/>
    </row>
    <row r="78" spans="1:19" x14ac:dyDescent="0.2">
      <c r="A78" s="125">
        <v>381</v>
      </c>
      <c r="B78" s="126" t="s">
        <v>46</v>
      </c>
      <c r="C78" s="97">
        <f t="shared" ref="C78:O78" si="101">SUM(C79)</f>
        <v>107000</v>
      </c>
      <c r="D78" s="98"/>
      <c r="E78" s="98">
        <f t="shared" si="101"/>
        <v>107000</v>
      </c>
      <c r="F78" s="127">
        <f t="shared" si="101"/>
        <v>107000</v>
      </c>
      <c r="G78" s="127">
        <f t="shared" si="101"/>
        <v>107000</v>
      </c>
      <c r="H78" s="127">
        <f t="shared" si="101"/>
        <v>107000</v>
      </c>
      <c r="I78" s="127">
        <f t="shared" si="101"/>
        <v>107000</v>
      </c>
      <c r="J78" s="127">
        <f t="shared" si="101"/>
        <v>107000</v>
      </c>
      <c r="K78" s="127">
        <f t="shared" si="101"/>
        <v>0</v>
      </c>
      <c r="L78" s="100"/>
      <c r="M78" s="127">
        <f t="shared" si="101"/>
        <v>0</v>
      </c>
      <c r="N78" s="127">
        <f t="shared" si="101"/>
        <v>0</v>
      </c>
      <c r="O78" s="127">
        <f t="shared" si="101"/>
        <v>0</v>
      </c>
      <c r="P78" s="35"/>
      <c r="Q78" s="35"/>
      <c r="R78" s="35"/>
      <c r="S78" s="35"/>
    </row>
    <row r="79" spans="1:19" x14ac:dyDescent="0.2">
      <c r="A79" s="128">
        <v>3811</v>
      </c>
      <c r="B79" s="129" t="s">
        <v>46</v>
      </c>
      <c r="C79" s="103">
        <v>107000</v>
      </c>
      <c r="D79" s="104"/>
      <c r="E79" s="104">
        <v>107000</v>
      </c>
      <c r="F79" s="130">
        <v>107000</v>
      </c>
      <c r="G79" s="130">
        <v>107000</v>
      </c>
      <c r="H79" s="130">
        <v>107000</v>
      </c>
      <c r="I79" s="130">
        <v>107000</v>
      </c>
      <c r="J79" s="130">
        <v>107000</v>
      </c>
      <c r="K79" s="105">
        <f t="shared" ref="K79" si="102">H79-E79</f>
        <v>0</v>
      </c>
      <c r="L79" s="104"/>
      <c r="M79" s="105">
        <f>H79-F79</f>
        <v>0</v>
      </c>
      <c r="N79" s="105">
        <f>I79-G79</f>
        <v>0</v>
      </c>
      <c r="O79" s="130"/>
      <c r="P79" s="35"/>
      <c r="Q79" s="35"/>
      <c r="R79" s="35"/>
      <c r="S79" s="35"/>
    </row>
    <row r="80" spans="1:19" ht="12" customHeight="1" x14ac:dyDescent="0.2">
      <c r="A80" s="125">
        <v>383</v>
      </c>
      <c r="B80" s="126" t="s">
        <v>47</v>
      </c>
      <c r="C80" s="97">
        <f t="shared" ref="C80:F80" si="103">SUM(C81:C83)</f>
        <v>1327000</v>
      </c>
      <c r="D80" s="98"/>
      <c r="E80" s="98">
        <f t="shared" ref="E80" si="104">SUM(E81:E83)</f>
        <v>1827000</v>
      </c>
      <c r="F80" s="127">
        <f t="shared" si="103"/>
        <v>1327000</v>
      </c>
      <c r="G80" s="127">
        <f t="shared" ref="G80:H80" si="105">SUM(G81:G83)</f>
        <v>1327000</v>
      </c>
      <c r="H80" s="127">
        <f t="shared" si="105"/>
        <v>1827000</v>
      </c>
      <c r="I80" s="127">
        <f t="shared" ref="I80:J80" si="106">SUM(I81:I83)</f>
        <v>2500000</v>
      </c>
      <c r="J80" s="127">
        <f t="shared" si="106"/>
        <v>2500000</v>
      </c>
      <c r="K80" s="127">
        <f t="shared" ref="K80" si="107">SUM(K81:K83)</f>
        <v>0</v>
      </c>
      <c r="L80" s="100"/>
      <c r="M80" s="127">
        <f t="shared" ref="M80:O80" si="108">SUM(M81:M83)</f>
        <v>500000</v>
      </c>
      <c r="N80" s="127">
        <f t="shared" ref="N80" si="109">SUM(N81:N83)</f>
        <v>1173000</v>
      </c>
      <c r="O80" s="127">
        <f t="shared" si="108"/>
        <v>0</v>
      </c>
      <c r="P80" s="35"/>
      <c r="Q80" s="35"/>
      <c r="R80" s="35"/>
      <c r="S80" s="35"/>
    </row>
    <row r="81" spans="1:19" ht="3.75" hidden="1" customHeight="1" x14ac:dyDescent="0.2">
      <c r="A81" s="128">
        <v>3831</v>
      </c>
      <c r="B81" s="129" t="s">
        <v>122</v>
      </c>
      <c r="C81" s="103"/>
      <c r="D81" s="104"/>
      <c r="E81" s="104"/>
      <c r="F81" s="130"/>
      <c r="G81" s="130"/>
      <c r="H81" s="130"/>
      <c r="I81" s="130"/>
      <c r="J81" s="130"/>
      <c r="K81" s="130"/>
      <c r="L81" s="111"/>
      <c r="M81" s="130"/>
      <c r="N81" s="130"/>
      <c r="O81" s="130"/>
      <c r="P81" s="35"/>
      <c r="Q81" s="35"/>
      <c r="R81" s="35"/>
      <c r="S81" s="35"/>
    </row>
    <row r="82" spans="1:19" hidden="1" x14ac:dyDescent="0.2">
      <c r="A82" s="133">
        <v>3833</v>
      </c>
      <c r="B82" s="102" t="s">
        <v>210</v>
      </c>
      <c r="C82" s="103"/>
      <c r="D82" s="104"/>
      <c r="E82" s="104"/>
      <c r="F82" s="110"/>
      <c r="G82" s="110"/>
      <c r="H82" s="110"/>
      <c r="I82" s="110"/>
      <c r="J82" s="110"/>
      <c r="K82" s="110"/>
      <c r="L82" s="111"/>
      <c r="M82" s="110"/>
      <c r="N82" s="110"/>
      <c r="O82" s="110"/>
      <c r="P82" s="35"/>
      <c r="Q82" s="35"/>
      <c r="R82" s="35"/>
      <c r="S82" s="35"/>
    </row>
    <row r="83" spans="1:19" x14ac:dyDescent="0.2">
      <c r="A83" s="128">
        <v>3834</v>
      </c>
      <c r="B83" s="129" t="s">
        <v>48</v>
      </c>
      <c r="C83" s="103">
        <v>1327000</v>
      </c>
      <c r="D83" s="104"/>
      <c r="E83" s="104">
        <v>1827000</v>
      </c>
      <c r="F83" s="130">
        <v>1327000</v>
      </c>
      <c r="G83" s="130">
        <v>1327000</v>
      </c>
      <c r="H83" s="130">
        <v>1827000</v>
      </c>
      <c r="I83" s="130">
        <v>2500000</v>
      </c>
      <c r="J83" s="130">
        <v>2500000</v>
      </c>
      <c r="K83" s="105">
        <f t="shared" ref="K83" si="110">H83-E83</f>
        <v>0</v>
      </c>
      <c r="L83" s="104"/>
      <c r="M83" s="105">
        <f>H83-F83</f>
        <v>500000</v>
      </c>
      <c r="N83" s="105">
        <f>I83-G83</f>
        <v>1173000</v>
      </c>
      <c r="O83" s="130"/>
      <c r="P83" s="35"/>
      <c r="Q83" s="35"/>
      <c r="R83" s="35"/>
      <c r="S83" s="35"/>
    </row>
    <row r="84" spans="1:19" ht="26.25" customHeight="1" x14ac:dyDescent="0.2">
      <c r="A84" s="112" t="s">
        <v>283</v>
      </c>
      <c r="B84" s="113" t="s">
        <v>284</v>
      </c>
      <c r="C84" s="114">
        <f t="shared" ref="C84:O84" si="111">SUM(C85)</f>
        <v>5428000</v>
      </c>
      <c r="D84" s="115"/>
      <c r="E84" s="115">
        <f t="shared" si="111"/>
        <v>3308000</v>
      </c>
      <c r="F84" s="116">
        <f t="shared" si="111"/>
        <v>8746000</v>
      </c>
      <c r="G84" s="116">
        <f t="shared" si="111"/>
        <v>5428000</v>
      </c>
      <c r="H84" s="473">
        <f t="shared" si="111"/>
        <v>3308000</v>
      </c>
      <c r="I84" s="116">
        <f t="shared" si="111"/>
        <v>2928000</v>
      </c>
      <c r="J84" s="116">
        <f t="shared" si="111"/>
        <v>8746000</v>
      </c>
      <c r="K84" s="116">
        <f t="shared" si="111"/>
        <v>0</v>
      </c>
      <c r="L84" s="117"/>
      <c r="M84" s="116">
        <f t="shared" si="111"/>
        <v>-5438000</v>
      </c>
      <c r="N84" s="116">
        <f t="shared" si="111"/>
        <v>-2500000</v>
      </c>
      <c r="O84" s="116">
        <f t="shared" si="111"/>
        <v>0</v>
      </c>
      <c r="P84" s="132" t="s">
        <v>420</v>
      </c>
      <c r="Q84" s="35"/>
      <c r="R84" s="35"/>
      <c r="S84" s="35"/>
    </row>
    <row r="85" spans="1:19" ht="13.5" customHeight="1" x14ac:dyDescent="0.2">
      <c r="A85" s="704" t="s">
        <v>1</v>
      </c>
      <c r="B85" s="704"/>
      <c r="C85" s="118">
        <f t="shared" ref="C85:G85" si="112">SUM(C86,C99)</f>
        <v>5428000</v>
      </c>
      <c r="D85" s="119"/>
      <c r="E85" s="119">
        <f t="shared" ref="E85" si="113">SUM(E86,E99)</f>
        <v>3308000</v>
      </c>
      <c r="F85" s="120">
        <f t="shared" si="112"/>
        <v>8746000</v>
      </c>
      <c r="G85" s="120">
        <f t="shared" si="112"/>
        <v>5428000</v>
      </c>
      <c r="H85" s="120">
        <f t="shared" ref="H85:I85" si="114">SUM(H86,H99)</f>
        <v>3308000</v>
      </c>
      <c r="I85" s="120">
        <f t="shared" si="114"/>
        <v>2928000</v>
      </c>
      <c r="J85" s="120">
        <f t="shared" ref="J85:K85" si="115">SUM(J86,J99)</f>
        <v>8746000</v>
      </c>
      <c r="K85" s="120">
        <f t="shared" si="115"/>
        <v>0</v>
      </c>
      <c r="L85" s="121"/>
      <c r="M85" s="120">
        <f t="shared" ref="M85:O85" si="116">SUM(M86,M99)</f>
        <v>-5438000</v>
      </c>
      <c r="N85" s="120">
        <f t="shared" ref="N85" si="117">SUM(N86,N99)</f>
        <v>-2500000</v>
      </c>
      <c r="O85" s="120">
        <f t="shared" si="116"/>
        <v>0</v>
      </c>
      <c r="P85" s="35"/>
      <c r="Q85" s="35"/>
      <c r="R85" s="35"/>
      <c r="S85" s="35"/>
    </row>
    <row r="86" spans="1:19" ht="13.5" customHeight="1" x14ac:dyDescent="0.2">
      <c r="A86" s="418" t="s">
        <v>324</v>
      </c>
      <c r="B86" s="414" t="s">
        <v>325</v>
      </c>
      <c r="C86" s="419">
        <f t="shared" ref="C86:G86" si="118">SUM(C87,C89,C95,C97)</f>
        <v>5163000</v>
      </c>
      <c r="D86" s="420"/>
      <c r="E86" s="420">
        <f t="shared" ref="E86" si="119">SUM(E87,E89,E95,E97)</f>
        <v>3263000</v>
      </c>
      <c r="F86" s="421">
        <f t="shared" si="118"/>
        <v>8481000</v>
      </c>
      <c r="G86" s="421">
        <f t="shared" si="118"/>
        <v>5163000</v>
      </c>
      <c r="H86" s="421">
        <f t="shared" ref="H86:I86" si="120">SUM(H87,H89,H95,H97)</f>
        <v>3263000</v>
      </c>
      <c r="I86" s="421">
        <f t="shared" si="120"/>
        <v>2863000</v>
      </c>
      <c r="J86" s="421">
        <f t="shared" ref="J86:K86" si="121">SUM(J87,J89,J95,J97)</f>
        <v>8481000</v>
      </c>
      <c r="K86" s="123">
        <f t="shared" si="121"/>
        <v>0</v>
      </c>
      <c r="L86" s="124"/>
      <c r="M86" s="123">
        <f t="shared" ref="M86:O86" si="122">SUM(M87,M89,M95,M97)</f>
        <v>-5218000</v>
      </c>
      <c r="N86" s="123">
        <f t="shared" ref="N86" si="123">SUM(N87,N89,N95,N97)</f>
        <v>-2300000</v>
      </c>
      <c r="O86" s="123">
        <f t="shared" si="122"/>
        <v>0</v>
      </c>
      <c r="P86" s="35"/>
      <c r="Q86" s="35"/>
      <c r="R86" s="35"/>
      <c r="S86" s="35"/>
    </row>
    <row r="87" spans="1:19" x14ac:dyDescent="0.2">
      <c r="A87" s="125">
        <v>321</v>
      </c>
      <c r="B87" s="126" t="s">
        <v>12</v>
      </c>
      <c r="C87" s="97">
        <f t="shared" ref="C87:O87" si="124">SUM(C88)</f>
        <v>1062000</v>
      </c>
      <c r="D87" s="98"/>
      <c r="E87" s="98">
        <f t="shared" si="124"/>
        <v>562000</v>
      </c>
      <c r="F87" s="127">
        <f t="shared" si="124"/>
        <v>1327000</v>
      </c>
      <c r="G87" s="127">
        <f t="shared" si="124"/>
        <v>1327000</v>
      </c>
      <c r="H87" s="127">
        <f t="shared" si="124"/>
        <v>562000</v>
      </c>
      <c r="I87" s="127">
        <f t="shared" si="124"/>
        <v>527000</v>
      </c>
      <c r="J87" s="127">
        <f t="shared" si="124"/>
        <v>1327000</v>
      </c>
      <c r="K87" s="127">
        <f t="shared" si="124"/>
        <v>0</v>
      </c>
      <c r="L87" s="100"/>
      <c r="M87" s="127">
        <f t="shared" si="124"/>
        <v>-765000</v>
      </c>
      <c r="N87" s="127">
        <f t="shared" si="124"/>
        <v>-800000</v>
      </c>
      <c r="O87" s="127">
        <f t="shared" si="124"/>
        <v>0</v>
      </c>
      <c r="P87" s="35"/>
      <c r="Q87" s="35"/>
      <c r="R87" s="35"/>
      <c r="S87" s="35"/>
    </row>
    <row r="88" spans="1:19" x14ac:dyDescent="0.2">
      <c r="A88" s="128">
        <v>3213</v>
      </c>
      <c r="B88" s="129" t="s">
        <v>15</v>
      </c>
      <c r="C88" s="103">
        <v>1062000</v>
      </c>
      <c r="D88" s="104"/>
      <c r="E88" s="104">
        <v>562000</v>
      </c>
      <c r="F88" s="130">
        <v>1327000</v>
      </c>
      <c r="G88" s="130">
        <v>1327000</v>
      </c>
      <c r="H88" s="104">
        <v>562000</v>
      </c>
      <c r="I88" s="130">
        <f>1327000-800000</f>
        <v>527000</v>
      </c>
      <c r="J88" s="130">
        <v>1327000</v>
      </c>
      <c r="K88" s="105">
        <f t="shared" ref="K88" si="125">H88-E88</f>
        <v>0</v>
      </c>
      <c r="L88" s="104"/>
      <c r="M88" s="105">
        <f>H88-F88</f>
        <v>-765000</v>
      </c>
      <c r="N88" s="105">
        <f>I88-G88</f>
        <v>-800000</v>
      </c>
      <c r="O88" s="130"/>
      <c r="P88" s="35"/>
      <c r="Q88" s="35"/>
      <c r="R88" s="35"/>
      <c r="S88" s="35"/>
    </row>
    <row r="89" spans="1:19" x14ac:dyDescent="0.2">
      <c r="A89" s="125">
        <v>322</v>
      </c>
      <c r="B89" s="126" t="s">
        <v>16</v>
      </c>
      <c r="C89" s="97">
        <f t="shared" ref="C89:F89" si="126">SUM(C90:C94)</f>
        <v>916000</v>
      </c>
      <c r="D89" s="98"/>
      <c r="E89" s="98">
        <f t="shared" ref="E89" si="127">SUM(E90:E94)</f>
        <v>916000</v>
      </c>
      <c r="F89" s="127">
        <f t="shared" si="126"/>
        <v>916000</v>
      </c>
      <c r="G89" s="127">
        <f t="shared" ref="G89:H89" si="128">SUM(G90:G94)</f>
        <v>916000</v>
      </c>
      <c r="H89" s="127">
        <f t="shared" si="128"/>
        <v>916000</v>
      </c>
      <c r="I89" s="127">
        <f t="shared" ref="I89:J89" si="129">SUM(I90:I94)</f>
        <v>816000</v>
      </c>
      <c r="J89" s="127">
        <f t="shared" si="129"/>
        <v>916000</v>
      </c>
      <c r="K89" s="127">
        <f t="shared" ref="K89" si="130">SUM(K90:K94)</f>
        <v>0</v>
      </c>
      <c r="L89" s="100"/>
      <c r="M89" s="127">
        <f t="shared" ref="M89:O89" si="131">SUM(M90:M94)</f>
        <v>0</v>
      </c>
      <c r="N89" s="127">
        <f t="shared" ref="N89" si="132">SUM(N90:N94)</f>
        <v>-100000</v>
      </c>
      <c r="O89" s="127">
        <f t="shared" si="131"/>
        <v>0</v>
      </c>
      <c r="P89" s="35"/>
      <c r="Q89" s="35"/>
      <c r="R89" s="35"/>
      <c r="S89" s="35"/>
    </row>
    <row r="90" spans="1:19" x14ac:dyDescent="0.2">
      <c r="A90" s="128">
        <v>3221</v>
      </c>
      <c r="B90" s="129" t="s">
        <v>17</v>
      </c>
      <c r="C90" s="103">
        <v>199000</v>
      </c>
      <c r="D90" s="104"/>
      <c r="E90" s="104">
        <v>99000</v>
      </c>
      <c r="F90" s="130">
        <v>199000</v>
      </c>
      <c r="G90" s="130">
        <v>199000</v>
      </c>
      <c r="H90" s="104">
        <v>99000</v>
      </c>
      <c r="I90" s="130">
        <f>199000-100000</f>
        <v>99000</v>
      </c>
      <c r="J90" s="130">
        <v>199000</v>
      </c>
      <c r="K90" s="105">
        <f t="shared" ref="K90:K94" si="133">H90-E90</f>
        <v>0</v>
      </c>
      <c r="L90" s="104"/>
      <c r="M90" s="105">
        <f t="shared" ref="M90:M94" si="134">H90-F90</f>
        <v>-100000</v>
      </c>
      <c r="N90" s="105">
        <f>I90-G90</f>
        <v>-100000</v>
      </c>
      <c r="O90" s="130"/>
      <c r="P90" s="35"/>
      <c r="Q90" s="35"/>
      <c r="R90" s="35"/>
      <c r="S90" s="35"/>
    </row>
    <row r="91" spans="1:19" x14ac:dyDescent="0.2">
      <c r="A91" s="128">
        <v>3223</v>
      </c>
      <c r="B91" s="129" t="s">
        <v>19</v>
      </c>
      <c r="C91" s="103">
        <v>226000</v>
      </c>
      <c r="D91" s="104"/>
      <c r="E91" s="104">
        <v>226000</v>
      </c>
      <c r="F91" s="130">
        <v>226000</v>
      </c>
      <c r="G91" s="130">
        <v>226000</v>
      </c>
      <c r="H91" s="104">
        <v>226000</v>
      </c>
      <c r="I91" s="130">
        <v>226000</v>
      </c>
      <c r="J91" s="130">
        <v>226000</v>
      </c>
      <c r="K91" s="105">
        <f t="shared" si="133"/>
        <v>0</v>
      </c>
      <c r="L91" s="104"/>
      <c r="M91" s="105">
        <f t="shared" si="134"/>
        <v>0</v>
      </c>
      <c r="N91" s="105">
        <f>I91-G91</f>
        <v>0</v>
      </c>
      <c r="O91" s="130"/>
      <c r="P91" s="35"/>
      <c r="Q91" s="35"/>
      <c r="R91" s="35"/>
      <c r="S91" s="35"/>
    </row>
    <row r="92" spans="1:19" x14ac:dyDescent="0.2">
      <c r="A92" s="128">
        <v>3224</v>
      </c>
      <c r="B92" s="129" t="s">
        <v>20</v>
      </c>
      <c r="C92" s="103">
        <v>398000</v>
      </c>
      <c r="D92" s="104"/>
      <c r="E92" s="104">
        <v>498000</v>
      </c>
      <c r="F92" s="130">
        <v>398000</v>
      </c>
      <c r="G92" s="130">
        <v>398000</v>
      </c>
      <c r="H92" s="104">
        <v>498000</v>
      </c>
      <c r="I92" s="130">
        <v>398000</v>
      </c>
      <c r="J92" s="130">
        <v>398000</v>
      </c>
      <c r="K92" s="105">
        <f t="shared" si="133"/>
        <v>0</v>
      </c>
      <c r="L92" s="104"/>
      <c r="M92" s="105">
        <f t="shared" si="134"/>
        <v>100000</v>
      </c>
      <c r="N92" s="105">
        <f>I92-G92</f>
        <v>0</v>
      </c>
      <c r="O92" s="130"/>
      <c r="P92" s="35"/>
      <c r="Q92" s="35"/>
      <c r="R92" s="35"/>
      <c r="S92" s="35"/>
    </row>
    <row r="93" spans="1:19" x14ac:dyDescent="0.2">
      <c r="A93" s="128">
        <v>3225</v>
      </c>
      <c r="B93" s="129" t="s">
        <v>21</v>
      </c>
      <c r="C93" s="103">
        <v>27000</v>
      </c>
      <c r="D93" s="104"/>
      <c r="E93" s="104">
        <v>27000</v>
      </c>
      <c r="F93" s="130">
        <v>27000</v>
      </c>
      <c r="G93" s="130">
        <v>27000</v>
      </c>
      <c r="H93" s="104">
        <v>27000</v>
      </c>
      <c r="I93" s="130">
        <v>27000</v>
      </c>
      <c r="J93" s="130">
        <v>27000</v>
      </c>
      <c r="K93" s="105">
        <f t="shared" si="133"/>
        <v>0</v>
      </c>
      <c r="L93" s="104"/>
      <c r="M93" s="105">
        <f t="shared" si="134"/>
        <v>0</v>
      </c>
      <c r="N93" s="105">
        <f>I93-G93</f>
        <v>0</v>
      </c>
      <c r="O93" s="130"/>
      <c r="P93" s="35"/>
      <c r="Q93" s="35"/>
      <c r="R93" s="35"/>
      <c r="S93" s="35"/>
    </row>
    <row r="94" spans="1:19" x14ac:dyDescent="0.2">
      <c r="A94" s="128">
        <v>3227</v>
      </c>
      <c r="B94" s="129" t="s">
        <v>22</v>
      </c>
      <c r="C94" s="103">
        <v>66000</v>
      </c>
      <c r="D94" s="104"/>
      <c r="E94" s="104">
        <v>66000</v>
      </c>
      <c r="F94" s="130">
        <v>66000</v>
      </c>
      <c r="G94" s="130">
        <v>66000</v>
      </c>
      <c r="H94" s="104">
        <v>66000</v>
      </c>
      <c r="I94" s="130">
        <v>66000</v>
      </c>
      <c r="J94" s="130">
        <v>66000</v>
      </c>
      <c r="K94" s="105">
        <f t="shared" si="133"/>
        <v>0</v>
      </c>
      <c r="L94" s="104"/>
      <c r="M94" s="105">
        <f t="shared" si="134"/>
        <v>0</v>
      </c>
      <c r="N94" s="105">
        <f>I94-G94</f>
        <v>0</v>
      </c>
      <c r="O94" s="130"/>
      <c r="P94" s="35"/>
      <c r="Q94" s="35"/>
      <c r="R94" s="35"/>
      <c r="S94" s="35"/>
    </row>
    <row r="95" spans="1:19" x14ac:dyDescent="0.2">
      <c r="A95" s="125">
        <v>323</v>
      </c>
      <c r="B95" s="126" t="s">
        <v>23</v>
      </c>
      <c r="C95" s="97">
        <f t="shared" ref="C95:O95" si="135">SUM(C96)</f>
        <v>2654000</v>
      </c>
      <c r="D95" s="98"/>
      <c r="E95" s="98">
        <f t="shared" si="135"/>
        <v>954000</v>
      </c>
      <c r="F95" s="127">
        <f t="shared" si="135"/>
        <v>5707000</v>
      </c>
      <c r="G95" s="127">
        <f t="shared" si="135"/>
        <v>2389000</v>
      </c>
      <c r="H95" s="127">
        <f t="shared" si="135"/>
        <v>954000</v>
      </c>
      <c r="I95" s="127">
        <f t="shared" si="135"/>
        <v>989000</v>
      </c>
      <c r="J95" s="127">
        <f t="shared" si="135"/>
        <v>5707000</v>
      </c>
      <c r="K95" s="127">
        <f t="shared" si="135"/>
        <v>0</v>
      </c>
      <c r="L95" s="100"/>
      <c r="M95" s="127">
        <f t="shared" si="135"/>
        <v>-4753000</v>
      </c>
      <c r="N95" s="127">
        <f t="shared" si="135"/>
        <v>-1400000</v>
      </c>
      <c r="O95" s="127">
        <f t="shared" si="135"/>
        <v>0</v>
      </c>
      <c r="P95" s="35"/>
      <c r="Q95" s="35"/>
      <c r="R95" s="35"/>
      <c r="S95" s="35"/>
    </row>
    <row r="96" spans="1:19" x14ac:dyDescent="0.2">
      <c r="A96" s="128">
        <v>3232</v>
      </c>
      <c r="B96" s="129" t="s">
        <v>25</v>
      </c>
      <c r="C96" s="103">
        <v>2654000</v>
      </c>
      <c r="D96" s="104"/>
      <c r="E96" s="104">
        <v>954000</v>
      </c>
      <c r="F96" s="130">
        <v>5707000</v>
      </c>
      <c r="G96" s="130">
        <v>2389000</v>
      </c>
      <c r="H96" s="104">
        <v>954000</v>
      </c>
      <c r="I96" s="130">
        <f>2389000-1400000</f>
        <v>989000</v>
      </c>
      <c r="J96" s="130">
        <v>5707000</v>
      </c>
      <c r="K96" s="105">
        <f t="shared" ref="K96" si="136">H96-E96</f>
        <v>0</v>
      </c>
      <c r="L96" s="104"/>
      <c r="M96" s="105">
        <f t="shared" ref="M96" si="137">H96-F96</f>
        <v>-4753000</v>
      </c>
      <c r="N96" s="105">
        <f>I96-G96</f>
        <v>-1400000</v>
      </c>
      <c r="O96" s="130"/>
      <c r="P96" s="35"/>
      <c r="Q96" s="35"/>
      <c r="R96" s="35"/>
      <c r="S96" s="35"/>
    </row>
    <row r="97" spans="1:19" x14ac:dyDescent="0.2">
      <c r="A97" s="125">
        <v>329</v>
      </c>
      <c r="B97" s="126" t="s">
        <v>33</v>
      </c>
      <c r="C97" s="97">
        <f t="shared" ref="C97:O97" si="138">SUM(C98)</f>
        <v>531000</v>
      </c>
      <c r="D97" s="98"/>
      <c r="E97" s="98">
        <f t="shared" si="138"/>
        <v>831000</v>
      </c>
      <c r="F97" s="127">
        <f t="shared" si="138"/>
        <v>531000</v>
      </c>
      <c r="G97" s="127">
        <f t="shared" si="138"/>
        <v>531000</v>
      </c>
      <c r="H97" s="127">
        <f t="shared" si="138"/>
        <v>831000</v>
      </c>
      <c r="I97" s="127">
        <f t="shared" si="138"/>
        <v>531000</v>
      </c>
      <c r="J97" s="127">
        <f t="shared" si="138"/>
        <v>531000</v>
      </c>
      <c r="K97" s="127">
        <f t="shared" si="138"/>
        <v>0</v>
      </c>
      <c r="L97" s="100"/>
      <c r="M97" s="127">
        <f t="shared" si="138"/>
        <v>300000</v>
      </c>
      <c r="N97" s="127">
        <f t="shared" si="138"/>
        <v>0</v>
      </c>
      <c r="O97" s="127">
        <f t="shared" si="138"/>
        <v>0</v>
      </c>
      <c r="P97" s="35"/>
      <c r="Q97" s="35"/>
      <c r="R97" s="35"/>
      <c r="S97" s="35"/>
    </row>
    <row r="98" spans="1:19" x14ac:dyDescent="0.2">
      <c r="A98" s="128">
        <v>3292</v>
      </c>
      <c r="B98" s="129" t="s">
        <v>35</v>
      </c>
      <c r="C98" s="103">
        <v>531000</v>
      </c>
      <c r="D98" s="104"/>
      <c r="E98" s="104">
        <v>831000</v>
      </c>
      <c r="F98" s="130">
        <v>531000</v>
      </c>
      <c r="G98" s="130">
        <v>531000</v>
      </c>
      <c r="H98" s="104">
        <v>831000</v>
      </c>
      <c r="I98" s="130">
        <v>531000</v>
      </c>
      <c r="J98" s="130">
        <v>531000</v>
      </c>
      <c r="K98" s="105">
        <f t="shared" ref="K98" si="139">H98-E98</f>
        <v>0</v>
      </c>
      <c r="L98" s="104"/>
      <c r="M98" s="105">
        <f t="shared" ref="M98" si="140">H98-F98</f>
        <v>300000</v>
      </c>
      <c r="N98" s="105">
        <f>I98-G98</f>
        <v>0</v>
      </c>
      <c r="O98" s="130"/>
      <c r="P98" s="35"/>
      <c r="Q98" s="35"/>
      <c r="R98" s="35"/>
      <c r="S98" s="35"/>
    </row>
    <row r="99" spans="1:19" ht="25.5" x14ac:dyDescent="0.2">
      <c r="A99" s="424" t="s">
        <v>330</v>
      </c>
      <c r="B99" s="414" t="s">
        <v>331</v>
      </c>
      <c r="C99" s="415">
        <f t="shared" ref="C99:O99" si="141">SUM(C100)</f>
        <v>265000</v>
      </c>
      <c r="D99" s="416"/>
      <c r="E99" s="416">
        <f t="shared" si="141"/>
        <v>45000</v>
      </c>
      <c r="F99" s="417">
        <f t="shared" si="141"/>
        <v>265000</v>
      </c>
      <c r="G99" s="417">
        <f t="shared" si="141"/>
        <v>265000</v>
      </c>
      <c r="H99" s="417">
        <f t="shared" si="141"/>
        <v>45000</v>
      </c>
      <c r="I99" s="417">
        <f t="shared" si="141"/>
        <v>65000</v>
      </c>
      <c r="J99" s="417">
        <f t="shared" si="141"/>
        <v>265000</v>
      </c>
      <c r="K99" s="93">
        <f t="shared" si="141"/>
        <v>0</v>
      </c>
      <c r="L99" s="94"/>
      <c r="M99" s="93">
        <f t="shared" si="141"/>
        <v>-220000</v>
      </c>
      <c r="N99" s="93">
        <f t="shared" si="141"/>
        <v>-200000</v>
      </c>
      <c r="O99" s="93">
        <f t="shared" si="141"/>
        <v>0</v>
      </c>
      <c r="P99" s="35"/>
      <c r="Q99" s="35"/>
      <c r="R99" s="35"/>
      <c r="S99" s="35"/>
    </row>
    <row r="100" spans="1:19" ht="12" customHeight="1" x14ac:dyDescent="0.2">
      <c r="A100" s="146">
        <v>422</v>
      </c>
      <c r="B100" s="147" t="s">
        <v>129</v>
      </c>
      <c r="C100" s="97">
        <f t="shared" ref="C100:F100" si="142">SUM(C101:C102)</f>
        <v>265000</v>
      </c>
      <c r="D100" s="98"/>
      <c r="E100" s="98">
        <f t="shared" ref="E100" si="143">SUM(E101:E102)</f>
        <v>45000</v>
      </c>
      <c r="F100" s="127">
        <f t="shared" si="142"/>
        <v>265000</v>
      </c>
      <c r="G100" s="127">
        <f t="shared" ref="G100:H100" si="144">SUM(G101:G102)</f>
        <v>265000</v>
      </c>
      <c r="H100" s="127">
        <f t="shared" si="144"/>
        <v>45000</v>
      </c>
      <c r="I100" s="127">
        <f t="shared" ref="I100:J100" si="145">SUM(I101:I102)</f>
        <v>65000</v>
      </c>
      <c r="J100" s="127">
        <f t="shared" si="145"/>
        <v>265000</v>
      </c>
      <c r="K100" s="127">
        <f t="shared" ref="K100" si="146">SUM(K101:K102)</f>
        <v>0</v>
      </c>
      <c r="L100" s="100"/>
      <c r="M100" s="127">
        <f t="shared" ref="M100:O100" si="147">SUM(M101:M102)</f>
        <v>-220000</v>
      </c>
      <c r="N100" s="127">
        <f t="shared" ref="N100" si="148">SUM(N101:N102)</f>
        <v>-200000</v>
      </c>
      <c r="O100" s="127">
        <f t="shared" si="147"/>
        <v>0</v>
      </c>
      <c r="P100" s="35"/>
      <c r="Q100" s="35"/>
      <c r="R100" s="35"/>
      <c r="S100" s="35"/>
    </row>
    <row r="101" spans="1:19" hidden="1" x14ac:dyDescent="0.2">
      <c r="A101" s="135">
        <v>4221</v>
      </c>
      <c r="B101" s="136" t="s">
        <v>54</v>
      </c>
      <c r="C101" s="103"/>
      <c r="D101" s="104"/>
      <c r="E101" s="104"/>
      <c r="F101" s="148"/>
      <c r="G101" s="148"/>
      <c r="H101" s="148"/>
      <c r="I101" s="148"/>
      <c r="J101" s="148"/>
      <c r="K101" s="148"/>
      <c r="L101" s="111"/>
      <c r="M101" s="148"/>
      <c r="N101" s="148"/>
      <c r="O101" s="148"/>
      <c r="P101" s="35"/>
      <c r="Q101" s="35"/>
      <c r="R101" s="35"/>
      <c r="S101" s="35"/>
    </row>
    <row r="102" spans="1:19" ht="12.75" customHeight="1" x14ac:dyDescent="0.2">
      <c r="A102" s="149">
        <v>4227</v>
      </c>
      <c r="B102" s="150" t="s">
        <v>60</v>
      </c>
      <c r="C102" s="103">
        <v>265000</v>
      </c>
      <c r="D102" s="104"/>
      <c r="E102" s="104">
        <v>45000</v>
      </c>
      <c r="F102" s="148">
        <v>265000</v>
      </c>
      <c r="G102" s="148">
        <v>265000</v>
      </c>
      <c r="H102" s="148">
        <v>45000</v>
      </c>
      <c r="I102" s="148">
        <f>265000-200000</f>
        <v>65000</v>
      </c>
      <c r="J102" s="148">
        <v>265000</v>
      </c>
      <c r="K102" s="105">
        <f t="shared" ref="K102" si="149">H102-E102</f>
        <v>0</v>
      </c>
      <c r="L102" s="104"/>
      <c r="M102" s="105">
        <f>H102-F102</f>
        <v>-220000</v>
      </c>
      <c r="N102" s="105">
        <f>I102-G102</f>
        <v>-200000</v>
      </c>
      <c r="O102" s="148"/>
      <c r="P102" s="35"/>
      <c r="Q102" s="35"/>
      <c r="R102" s="35"/>
      <c r="S102" s="35"/>
    </row>
    <row r="103" spans="1:19" hidden="1" x14ac:dyDescent="0.2">
      <c r="A103" s="151">
        <v>426</v>
      </c>
      <c r="B103" s="152" t="s">
        <v>73</v>
      </c>
      <c r="C103" s="97">
        <f t="shared" ref="C103:O103" si="150">SUM(C104)</f>
        <v>0</v>
      </c>
      <c r="D103" s="98"/>
      <c r="E103" s="98">
        <f t="shared" si="150"/>
        <v>0</v>
      </c>
      <c r="F103" s="127">
        <f t="shared" si="150"/>
        <v>0</v>
      </c>
      <c r="G103" s="127">
        <f t="shared" si="150"/>
        <v>0</v>
      </c>
      <c r="H103" s="127">
        <f t="shared" si="150"/>
        <v>0</v>
      </c>
      <c r="I103" s="127">
        <f t="shared" si="150"/>
        <v>0</v>
      </c>
      <c r="J103" s="127">
        <f t="shared" si="150"/>
        <v>0</v>
      </c>
      <c r="K103" s="127">
        <f t="shared" si="150"/>
        <v>0</v>
      </c>
      <c r="L103" s="100"/>
      <c r="M103" s="127">
        <f t="shared" si="150"/>
        <v>0</v>
      </c>
      <c r="N103" s="127">
        <f t="shared" si="150"/>
        <v>0</v>
      </c>
      <c r="O103" s="127">
        <f t="shared" si="150"/>
        <v>0</v>
      </c>
      <c r="P103" s="35"/>
      <c r="Q103" s="35"/>
      <c r="R103" s="35"/>
      <c r="S103" s="35"/>
    </row>
    <row r="104" spans="1:19" hidden="1" x14ac:dyDescent="0.2">
      <c r="A104" s="135">
        <v>4262</v>
      </c>
      <c r="B104" s="136" t="s">
        <v>74</v>
      </c>
      <c r="C104" s="103"/>
      <c r="D104" s="104"/>
      <c r="E104" s="104"/>
      <c r="F104" s="130"/>
      <c r="G104" s="130"/>
      <c r="H104" s="130"/>
      <c r="I104" s="130"/>
      <c r="J104" s="130"/>
      <c r="K104" s="130"/>
      <c r="L104" s="111"/>
      <c r="M104" s="130"/>
      <c r="N104" s="130"/>
      <c r="O104" s="130"/>
      <c r="P104" s="35"/>
      <c r="Q104" s="35"/>
      <c r="R104" s="35"/>
      <c r="S104" s="35"/>
    </row>
    <row r="105" spans="1:19" ht="25.5" customHeight="1" x14ac:dyDescent="0.2">
      <c r="A105" s="112" t="s">
        <v>212</v>
      </c>
      <c r="B105" s="113" t="s">
        <v>213</v>
      </c>
      <c r="C105" s="114">
        <f t="shared" ref="C105:O105" si="151">SUM(C106)</f>
        <v>20711000</v>
      </c>
      <c r="D105" s="115"/>
      <c r="E105" s="115">
        <f t="shared" si="151"/>
        <v>21011000</v>
      </c>
      <c r="F105" s="116">
        <f t="shared" si="151"/>
        <v>20711000</v>
      </c>
      <c r="G105" s="116">
        <f t="shared" si="151"/>
        <v>17658000</v>
      </c>
      <c r="H105" s="116">
        <f t="shared" si="151"/>
        <v>18711000</v>
      </c>
      <c r="I105" s="116">
        <f t="shared" si="151"/>
        <v>18985000</v>
      </c>
      <c r="J105" s="116">
        <f t="shared" si="151"/>
        <v>18985000</v>
      </c>
      <c r="K105" s="116">
        <f t="shared" si="151"/>
        <v>-2300000</v>
      </c>
      <c r="L105" s="117"/>
      <c r="M105" s="116">
        <f t="shared" si="151"/>
        <v>-2000000</v>
      </c>
      <c r="N105" s="116">
        <f t="shared" si="151"/>
        <v>1327000</v>
      </c>
      <c r="O105" s="116">
        <f t="shared" si="151"/>
        <v>0</v>
      </c>
      <c r="P105" s="88" t="s">
        <v>419</v>
      </c>
      <c r="Q105" s="35"/>
      <c r="R105" s="35"/>
      <c r="S105" s="35"/>
    </row>
    <row r="106" spans="1:19" ht="18" customHeight="1" x14ac:dyDescent="0.2">
      <c r="A106" s="704" t="s">
        <v>1</v>
      </c>
      <c r="B106" s="704"/>
      <c r="C106" s="118">
        <f t="shared" ref="C106:G106" si="152">SUM(C115,C107)</f>
        <v>20711000</v>
      </c>
      <c r="D106" s="119"/>
      <c r="E106" s="119">
        <f t="shared" ref="E106" si="153">SUM(E115,E107)</f>
        <v>21011000</v>
      </c>
      <c r="F106" s="120">
        <f t="shared" si="152"/>
        <v>20711000</v>
      </c>
      <c r="G106" s="120">
        <f t="shared" si="152"/>
        <v>17658000</v>
      </c>
      <c r="H106" s="120">
        <f t="shared" ref="H106:I106" si="154">SUM(H115,H107)</f>
        <v>18711000</v>
      </c>
      <c r="I106" s="120">
        <f t="shared" si="154"/>
        <v>18985000</v>
      </c>
      <c r="J106" s="120">
        <f t="shared" ref="J106:K106" si="155">SUM(J115,J107)</f>
        <v>18985000</v>
      </c>
      <c r="K106" s="120">
        <f t="shared" si="155"/>
        <v>-2300000</v>
      </c>
      <c r="L106" s="121"/>
      <c r="M106" s="120">
        <f t="shared" ref="M106:O106" si="156">SUM(M115,M107)</f>
        <v>-2000000</v>
      </c>
      <c r="N106" s="120">
        <f t="shared" ref="N106" si="157">SUM(N115,N107)</f>
        <v>1327000</v>
      </c>
      <c r="O106" s="120">
        <f t="shared" si="156"/>
        <v>0</v>
      </c>
      <c r="P106" s="35"/>
      <c r="Q106" s="35"/>
      <c r="R106" s="35"/>
      <c r="S106" s="35"/>
    </row>
    <row r="107" spans="1:19" ht="14.25" customHeight="1" x14ac:dyDescent="0.2">
      <c r="A107" s="418" t="s">
        <v>322</v>
      </c>
      <c r="B107" s="414" t="s">
        <v>323</v>
      </c>
      <c r="C107" s="419">
        <f t="shared" ref="C107:G107" si="158">SUM(C108,C111)</f>
        <v>5972000</v>
      </c>
      <c r="D107" s="420"/>
      <c r="E107" s="420">
        <f t="shared" ref="E107" si="159">SUM(E108,E111)</f>
        <v>5972000</v>
      </c>
      <c r="F107" s="421">
        <f t="shared" si="158"/>
        <v>5972000</v>
      </c>
      <c r="G107" s="421">
        <f t="shared" si="158"/>
        <v>4645000</v>
      </c>
      <c r="H107" s="421">
        <f t="shared" ref="H107:I107" si="160">SUM(H108,H111)</f>
        <v>4972000</v>
      </c>
      <c r="I107" s="421">
        <f t="shared" si="160"/>
        <v>5972000</v>
      </c>
      <c r="J107" s="421">
        <f t="shared" ref="J107:K107" si="161">SUM(J108,J111)</f>
        <v>5972000</v>
      </c>
      <c r="K107" s="123">
        <f t="shared" si="161"/>
        <v>-1000000</v>
      </c>
      <c r="L107" s="124"/>
      <c r="M107" s="123">
        <f t="shared" ref="M107:O107" si="162">SUM(M108,M111)</f>
        <v>-1000000</v>
      </c>
      <c r="N107" s="123">
        <f t="shared" ref="N107" si="163">SUM(N108,N111)</f>
        <v>1327000</v>
      </c>
      <c r="O107" s="123">
        <f t="shared" si="162"/>
        <v>0</v>
      </c>
      <c r="P107" s="35"/>
      <c r="Q107" s="35"/>
      <c r="R107" s="35"/>
      <c r="S107" s="35"/>
    </row>
    <row r="108" spans="1:19" x14ac:dyDescent="0.2">
      <c r="A108" s="125">
        <v>311</v>
      </c>
      <c r="B108" s="126" t="s">
        <v>4</v>
      </c>
      <c r="C108" s="97">
        <f t="shared" ref="C108:F108" si="164">SUM(C109:C110)</f>
        <v>4645000</v>
      </c>
      <c r="D108" s="98"/>
      <c r="E108" s="98">
        <f t="shared" ref="E108" si="165">SUM(E109:E110)</f>
        <v>4645000</v>
      </c>
      <c r="F108" s="127">
        <f t="shared" si="164"/>
        <v>4645000</v>
      </c>
      <c r="G108" s="127">
        <f t="shared" ref="G108:H108" si="166">SUM(G109:G110)</f>
        <v>3318000</v>
      </c>
      <c r="H108" s="127">
        <f t="shared" si="166"/>
        <v>3645000</v>
      </c>
      <c r="I108" s="127">
        <f t="shared" ref="I108:J108" si="167">SUM(I109:I110)</f>
        <v>4645000</v>
      </c>
      <c r="J108" s="127">
        <f t="shared" si="167"/>
        <v>4645000</v>
      </c>
      <c r="K108" s="127">
        <f t="shared" ref="K108" si="168">SUM(K109:K110)</f>
        <v>-1000000</v>
      </c>
      <c r="L108" s="100"/>
      <c r="M108" s="127">
        <f t="shared" ref="M108:O108" si="169">SUM(M109:M110)</f>
        <v>-1000000</v>
      </c>
      <c r="N108" s="127">
        <f t="shared" ref="N108" si="170">SUM(N109:N110)</f>
        <v>1327000</v>
      </c>
      <c r="O108" s="127">
        <f t="shared" si="169"/>
        <v>0</v>
      </c>
      <c r="P108" s="35"/>
      <c r="Q108" s="35"/>
      <c r="R108" s="35"/>
      <c r="S108" s="35"/>
    </row>
    <row r="109" spans="1:19" x14ac:dyDescent="0.2">
      <c r="A109" s="128">
        <v>3111</v>
      </c>
      <c r="B109" s="129" t="s">
        <v>5</v>
      </c>
      <c r="C109" s="103">
        <v>1062000</v>
      </c>
      <c r="D109" s="104"/>
      <c r="E109" s="104">
        <v>1062000</v>
      </c>
      <c r="F109" s="105">
        <v>1062000</v>
      </c>
      <c r="G109" s="105">
        <v>1062000</v>
      </c>
      <c r="H109" s="105">
        <v>1062000</v>
      </c>
      <c r="I109" s="105">
        <v>1062000</v>
      </c>
      <c r="J109" s="105">
        <v>1062000</v>
      </c>
      <c r="K109" s="105">
        <f t="shared" ref="K109:K110" si="171">H109-E109</f>
        <v>0</v>
      </c>
      <c r="L109" s="104"/>
      <c r="M109" s="105">
        <f>H109-F109</f>
        <v>0</v>
      </c>
      <c r="N109" s="105">
        <f>I109-G109</f>
        <v>0</v>
      </c>
      <c r="O109" s="105"/>
      <c r="P109" s="35"/>
      <c r="Q109" s="35"/>
      <c r="R109" s="35"/>
      <c r="S109" s="35"/>
    </row>
    <row r="110" spans="1:19" x14ac:dyDescent="0.2">
      <c r="A110" s="128">
        <v>3113</v>
      </c>
      <c r="B110" s="129" t="s">
        <v>6</v>
      </c>
      <c r="C110" s="103">
        <v>3583000</v>
      </c>
      <c r="D110" s="104"/>
      <c r="E110" s="104">
        <v>3583000</v>
      </c>
      <c r="F110" s="130">
        <v>3583000</v>
      </c>
      <c r="G110" s="130">
        <v>2256000</v>
      </c>
      <c r="H110" s="130">
        <f>3583000-1000000</f>
        <v>2583000</v>
      </c>
      <c r="I110" s="130">
        <v>3583000</v>
      </c>
      <c r="J110" s="130">
        <v>3583000</v>
      </c>
      <c r="K110" s="105">
        <f t="shared" si="171"/>
        <v>-1000000</v>
      </c>
      <c r="L110" s="104"/>
      <c r="M110" s="105">
        <f>H110-F110</f>
        <v>-1000000</v>
      </c>
      <c r="N110" s="105">
        <f>I110-G110</f>
        <v>1327000</v>
      </c>
      <c r="O110" s="130"/>
      <c r="P110" s="35"/>
      <c r="Q110" s="35"/>
      <c r="R110" s="35"/>
      <c r="S110" s="35"/>
    </row>
    <row r="111" spans="1:19" x14ac:dyDescent="0.2">
      <c r="A111" s="125">
        <v>313</v>
      </c>
      <c r="B111" s="126" t="s">
        <v>8</v>
      </c>
      <c r="C111" s="97">
        <f t="shared" ref="C111:F111" si="172">SUM(C112:C114)</f>
        <v>1327000</v>
      </c>
      <c r="D111" s="98"/>
      <c r="E111" s="98">
        <f t="shared" ref="E111" si="173">SUM(E112:E114)</f>
        <v>1327000</v>
      </c>
      <c r="F111" s="127">
        <f t="shared" si="172"/>
        <v>1327000</v>
      </c>
      <c r="G111" s="127">
        <f t="shared" ref="G111:H111" si="174">SUM(G112:G114)</f>
        <v>1327000</v>
      </c>
      <c r="H111" s="127">
        <f t="shared" si="174"/>
        <v>1327000</v>
      </c>
      <c r="I111" s="127">
        <f t="shared" ref="I111:J111" si="175">SUM(I112:I114)</f>
        <v>1327000</v>
      </c>
      <c r="J111" s="127">
        <f t="shared" si="175"/>
        <v>1327000</v>
      </c>
      <c r="K111" s="127">
        <f t="shared" ref="K111" si="176">SUM(K112:K114)</f>
        <v>0</v>
      </c>
      <c r="L111" s="100"/>
      <c r="M111" s="127">
        <f t="shared" ref="M111:O111" si="177">SUM(M112:M114)</f>
        <v>0</v>
      </c>
      <c r="N111" s="127">
        <f t="shared" ref="N111" si="178">SUM(N112:N114)</f>
        <v>0</v>
      </c>
      <c r="O111" s="127">
        <f t="shared" si="177"/>
        <v>0</v>
      </c>
      <c r="P111" s="35"/>
      <c r="Q111" s="35"/>
      <c r="R111" s="35"/>
      <c r="S111" s="35"/>
    </row>
    <row r="112" spans="1:19" x14ac:dyDescent="0.2">
      <c r="A112" s="128">
        <v>3131</v>
      </c>
      <c r="B112" s="129" t="s">
        <v>9</v>
      </c>
      <c r="C112" s="103">
        <v>690000</v>
      </c>
      <c r="D112" s="104"/>
      <c r="E112" s="104">
        <v>690000</v>
      </c>
      <c r="F112" s="130">
        <v>690000</v>
      </c>
      <c r="G112" s="130">
        <v>690000</v>
      </c>
      <c r="H112" s="130">
        <v>690000</v>
      </c>
      <c r="I112" s="130">
        <v>690000</v>
      </c>
      <c r="J112" s="130">
        <v>690000</v>
      </c>
      <c r="K112" s="105">
        <f t="shared" ref="K112:K113" si="179">H112-E112</f>
        <v>0</v>
      </c>
      <c r="L112" s="104"/>
      <c r="M112" s="105">
        <f t="shared" ref="M112:M113" si="180">H112-F112</f>
        <v>0</v>
      </c>
      <c r="N112" s="105">
        <f>I112-G112</f>
        <v>0</v>
      </c>
      <c r="O112" s="130"/>
      <c r="P112" s="35"/>
      <c r="Q112" s="35"/>
      <c r="R112" s="35"/>
      <c r="S112" s="35"/>
    </row>
    <row r="113" spans="1:19" x14ac:dyDescent="0.2">
      <c r="A113" s="128">
        <v>3132</v>
      </c>
      <c r="B113" s="129" t="s">
        <v>10</v>
      </c>
      <c r="C113" s="103">
        <v>637000</v>
      </c>
      <c r="D113" s="104"/>
      <c r="E113" s="104">
        <v>637000</v>
      </c>
      <c r="F113" s="130">
        <v>637000</v>
      </c>
      <c r="G113" s="130">
        <v>637000</v>
      </c>
      <c r="H113" s="130">
        <v>637000</v>
      </c>
      <c r="I113" s="130">
        <v>637000</v>
      </c>
      <c r="J113" s="130">
        <v>637000</v>
      </c>
      <c r="K113" s="105">
        <f t="shared" si="179"/>
        <v>0</v>
      </c>
      <c r="L113" s="104"/>
      <c r="M113" s="105">
        <f t="shared" si="180"/>
        <v>0</v>
      </c>
      <c r="N113" s="105">
        <f>I113-G113</f>
        <v>0</v>
      </c>
      <c r="O113" s="130"/>
      <c r="P113" s="35"/>
      <c r="Q113" s="35"/>
      <c r="R113" s="35"/>
      <c r="S113" s="35"/>
    </row>
    <row r="114" spans="1:19" hidden="1" x14ac:dyDescent="0.2">
      <c r="A114" s="128">
        <v>3133</v>
      </c>
      <c r="B114" s="129" t="s">
        <v>11</v>
      </c>
      <c r="C114" s="103"/>
      <c r="D114" s="104"/>
      <c r="E114" s="104"/>
      <c r="F114" s="130"/>
      <c r="G114" s="130"/>
      <c r="H114" s="130"/>
      <c r="I114" s="130"/>
      <c r="J114" s="130"/>
      <c r="K114" s="130"/>
      <c r="L114" s="111"/>
      <c r="M114" s="130"/>
      <c r="N114" s="130"/>
      <c r="O114" s="130"/>
      <c r="P114" s="35"/>
      <c r="Q114" s="35"/>
      <c r="R114" s="35"/>
      <c r="S114" s="35"/>
    </row>
    <row r="115" spans="1:19" ht="17.25" customHeight="1" x14ac:dyDescent="0.2">
      <c r="A115" s="422" t="s">
        <v>324</v>
      </c>
      <c r="B115" s="414" t="s">
        <v>325</v>
      </c>
      <c r="C115" s="415">
        <f t="shared" ref="C115:G115" si="181">SUM(C116,C119,C125,C132)</f>
        <v>14739000</v>
      </c>
      <c r="D115" s="416"/>
      <c r="E115" s="416">
        <f t="shared" ref="E115" si="182">SUM(E116,E119,E125,E132)</f>
        <v>15039000</v>
      </c>
      <c r="F115" s="417">
        <f t="shared" si="181"/>
        <v>14739000</v>
      </c>
      <c r="G115" s="417">
        <f t="shared" si="181"/>
        <v>13013000</v>
      </c>
      <c r="H115" s="417">
        <f t="shared" ref="H115:I115" si="183">SUM(H116,H119,H125,H132)</f>
        <v>13739000</v>
      </c>
      <c r="I115" s="417">
        <f t="shared" si="183"/>
        <v>13013000</v>
      </c>
      <c r="J115" s="417">
        <f t="shared" ref="J115:K115" si="184">SUM(J116,J119,J125,J132)</f>
        <v>13013000</v>
      </c>
      <c r="K115" s="93">
        <f t="shared" si="184"/>
        <v>-1300000</v>
      </c>
      <c r="L115" s="94"/>
      <c r="M115" s="93">
        <f t="shared" ref="M115:O115" si="185">SUM(M116,M119,M125,M132)</f>
        <v>-1000000</v>
      </c>
      <c r="N115" s="93">
        <f t="shared" ref="N115" si="186">SUM(N116,N119,N125,N132)</f>
        <v>0</v>
      </c>
      <c r="O115" s="93">
        <f t="shared" si="185"/>
        <v>0</v>
      </c>
      <c r="P115" s="35"/>
      <c r="Q115" s="35"/>
      <c r="R115" s="35"/>
      <c r="S115" s="35"/>
    </row>
    <row r="116" spans="1:19" x14ac:dyDescent="0.2">
      <c r="A116" s="125">
        <v>321</v>
      </c>
      <c r="B116" s="126" t="s">
        <v>12</v>
      </c>
      <c r="C116" s="97">
        <f t="shared" ref="C116:F116" si="187">SUM(C117:C118)</f>
        <v>5442000</v>
      </c>
      <c r="D116" s="98"/>
      <c r="E116" s="98">
        <f t="shared" ref="E116" si="188">SUM(E117:E118)</f>
        <v>5442000</v>
      </c>
      <c r="F116" s="127">
        <f t="shared" si="187"/>
        <v>5442000</v>
      </c>
      <c r="G116" s="127">
        <f t="shared" ref="G116:H116" si="189">SUM(G117:G118)</f>
        <v>4512000</v>
      </c>
      <c r="H116" s="127">
        <f t="shared" si="189"/>
        <v>4442000</v>
      </c>
      <c r="I116" s="127">
        <f t="shared" ref="I116:J116" si="190">SUM(I117:I118)</f>
        <v>4512000</v>
      </c>
      <c r="J116" s="127">
        <f t="shared" si="190"/>
        <v>4512000</v>
      </c>
      <c r="K116" s="127">
        <f t="shared" ref="K116" si="191">SUM(K117:K118)</f>
        <v>-1000000</v>
      </c>
      <c r="L116" s="100"/>
      <c r="M116" s="127">
        <f t="shared" ref="M116:O116" si="192">SUM(M117:M118)</f>
        <v>-1000000</v>
      </c>
      <c r="N116" s="127">
        <f t="shared" ref="N116" si="193">SUM(N117:N118)</f>
        <v>0</v>
      </c>
      <c r="O116" s="127">
        <f t="shared" si="192"/>
        <v>0</v>
      </c>
      <c r="P116" s="35"/>
      <c r="Q116" s="35"/>
      <c r="R116" s="35"/>
      <c r="S116" s="35"/>
    </row>
    <row r="117" spans="1:19" x14ac:dyDescent="0.2">
      <c r="A117" s="128">
        <v>3211</v>
      </c>
      <c r="B117" s="129" t="s">
        <v>13</v>
      </c>
      <c r="C117" s="103">
        <v>266000</v>
      </c>
      <c r="D117" s="104"/>
      <c r="E117" s="104">
        <v>266000</v>
      </c>
      <c r="F117" s="130">
        <v>266000</v>
      </c>
      <c r="G117" s="130">
        <v>265000</v>
      </c>
      <c r="H117" s="130">
        <v>266000</v>
      </c>
      <c r="I117" s="130">
        <v>265000</v>
      </c>
      <c r="J117" s="130">
        <v>265000</v>
      </c>
      <c r="K117" s="105">
        <f t="shared" ref="K117:K118" si="194">H117-E117</f>
        <v>0</v>
      </c>
      <c r="L117" s="104"/>
      <c r="M117" s="105">
        <f>H117-F117</f>
        <v>0</v>
      </c>
      <c r="N117" s="105">
        <f>I117-G117</f>
        <v>0</v>
      </c>
      <c r="O117" s="130"/>
      <c r="P117" s="35"/>
      <c r="Q117" s="35"/>
      <c r="R117" s="35"/>
      <c r="S117" s="35"/>
    </row>
    <row r="118" spans="1:19" x14ac:dyDescent="0.2">
      <c r="A118" s="128">
        <v>3212</v>
      </c>
      <c r="B118" s="129" t="s">
        <v>14</v>
      </c>
      <c r="C118" s="103">
        <v>5176000</v>
      </c>
      <c r="D118" s="104"/>
      <c r="E118" s="104">
        <v>5176000</v>
      </c>
      <c r="F118" s="130">
        <v>5176000</v>
      </c>
      <c r="G118" s="130">
        <v>4247000</v>
      </c>
      <c r="H118" s="130">
        <f>5176000-1000000</f>
        <v>4176000</v>
      </c>
      <c r="I118" s="130">
        <v>4247000</v>
      </c>
      <c r="J118" s="130">
        <v>4247000</v>
      </c>
      <c r="K118" s="105">
        <f t="shared" si="194"/>
        <v>-1000000</v>
      </c>
      <c r="L118" s="104"/>
      <c r="M118" s="105">
        <f>H118-F118</f>
        <v>-1000000</v>
      </c>
      <c r="N118" s="105">
        <f>I118-G118</f>
        <v>0</v>
      </c>
      <c r="O118" s="130"/>
      <c r="P118" s="35"/>
      <c r="Q118" s="35"/>
      <c r="R118" s="35"/>
      <c r="S118" s="35"/>
    </row>
    <row r="119" spans="1:19" x14ac:dyDescent="0.2">
      <c r="A119" s="125">
        <v>322</v>
      </c>
      <c r="B119" s="126" t="s">
        <v>16</v>
      </c>
      <c r="C119" s="97">
        <f t="shared" ref="C119:F119" si="195">SUM(C120:C124)</f>
        <v>3384000</v>
      </c>
      <c r="D119" s="98"/>
      <c r="E119" s="98">
        <f t="shared" ref="E119" si="196">SUM(E120:E124)</f>
        <v>3384000</v>
      </c>
      <c r="F119" s="127">
        <f t="shared" si="195"/>
        <v>3384000</v>
      </c>
      <c r="G119" s="127">
        <f t="shared" ref="G119:H119" si="197">SUM(G120:G124)</f>
        <v>3384000</v>
      </c>
      <c r="H119" s="127">
        <f t="shared" si="197"/>
        <v>3384000</v>
      </c>
      <c r="I119" s="127">
        <f t="shared" ref="I119:J119" si="198">SUM(I120:I124)</f>
        <v>3384000</v>
      </c>
      <c r="J119" s="127">
        <f t="shared" si="198"/>
        <v>3384000</v>
      </c>
      <c r="K119" s="127">
        <f t="shared" ref="K119" si="199">SUM(K120:K124)</f>
        <v>0</v>
      </c>
      <c r="L119" s="100"/>
      <c r="M119" s="127">
        <f t="shared" ref="M119:O119" si="200">SUM(M120:M124)</f>
        <v>0</v>
      </c>
      <c r="N119" s="127">
        <f t="shared" ref="N119" si="201">SUM(N120:N124)</f>
        <v>0</v>
      </c>
      <c r="O119" s="127">
        <f t="shared" si="200"/>
        <v>0</v>
      </c>
      <c r="P119" s="35"/>
      <c r="Q119" s="35"/>
      <c r="R119" s="35"/>
      <c r="S119" s="35"/>
    </row>
    <row r="120" spans="1:19" x14ac:dyDescent="0.2">
      <c r="A120" s="128">
        <v>3221</v>
      </c>
      <c r="B120" s="129" t="s">
        <v>17</v>
      </c>
      <c r="C120" s="103">
        <v>66000</v>
      </c>
      <c r="D120" s="104"/>
      <c r="E120" s="104">
        <v>66000</v>
      </c>
      <c r="F120" s="130">
        <v>66000</v>
      </c>
      <c r="G120" s="130">
        <v>66000</v>
      </c>
      <c r="H120" s="130">
        <v>66000</v>
      </c>
      <c r="I120" s="130">
        <v>66000</v>
      </c>
      <c r="J120" s="130">
        <v>66000</v>
      </c>
      <c r="K120" s="105">
        <f t="shared" ref="K120:K124" si="202">H120-E120</f>
        <v>0</v>
      </c>
      <c r="L120" s="104"/>
      <c r="M120" s="105">
        <f t="shared" ref="M120:M124" si="203">H120-F120</f>
        <v>0</v>
      </c>
      <c r="N120" s="105">
        <f>I120-G120</f>
        <v>0</v>
      </c>
      <c r="O120" s="130"/>
      <c r="P120" s="35"/>
      <c r="Q120" s="35"/>
      <c r="R120" s="35"/>
      <c r="S120" s="35"/>
    </row>
    <row r="121" spans="1:19" x14ac:dyDescent="0.2">
      <c r="A121" s="128">
        <v>3222</v>
      </c>
      <c r="B121" s="129" t="s">
        <v>18</v>
      </c>
      <c r="C121" s="103">
        <v>1327000</v>
      </c>
      <c r="D121" s="104"/>
      <c r="E121" s="104">
        <v>1327000</v>
      </c>
      <c r="F121" s="130">
        <v>1327000</v>
      </c>
      <c r="G121" s="130">
        <v>1327000</v>
      </c>
      <c r="H121" s="130">
        <v>1327000</v>
      </c>
      <c r="I121" s="130">
        <v>1327000</v>
      </c>
      <c r="J121" s="130">
        <v>1327000</v>
      </c>
      <c r="K121" s="105">
        <f t="shared" si="202"/>
        <v>0</v>
      </c>
      <c r="L121" s="104"/>
      <c r="M121" s="105">
        <f t="shared" si="203"/>
        <v>0</v>
      </c>
      <c r="N121" s="105">
        <f>I121-G121</f>
        <v>0</v>
      </c>
      <c r="O121" s="130"/>
      <c r="P121" s="35"/>
      <c r="Q121" s="35"/>
      <c r="R121" s="35"/>
      <c r="S121" s="35"/>
    </row>
    <row r="122" spans="1:19" x14ac:dyDescent="0.2">
      <c r="A122" s="128">
        <v>3223</v>
      </c>
      <c r="B122" s="129" t="s">
        <v>19</v>
      </c>
      <c r="C122" s="103">
        <v>1858000</v>
      </c>
      <c r="D122" s="104"/>
      <c r="E122" s="104">
        <v>1858000</v>
      </c>
      <c r="F122" s="130">
        <v>1858000</v>
      </c>
      <c r="G122" s="130">
        <v>1858000</v>
      </c>
      <c r="H122" s="130">
        <v>1858000</v>
      </c>
      <c r="I122" s="130">
        <v>1858000</v>
      </c>
      <c r="J122" s="130">
        <v>1858000</v>
      </c>
      <c r="K122" s="105">
        <f t="shared" si="202"/>
        <v>0</v>
      </c>
      <c r="L122" s="104"/>
      <c r="M122" s="105">
        <f t="shared" si="203"/>
        <v>0</v>
      </c>
      <c r="N122" s="105">
        <f>I122-G122</f>
        <v>0</v>
      </c>
      <c r="O122" s="130"/>
      <c r="P122" s="35"/>
      <c r="Q122" s="35"/>
      <c r="R122" s="35"/>
      <c r="S122" s="35"/>
    </row>
    <row r="123" spans="1:19" x14ac:dyDescent="0.2">
      <c r="A123" s="128">
        <v>3224</v>
      </c>
      <c r="B123" s="129" t="s">
        <v>20</v>
      </c>
      <c r="C123" s="103">
        <v>53000</v>
      </c>
      <c r="D123" s="104"/>
      <c r="E123" s="104">
        <v>53000</v>
      </c>
      <c r="F123" s="130">
        <v>53000</v>
      </c>
      <c r="G123" s="130">
        <v>53000</v>
      </c>
      <c r="H123" s="130">
        <v>53000</v>
      </c>
      <c r="I123" s="130">
        <v>53000</v>
      </c>
      <c r="J123" s="130">
        <v>53000</v>
      </c>
      <c r="K123" s="105">
        <f t="shared" si="202"/>
        <v>0</v>
      </c>
      <c r="L123" s="104"/>
      <c r="M123" s="105">
        <f t="shared" si="203"/>
        <v>0</v>
      </c>
      <c r="N123" s="105">
        <f>I123-G123</f>
        <v>0</v>
      </c>
      <c r="O123" s="130"/>
      <c r="P123" s="35"/>
      <c r="Q123" s="35"/>
      <c r="R123" s="35"/>
      <c r="S123" s="35"/>
    </row>
    <row r="124" spans="1:19" x14ac:dyDescent="0.2">
      <c r="A124" s="128">
        <v>3225</v>
      </c>
      <c r="B124" s="129" t="s">
        <v>21</v>
      </c>
      <c r="C124" s="103">
        <v>80000</v>
      </c>
      <c r="D124" s="104"/>
      <c r="E124" s="104">
        <v>80000</v>
      </c>
      <c r="F124" s="130">
        <v>80000</v>
      </c>
      <c r="G124" s="130">
        <v>80000</v>
      </c>
      <c r="H124" s="130">
        <v>80000</v>
      </c>
      <c r="I124" s="130">
        <v>80000</v>
      </c>
      <c r="J124" s="130">
        <v>80000</v>
      </c>
      <c r="K124" s="105">
        <f t="shared" si="202"/>
        <v>0</v>
      </c>
      <c r="L124" s="104"/>
      <c r="M124" s="105">
        <f t="shared" si="203"/>
        <v>0</v>
      </c>
      <c r="N124" s="105">
        <f>I124-G124</f>
        <v>0</v>
      </c>
      <c r="O124" s="130"/>
      <c r="P124" s="35"/>
      <c r="Q124" s="35"/>
      <c r="R124" s="35"/>
      <c r="S124" s="35"/>
    </row>
    <row r="125" spans="1:19" x14ac:dyDescent="0.2">
      <c r="A125" s="125">
        <v>323</v>
      </c>
      <c r="B125" s="126" t="s">
        <v>23</v>
      </c>
      <c r="C125" s="97">
        <f t="shared" ref="C125:F125" si="204">SUM(C126:C131)</f>
        <v>5906000</v>
      </c>
      <c r="D125" s="98"/>
      <c r="E125" s="98">
        <f t="shared" ref="E125" si="205">SUM(E126:E131)</f>
        <v>6206000</v>
      </c>
      <c r="F125" s="127">
        <f t="shared" si="204"/>
        <v>5906000</v>
      </c>
      <c r="G125" s="127">
        <f t="shared" ref="G125:H125" si="206">SUM(G126:G131)</f>
        <v>5110000</v>
      </c>
      <c r="H125" s="127">
        <f t="shared" si="206"/>
        <v>5906000</v>
      </c>
      <c r="I125" s="127">
        <f t="shared" ref="I125:J125" si="207">SUM(I126:I131)</f>
        <v>5110000</v>
      </c>
      <c r="J125" s="127">
        <f t="shared" si="207"/>
        <v>5110000</v>
      </c>
      <c r="K125" s="127">
        <f t="shared" ref="K125" si="208">SUM(K126:K131)</f>
        <v>-300000</v>
      </c>
      <c r="L125" s="100"/>
      <c r="M125" s="127">
        <f t="shared" ref="M125:O125" si="209">SUM(M126:M131)</f>
        <v>0</v>
      </c>
      <c r="N125" s="127">
        <f t="shared" ref="N125" si="210">SUM(N126:N131)</f>
        <v>0</v>
      </c>
      <c r="O125" s="127">
        <f t="shared" si="209"/>
        <v>0</v>
      </c>
      <c r="P125" s="35"/>
      <c r="Q125" s="35"/>
      <c r="R125" s="35"/>
      <c r="S125" s="35"/>
    </row>
    <row r="126" spans="1:19" x14ac:dyDescent="0.2">
      <c r="A126" s="128">
        <v>3232</v>
      </c>
      <c r="B126" s="129" t="s">
        <v>25</v>
      </c>
      <c r="C126" s="103">
        <v>1858000</v>
      </c>
      <c r="D126" s="104"/>
      <c r="E126" s="104">
        <v>2158000</v>
      </c>
      <c r="F126" s="130">
        <v>1858000</v>
      </c>
      <c r="G126" s="130">
        <v>1858000</v>
      </c>
      <c r="H126" s="130">
        <v>1858000</v>
      </c>
      <c r="I126" s="130">
        <v>1858000</v>
      </c>
      <c r="J126" s="130">
        <v>1858000</v>
      </c>
      <c r="K126" s="105">
        <f t="shared" ref="K126:K131" si="211">H126-E126</f>
        <v>-300000</v>
      </c>
      <c r="L126" s="104"/>
      <c r="M126" s="105">
        <f t="shared" ref="M126:M131" si="212">H126-F126</f>
        <v>0</v>
      </c>
      <c r="N126" s="105">
        <f t="shared" ref="N126:N131" si="213">I126-G126</f>
        <v>0</v>
      </c>
      <c r="O126" s="130"/>
      <c r="P126" s="35"/>
      <c r="Q126" s="35"/>
      <c r="R126" s="35"/>
      <c r="S126" s="35"/>
    </row>
    <row r="127" spans="1:19" x14ac:dyDescent="0.2">
      <c r="A127" s="128">
        <v>3234</v>
      </c>
      <c r="B127" s="129" t="s">
        <v>27</v>
      </c>
      <c r="C127" s="103">
        <v>13000</v>
      </c>
      <c r="D127" s="104"/>
      <c r="E127" s="104">
        <v>13000</v>
      </c>
      <c r="F127" s="130">
        <v>13000</v>
      </c>
      <c r="G127" s="130">
        <v>13000</v>
      </c>
      <c r="H127" s="130">
        <v>13000</v>
      </c>
      <c r="I127" s="130">
        <v>13000</v>
      </c>
      <c r="J127" s="130">
        <v>13000</v>
      </c>
      <c r="K127" s="105">
        <f t="shared" si="211"/>
        <v>0</v>
      </c>
      <c r="L127" s="104"/>
      <c r="M127" s="105">
        <f t="shared" si="212"/>
        <v>0</v>
      </c>
      <c r="N127" s="105">
        <f t="shared" si="213"/>
        <v>0</v>
      </c>
      <c r="O127" s="130"/>
      <c r="P127" s="35"/>
      <c r="Q127" s="35"/>
      <c r="R127" s="35"/>
      <c r="S127" s="35"/>
    </row>
    <row r="128" spans="1:19" x14ac:dyDescent="0.2">
      <c r="A128" s="128">
        <v>3235</v>
      </c>
      <c r="B128" s="129" t="s">
        <v>28</v>
      </c>
      <c r="C128" s="103">
        <v>3052000</v>
      </c>
      <c r="D128" s="104"/>
      <c r="E128" s="104">
        <v>3052000</v>
      </c>
      <c r="F128" s="130">
        <v>3052000</v>
      </c>
      <c r="G128" s="130">
        <v>2521000</v>
      </c>
      <c r="H128" s="130">
        <v>3052000</v>
      </c>
      <c r="I128" s="130">
        <v>2521000</v>
      </c>
      <c r="J128" s="130">
        <v>2521000</v>
      </c>
      <c r="K128" s="105">
        <f t="shared" si="211"/>
        <v>0</v>
      </c>
      <c r="L128" s="104"/>
      <c r="M128" s="105">
        <f t="shared" si="212"/>
        <v>0</v>
      </c>
      <c r="N128" s="105">
        <f t="shared" si="213"/>
        <v>0</v>
      </c>
      <c r="O128" s="130"/>
      <c r="P128" s="35"/>
      <c r="Q128" s="35"/>
      <c r="R128" s="35"/>
      <c r="S128" s="35"/>
    </row>
    <row r="129" spans="1:19" x14ac:dyDescent="0.2">
      <c r="A129" s="128">
        <v>3236</v>
      </c>
      <c r="B129" s="129" t="s">
        <v>29</v>
      </c>
      <c r="C129" s="103">
        <v>27000</v>
      </c>
      <c r="D129" s="104"/>
      <c r="E129" s="104">
        <v>27000</v>
      </c>
      <c r="F129" s="130">
        <v>27000</v>
      </c>
      <c r="G129" s="130">
        <v>27000</v>
      </c>
      <c r="H129" s="130">
        <v>27000</v>
      </c>
      <c r="I129" s="130">
        <v>27000</v>
      </c>
      <c r="J129" s="130">
        <v>27000</v>
      </c>
      <c r="K129" s="105">
        <f t="shared" si="211"/>
        <v>0</v>
      </c>
      <c r="L129" s="104"/>
      <c r="M129" s="105">
        <f t="shared" si="212"/>
        <v>0</v>
      </c>
      <c r="N129" s="105">
        <f t="shared" si="213"/>
        <v>0</v>
      </c>
      <c r="O129" s="130"/>
      <c r="P129" s="35"/>
      <c r="Q129" s="35"/>
      <c r="R129" s="35"/>
      <c r="S129" s="35"/>
    </row>
    <row r="130" spans="1:19" x14ac:dyDescent="0.2">
      <c r="A130" s="128">
        <v>3237</v>
      </c>
      <c r="B130" s="129" t="s">
        <v>30</v>
      </c>
      <c r="C130" s="103">
        <v>27000</v>
      </c>
      <c r="D130" s="104"/>
      <c r="E130" s="104">
        <v>27000</v>
      </c>
      <c r="F130" s="130">
        <v>27000</v>
      </c>
      <c r="G130" s="130">
        <v>27000</v>
      </c>
      <c r="H130" s="130">
        <v>27000</v>
      </c>
      <c r="I130" s="130">
        <v>27000</v>
      </c>
      <c r="J130" s="130">
        <v>27000</v>
      </c>
      <c r="K130" s="105">
        <f t="shared" si="211"/>
        <v>0</v>
      </c>
      <c r="L130" s="104"/>
      <c r="M130" s="105">
        <f t="shared" si="212"/>
        <v>0</v>
      </c>
      <c r="N130" s="105">
        <f t="shared" si="213"/>
        <v>0</v>
      </c>
      <c r="O130" s="130"/>
      <c r="P130" s="35"/>
      <c r="Q130" s="35"/>
      <c r="R130" s="35"/>
      <c r="S130" s="35"/>
    </row>
    <row r="131" spans="1:19" x14ac:dyDescent="0.2">
      <c r="A131" s="128">
        <v>3239</v>
      </c>
      <c r="B131" s="129" t="s">
        <v>31</v>
      </c>
      <c r="C131" s="103">
        <v>929000</v>
      </c>
      <c r="D131" s="104"/>
      <c r="E131" s="104">
        <v>929000</v>
      </c>
      <c r="F131" s="130">
        <v>929000</v>
      </c>
      <c r="G131" s="130">
        <v>664000</v>
      </c>
      <c r="H131" s="130">
        <v>929000</v>
      </c>
      <c r="I131" s="130">
        <v>664000</v>
      </c>
      <c r="J131" s="130">
        <v>664000</v>
      </c>
      <c r="K131" s="105">
        <f t="shared" si="211"/>
        <v>0</v>
      </c>
      <c r="L131" s="104"/>
      <c r="M131" s="105">
        <f t="shared" si="212"/>
        <v>0</v>
      </c>
      <c r="N131" s="105">
        <f t="shared" si="213"/>
        <v>0</v>
      </c>
      <c r="O131" s="130"/>
      <c r="P131" s="35"/>
      <c r="Q131" s="35"/>
      <c r="R131" s="35"/>
      <c r="S131" s="35"/>
    </row>
    <row r="132" spans="1:19" x14ac:dyDescent="0.2">
      <c r="A132" s="125">
        <v>329</v>
      </c>
      <c r="B132" s="126" t="s">
        <v>33</v>
      </c>
      <c r="C132" s="97">
        <f t="shared" ref="C132:O132" si="214">SUM(C133)</f>
        <v>7000</v>
      </c>
      <c r="D132" s="98"/>
      <c r="E132" s="98">
        <f t="shared" si="214"/>
        <v>7000</v>
      </c>
      <c r="F132" s="127">
        <f t="shared" si="214"/>
        <v>7000</v>
      </c>
      <c r="G132" s="127">
        <f t="shared" si="214"/>
        <v>7000</v>
      </c>
      <c r="H132" s="127">
        <f t="shared" si="214"/>
        <v>7000</v>
      </c>
      <c r="I132" s="127">
        <f t="shared" si="214"/>
        <v>7000</v>
      </c>
      <c r="J132" s="127">
        <f t="shared" si="214"/>
        <v>7000</v>
      </c>
      <c r="K132" s="127">
        <f t="shared" si="214"/>
        <v>0</v>
      </c>
      <c r="L132" s="100"/>
      <c r="M132" s="127">
        <f t="shared" si="214"/>
        <v>0</v>
      </c>
      <c r="N132" s="127">
        <f t="shared" si="214"/>
        <v>0</v>
      </c>
      <c r="O132" s="127">
        <f t="shared" si="214"/>
        <v>0</v>
      </c>
      <c r="P132" s="35"/>
      <c r="Q132" s="35"/>
      <c r="R132" s="35"/>
      <c r="S132" s="35"/>
    </row>
    <row r="133" spans="1:19" x14ac:dyDescent="0.2">
      <c r="A133" s="128">
        <v>3292</v>
      </c>
      <c r="B133" s="129" t="s">
        <v>35</v>
      </c>
      <c r="C133" s="103">
        <v>7000</v>
      </c>
      <c r="D133" s="104"/>
      <c r="E133" s="104">
        <v>7000</v>
      </c>
      <c r="F133" s="130">
        <v>7000</v>
      </c>
      <c r="G133" s="130">
        <v>7000</v>
      </c>
      <c r="H133" s="130">
        <v>7000</v>
      </c>
      <c r="I133" s="130">
        <v>7000</v>
      </c>
      <c r="J133" s="130">
        <v>7000</v>
      </c>
      <c r="K133" s="105">
        <f t="shared" ref="K133" si="215">H133-E133</f>
        <v>0</v>
      </c>
      <c r="L133" s="104"/>
      <c r="M133" s="105">
        <f t="shared" ref="M133" si="216">H133-F133</f>
        <v>0</v>
      </c>
      <c r="N133" s="105">
        <f>I133-G133</f>
        <v>0</v>
      </c>
      <c r="O133" s="130"/>
      <c r="P133" s="35"/>
      <c r="Q133" s="35"/>
      <c r="R133" s="35"/>
      <c r="S133" s="35"/>
    </row>
    <row r="134" spans="1:19" s="2" customFormat="1" ht="21" customHeight="1" x14ac:dyDescent="0.2">
      <c r="A134" s="153" t="s">
        <v>131</v>
      </c>
      <c r="B134" s="154" t="s">
        <v>135</v>
      </c>
      <c r="C134" s="155">
        <f t="shared" ref="C134:O134" si="217">SUM(C135)</f>
        <v>22563000</v>
      </c>
      <c r="D134" s="156"/>
      <c r="E134" s="157">
        <f t="shared" si="217"/>
        <v>22563000</v>
      </c>
      <c r="F134" s="158">
        <f t="shared" si="217"/>
        <v>23193000</v>
      </c>
      <c r="G134" s="158">
        <f t="shared" si="217"/>
        <v>23193000</v>
      </c>
      <c r="H134" s="158">
        <f t="shared" si="217"/>
        <v>23193000</v>
      </c>
      <c r="I134" s="158">
        <f t="shared" si="217"/>
        <v>22593000</v>
      </c>
      <c r="J134" s="158">
        <f t="shared" si="217"/>
        <v>23193000</v>
      </c>
      <c r="K134" s="158">
        <f t="shared" si="217"/>
        <v>630000</v>
      </c>
      <c r="L134" s="158"/>
      <c r="M134" s="158">
        <f t="shared" si="217"/>
        <v>0</v>
      </c>
      <c r="N134" s="158">
        <f t="shared" si="217"/>
        <v>-600000</v>
      </c>
      <c r="O134" s="158">
        <f t="shared" si="217"/>
        <v>0</v>
      </c>
      <c r="P134" s="88" t="s">
        <v>419</v>
      </c>
      <c r="Q134" s="50"/>
      <c r="R134" s="50"/>
      <c r="S134" s="50"/>
    </row>
    <row r="135" spans="1:19" ht="18.75" customHeight="1" x14ac:dyDescent="0.2">
      <c r="A135" s="704" t="s">
        <v>1</v>
      </c>
      <c r="B135" s="704"/>
      <c r="C135" s="118">
        <f t="shared" ref="C135:G135" si="218">SUM(C138)</f>
        <v>22563000</v>
      </c>
      <c r="D135" s="119"/>
      <c r="E135" s="119">
        <f t="shared" ref="E135" si="219">SUM(E138)</f>
        <v>22563000</v>
      </c>
      <c r="F135" s="120">
        <f t="shared" si="218"/>
        <v>23193000</v>
      </c>
      <c r="G135" s="120">
        <f t="shared" si="218"/>
        <v>23193000</v>
      </c>
      <c r="H135" s="120">
        <f t="shared" ref="H135:I135" si="220">SUM(H138)</f>
        <v>23193000</v>
      </c>
      <c r="I135" s="120">
        <f t="shared" si="220"/>
        <v>22593000</v>
      </c>
      <c r="J135" s="120">
        <f t="shared" ref="J135:K135" si="221">SUM(J138)</f>
        <v>23193000</v>
      </c>
      <c r="K135" s="120">
        <f t="shared" si="221"/>
        <v>630000</v>
      </c>
      <c r="L135" s="121"/>
      <c r="M135" s="120">
        <f t="shared" ref="M135:O135" si="222">SUM(M138)</f>
        <v>0</v>
      </c>
      <c r="N135" s="120">
        <f t="shared" ref="N135" si="223">SUM(N138)</f>
        <v>-600000</v>
      </c>
      <c r="O135" s="120">
        <f t="shared" si="222"/>
        <v>0</v>
      </c>
      <c r="P135" s="159"/>
      <c r="Q135" s="35"/>
      <c r="R135" s="35"/>
      <c r="S135" s="35"/>
    </row>
    <row r="136" spans="1:19" s="2" customFormat="1" ht="16.5" hidden="1" customHeight="1" x14ac:dyDescent="0.2">
      <c r="A136" s="160" t="s">
        <v>149</v>
      </c>
      <c r="B136" s="161" t="s">
        <v>12</v>
      </c>
      <c r="C136" s="162">
        <f t="shared" ref="C136:O136" si="224">SUM(C137)</f>
        <v>0</v>
      </c>
      <c r="D136" s="163"/>
      <c r="E136" s="163">
        <f t="shared" si="224"/>
        <v>0</v>
      </c>
      <c r="F136" s="164">
        <f t="shared" si="224"/>
        <v>0</v>
      </c>
      <c r="G136" s="164">
        <f t="shared" si="224"/>
        <v>0</v>
      </c>
      <c r="H136" s="164">
        <f t="shared" si="224"/>
        <v>0</v>
      </c>
      <c r="I136" s="164">
        <f t="shared" si="224"/>
        <v>0</v>
      </c>
      <c r="J136" s="164">
        <f t="shared" si="224"/>
        <v>0</v>
      </c>
      <c r="K136" s="164">
        <f t="shared" si="224"/>
        <v>0</v>
      </c>
      <c r="L136" s="165"/>
      <c r="M136" s="164">
        <f t="shared" si="224"/>
        <v>0</v>
      </c>
      <c r="N136" s="164">
        <f t="shared" si="224"/>
        <v>0</v>
      </c>
      <c r="O136" s="164">
        <f t="shared" si="224"/>
        <v>0</v>
      </c>
      <c r="P136" s="166"/>
      <c r="Q136" s="50"/>
      <c r="R136" s="50"/>
      <c r="S136" s="50"/>
    </row>
    <row r="137" spans="1:19" hidden="1" x14ac:dyDescent="0.2">
      <c r="A137" s="167" t="s">
        <v>151</v>
      </c>
      <c r="B137" s="168" t="s">
        <v>14</v>
      </c>
      <c r="C137" s="169"/>
      <c r="D137" s="170"/>
      <c r="E137" s="170"/>
      <c r="F137" s="171"/>
      <c r="G137" s="171"/>
      <c r="H137" s="171"/>
      <c r="I137" s="171"/>
      <c r="J137" s="171"/>
      <c r="K137" s="171"/>
      <c r="L137" s="172"/>
      <c r="M137" s="171"/>
      <c r="N137" s="171"/>
      <c r="O137" s="171"/>
      <c r="P137" s="159"/>
      <c r="Q137" s="35"/>
      <c r="R137" s="35"/>
      <c r="S137" s="35"/>
    </row>
    <row r="138" spans="1:19" x14ac:dyDescent="0.2">
      <c r="A138" s="425" t="s">
        <v>324</v>
      </c>
      <c r="B138" s="426" t="s">
        <v>325</v>
      </c>
      <c r="C138" s="427">
        <f t="shared" ref="C138:G138" si="225">SUM(C139,C141,C144)</f>
        <v>22563000</v>
      </c>
      <c r="D138" s="428"/>
      <c r="E138" s="428">
        <f t="shared" ref="E138" si="226">SUM(E139,E141,E144)</f>
        <v>22563000</v>
      </c>
      <c r="F138" s="429">
        <f t="shared" si="225"/>
        <v>23193000</v>
      </c>
      <c r="G138" s="429">
        <f t="shared" si="225"/>
        <v>23193000</v>
      </c>
      <c r="H138" s="429">
        <f t="shared" ref="H138:I138" si="227">SUM(H139,H141,H144)</f>
        <v>23193000</v>
      </c>
      <c r="I138" s="429">
        <f t="shared" si="227"/>
        <v>22593000</v>
      </c>
      <c r="J138" s="429">
        <f t="shared" ref="J138:K138" si="228">SUM(J139,J141,J144)</f>
        <v>23193000</v>
      </c>
      <c r="K138" s="173">
        <f t="shared" si="228"/>
        <v>630000</v>
      </c>
      <c r="L138" s="174"/>
      <c r="M138" s="173">
        <f t="shared" ref="M138:O138" si="229">SUM(M139,M141,M144)</f>
        <v>0</v>
      </c>
      <c r="N138" s="173">
        <f t="shared" ref="N138" si="230">SUM(N139,N141,N144)</f>
        <v>-600000</v>
      </c>
      <c r="O138" s="173">
        <f t="shared" si="229"/>
        <v>0</v>
      </c>
      <c r="P138" s="159"/>
      <c r="Q138" s="35"/>
      <c r="R138" s="35"/>
      <c r="S138" s="35"/>
    </row>
    <row r="139" spans="1:19" x14ac:dyDescent="0.2">
      <c r="A139" s="160" t="s">
        <v>153</v>
      </c>
      <c r="B139" s="161" t="s">
        <v>16</v>
      </c>
      <c r="C139" s="175">
        <f t="shared" ref="C139:O139" si="231">C140</f>
        <v>7000</v>
      </c>
      <c r="D139" s="176"/>
      <c r="E139" s="176">
        <f t="shared" si="231"/>
        <v>7000</v>
      </c>
      <c r="F139" s="177">
        <f t="shared" si="231"/>
        <v>7000</v>
      </c>
      <c r="G139" s="177">
        <f t="shared" si="231"/>
        <v>7000</v>
      </c>
      <c r="H139" s="177">
        <f t="shared" si="231"/>
        <v>7000</v>
      </c>
      <c r="I139" s="177">
        <f t="shared" si="231"/>
        <v>7000</v>
      </c>
      <c r="J139" s="177">
        <f t="shared" si="231"/>
        <v>7000</v>
      </c>
      <c r="K139" s="177">
        <f t="shared" si="231"/>
        <v>0</v>
      </c>
      <c r="L139" s="178"/>
      <c r="M139" s="177">
        <f t="shared" si="231"/>
        <v>0</v>
      </c>
      <c r="N139" s="177">
        <f t="shared" si="231"/>
        <v>0</v>
      </c>
      <c r="O139" s="177">
        <f t="shared" si="231"/>
        <v>0</v>
      </c>
      <c r="P139" s="159"/>
      <c r="Q139" s="35"/>
      <c r="R139" s="35"/>
      <c r="S139" s="35"/>
    </row>
    <row r="140" spans="1:19" x14ac:dyDescent="0.2">
      <c r="A140" s="179">
        <v>3222</v>
      </c>
      <c r="B140" s="180" t="s">
        <v>18</v>
      </c>
      <c r="C140" s="169">
        <v>7000</v>
      </c>
      <c r="D140" s="170"/>
      <c r="E140" s="170">
        <v>7000</v>
      </c>
      <c r="F140" s="171">
        <v>7000</v>
      </c>
      <c r="G140" s="171">
        <v>7000</v>
      </c>
      <c r="H140" s="171">
        <v>7000</v>
      </c>
      <c r="I140" s="171">
        <v>7000</v>
      </c>
      <c r="J140" s="171">
        <v>7000</v>
      </c>
      <c r="K140" s="105">
        <f t="shared" ref="K140" si="232">H140-E140</f>
        <v>0</v>
      </c>
      <c r="L140" s="104"/>
      <c r="M140" s="105">
        <f>H140-F140</f>
        <v>0</v>
      </c>
      <c r="N140" s="105">
        <f>I140-G140</f>
        <v>0</v>
      </c>
      <c r="O140" s="171"/>
      <c r="P140" s="159"/>
      <c r="Q140" s="35"/>
      <c r="R140" s="35"/>
      <c r="S140" s="35"/>
    </row>
    <row r="141" spans="1:19" s="2" customFormat="1" ht="15" customHeight="1" x14ac:dyDescent="0.2">
      <c r="A141" s="160" t="s">
        <v>159</v>
      </c>
      <c r="B141" s="161" t="s">
        <v>123</v>
      </c>
      <c r="C141" s="162">
        <f t="shared" ref="C141:F141" si="233">SUM(C142:C143)</f>
        <v>22224000</v>
      </c>
      <c r="D141" s="163"/>
      <c r="E141" s="163">
        <f t="shared" ref="E141" si="234">SUM(E142:E143)</f>
        <v>22224000</v>
      </c>
      <c r="F141" s="164">
        <f t="shared" si="233"/>
        <v>22854000</v>
      </c>
      <c r="G141" s="164">
        <f t="shared" ref="G141:H141" si="235">SUM(G142:G143)</f>
        <v>22854000</v>
      </c>
      <c r="H141" s="164">
        <f t="shared" si="235"/>
        <v>22854000</v>
      </c>
      <c r="I141" s="164">
        <f t="shared" ref="I141:J141" si="236">SUM(I142:I143)</f>
        <v>22254000</v>
      </c>
      <c r="J141" s="164">
        <f t="shared" si="236"/>
        <v>22854000</v>
      </c>
      <c r="K141" s="164">
        <f t="shared" ref="K141" si="237">SUM(K142:K143)</f>
        <v>630000</v>
      </c>
      <c r="L141" s="165"/>
      <c r="M141" s="164">
        <f t="shared" ref="M141:O141" si="238">SUM(M142:M143)</f>
        <v>0</v>
      </c>
      <c r="N141" s="164">
        <f t="shared" ref="N141" si="239">SUM(N142:N143)</f>
        <v>-600000</v>
      </c>
      <c r="O141" s="164">
        <f t="shared" si="238"/>
        <v>0</v>
      </c>
      <c r="P141" s="166"/>
      <c r="Q141" s="50"/>
      <c r="R141" s="50"/>
      <c r="S141" s="50"/>
    </row>
    <row r="142" spans="1:19" ht="14.25" customHeight="1" x14ac:dyDescent="0.2">
      <c r="A142" s="167" t="s">
        <v>166</v>
      </c>
      <c r="B142" s="168" t="s">
        <v>30</v>
      </c>
      <c r="C142" s="169">
        <v>292000</v>
      </c>
      <c r="D142" s="170"/>
      <c r="E142" s="170">
        <v>292000</v>
      </c>
      <c r="F142" s="171">
        <v>292000</v>
      </c>
      <c r="G142" s="171">
        <v>292000</v>
      </c>
      <c r="H142" s="171">
        <v>292000</v>
      </c>
      <c r="I142" s="171">
        <v>292000</v>
      </c>
      <c r="J142" s="171">
        <v>292000</v>
      </c>
      <c r="K142" s="105">
        <f t="shared" ref="K142:K143" si="240">H142-E142</f>
        <v>0</v>
      </c>
      <c r="L142" s="104"/>
      <c r="M142" s="105">
        <f t="shared" ref="M142:M143" si="241">H142-F142</f>
        <v>0</v>
      </c>
      <c r="N142" s="105">
        <f>I142-G142</f>
        <v>0</v>
      </c>
      <c r="O142" s="171"/>
      <c r="P142" s="159"/>
      <c r="Q142" s="35"/>
      <c r="R142" s="35"/>
      <c r="S142" s="35"/>
    </row>
    <row r="143" spans="1:19" x14ac:dyDescent="0.2">
      <c r="A143" s="167" t="s">
        <v>167</v>
      </c>
      <c r="B143" s="168" t="s">
        <v>31</v>
      </c>
      <c r="C143" s="169">
        <v>21932000</v>
      </c>
      <c r="D143" s="170"/>
      <c r="E143" s="170">
        <v>21932000</v>
      </c>
      <c r="F143" s="171">
        <v>22562000</v>
      </c>
      <c r="G143" s="171">
        <v>22562000</v>
      </c>
      <c r="H143" s="171">
        <v>22562000</v>
      </c>
      <c r="I143" s="171">
        <f>22562000-600000</f>
        <v>21962000</v>
      </c>
      <c r="J143" s="171">
        <v>22562000</v>
      </c>
      <c r="K143" s="105">
        <f t="shared" si="240"/>
        <v>630000</v>
      </c>
      <c r="L143" s="104"/>
      <c r="M143" s="105">
        <f t="shared" si="241"/>
        <v>0</v>
      </c>
      <c r="N143" s="105">
        <f>I143-G143</f>
        <v>-600000</v>
      </c>
      <c r="O143" s="171"/>
      <c r="P143" s="159"/>
      <c r="Q143" s="35"/>
      <c r="R143" s="35"/>
      <c r="S143" s="35"/>
    </row>
    <row r="144" spans="1:19" s="2" customFormat="1" ht="24" customHeight="1" x14ac:dyDescent="0.2">
      <c r="A144" s="160" t="s">
        <v>170</v>
      </c>
      <c r="B144" s="161" t="s">
        <v>33</v>
      </c>
      <c r="C144" s="162">
        <f t="shared" ref="C144:O144" si="242">SUM(C145)</f>
        <v>332000</v>
      </c>
      <c r="D144" s="163"/>
      <c r="E144" s="163">
        <f t="shared" si="242"/>
        <v>332000</v>
      </c>
      <c r="F144" s="164">
        <f t="shared" si="242"/>
        <v>332000</v>
      </c>
      <c r="G144" s="164">
        <f t="shared" si="242"/>
        <v>332000</v>
      </c>
      <c r="H144" s="164">
        <f t="shared" si="242"/>
        <v>332000</v>
      </c>
      <c r="I144" s="164">
        <f t="shared" si="242"/>
        <v>332000</v>
      </c>
      <c r="J144" s="164">
        <f t="shared" si="242"/>
        <v>332000</v>
      </c>
      <c r="K144" s="164">
        <f t="shared" si="242"/>
        <v>0</v>
      </c>
      <c r="L144" s="165"/>
      <c r="M144" s="164">
        <f t="shared" si="242"/>
        <v>0</v>
      </c>
      <c r="N144" s="164">
        <f t="shared" si="242"/>
        <v>0</v>
      </c>
      <c r="O144" s="164">
        <f t="shared" si="242"/>
        <v>0</v>
      </c>
      <c r="P144" s="166"/>
      <c r="Q144" s="50"/>
      <c r="R144" s="50"/>
      <c r="S144" s="50"/>
    </row>
    <row r="145" spans="1:19" ht="12.75" customHeight="1" x14ac:dyDescent="0.2">
      <c r="A145" s="167" t="s">
        <v>173</v>
      </c>
      <c r="B145" s="168" t="s">
        <v>33</v>
      </c>
      <c r="C145" s="169">
        <v>332000</v>
      </c>
      <c r="D145" s="170"/>
      <c r="E145" s="170">
        <v>332000</v>
      </c>
      <c r="F145" s="171">
        <v>332000</v>
      </c>
      <c r="G145" s="171">
        <v>332000</v>
      </c>
      <c r="H145" s="171">
        <v>332000</v>
      </c>
      <c r="I145" s="171">
        <v>332000</v>
      </c>
      <c r="J145" s="171">
        <v>332000</v>
      </c>
      <c r="K145" s="105">
        <f t="shared" ref="K145" si="243">H145-E145</f>
        <v>0</v>
      </c>
      <c r="L145" s="104"/>
      <c r="M145" s="105">
        <f t="shared" ref="M145" si="244">H145-F145</f>
        <v>0</v>
      </c>
      <c r="N145" s="105">
        <f>I145-G145</f>
        <v>0</v>
      </c>
      <c r="O145" s="171"/>
      <c r="P145" s="159"/>
      <c r="Q145" s="35"/>
      <c r="R145" s="35"/>
      <c r="S145" s="35"/>
    </row>
    <row r="146" spans="1:19" s="2" customFormat="1" ht="0.75" hidden="1" customHeight="1" x14ac:dyDescent="0.2">
      <c r="A146" s="160" t="s">
        <v>214</v>
      </c>
      <c r="B146" s="161" t="s">
        <v>132</v>
      </c>
      <c r="C146" s="162">
        <f t="shared" ref="C146:O146" si="245">SUM(C147)</f>
        <v>0</v>
      </c>
      <c r="D146" s="163"/>
      <c r="E146" s="163">
        <f t="shared" si="245"/>
        <v>0</v>
      </c>
      <c r="F146" s="164">
        <f t="shared" si="245"/>
        <v>0</v>
      </c>
      <c r="G146" s="164">
        <f t="shared" si="245"/>
        <v>0</v>
      </c>
      <c r="H146" s="164">
        <f t="shared" si="245"/>
        <v>0</v>
      </c>
      <c r="I146" s="164">
        <f t="shared" si="245"/>
        <v>0</v>
      </c>
      <c r="J146" s="164">
        <f t="shared" si="245"/>
        <v>0</v>
      </c>
      <c r="K146" s="164">
        <f t="shared" si="245"/>
        <v>0</v>
      </c>
      <c r="L146" s="165"/>
      <c r="M146" s="164">
        <f t="shared" si="245"/>
        <v>0</v>
      </c>
      <c r="N146" s="164">
        <f t="shared" si="245"/>
        <v>0</v>
      </c>
      <c r="O146" s="164">
        <f t="shared" si="245"/>
        <v>0</v>
      </c>
      <c r="P146" s="50"/>
      <c r="Q146" s="50"/>
      <c r="R146" s="50"/>
      <c r="S146" s="50"/>
    </row>
    <row r="147" spans="1:19" hidden="1" x14ac:dyDescent="0.2">
      <c r="A147" s="167" t="s">
        <v>215</v>
      </c>
      <c r="B147" s="168" t="s">
        <v>132</v>
      </c>
      <c r="C147" s="169"/>
      <c r="D147" s="170"/>
      <c r="E147" s="170"/>
      <c r="F147" s="171"/>
      <c r="G147" s="171"/>
      <c r="H147" s="171"/>
      <c r="I147" s="171"/>
      <c r="J147" s="171"/>
      <c r="K147" s="171"/>
      <c r="L147" s="172"/>
      <c r="M147" s="171"/>
      <c r="N147" s="171"/>
      <c r="O147" s="171"/>
      <c r="P147" s="35"/>
      <c r="Q147" s="35"/>
      <c r="R147" s="35"/>
      <c r="S147" s="35"/>
    </row>
    <row r="148" spans="1:19" ht="21.75" customHeight="1" x14ac:dyDescent="0.2">
      <c r="A148" s="153" t="s">
        <v>272</v>
      </c>
      <c r="B148" s="154" t="s">
        <v>273</v>
      </c>
      <c r="C148" s="155">
        <f t="shared" ref="C148:O148" si="246">SUM(C149)</f>
        <v>4620000</v>
      </c>
      <c r="D148" s="156"/>
      <c r="E148" s="157">
        <f t="shared" si="246"/>
        <v>7623000</v>
      </c>
      <c r="F148" s="158">
        <f t="shared" si="246"/>
        <v>1422000</v>
      </c>
      <c r="G148" s="158">
        <f t="shared" si="246"/>
        <v>1429000</v>
      </c>
      <c r="H148" s="474">
        <f t="shared" si="246"/>
        <v>3783000</v>
      </c>
      <c r="I148" s="158">
        <f t="shared" si="246"/>
        <v>2086000</v>
      </c>
      <c r="J148" s="158">
        <f t="shared" si="246"/>
        <v>2086000</v>
      </c>
      <c r="K148" s="158">
        <f t="shared" si="246"/>
        <v>-3840000</v>
      </c>
      <c r="L148" s="158"/>
      <c r="M148" s="158">
        <f t="shared" si="246"/>
        <v>2361000</v>
      </c>
      <c r="N148" s="158">
        <f t="shared" si="246"/>
        <v>657000</v>
      </c>
      <c r="O148" s="158">
        <f t="shared" si="246"/>
        <v>0</v>
      </c>
      <c r="P148" s="35" t="s">
        <v>425</v>
      </c>
      <c r="Q148" s="35"/>
      <c r="R148" s="35"/>
      <c r="S148" s="35"/>
    </row>
    <row r="149" spans="1:19" ht="18" customHeight="1" x14ac:dyDescent="0.2">
      <c r="A149" s="704" t="s">
        <v>1</v>
      </c>
      <c r="B149" s="704"/>
      <c r="C149" s="118">
        <f t="shared" ref="C149:G149" si="247">SUM(C150,C188,C191,C198)</f>
        <v>4620000</v>
      </c>
      <c r="D149" s="119"/>
      <c r="E149" s="119">
        <f t="shared" ref="E149" si="248">SUM(E150,E188,E191,E198)</f>
        <v>7623000</v>
      </c>
      <c r="F149" s="120">
        <f t="shared" si="247"/>
        <v>1422000</v>
      </c>
      <c r="G149" s="120">
        <f t="shared" si="247"/>
        <v>1429000</v>
      </c>
      <c r="H149" s="120">
        <f t="shared" ref="H149:I149" si="249">SUM(H150,H188,H191,H198)</f>
        <v>3783000</v>
      </c>
      <c r="I149" s="120">
        <f t="shared" si="249"/>
        <v>2086000</v>
      </c>
      <c r="J149" s="120">
        <f t="shared" ref="J149:K149" si="250">SUM(J150,J188,J191,J198)</f>
        <v>2086000</v>
      </c>
      <c r="K149" s="120">
        <f t="shared" si="250"/>
        <v>-3840000</v>
      </c>
      <c r="L149" s="121"/>
      <c r="M149" s="120">
        <f t="shared" ref="M149:O149" si="251">SUM(M150,M188,M191,M198)</f>
        <v>2361000</v>
      </c>
      <c r="N149" s="120">
        <f t="shared" ref="N149" si="252">SUM(N150,N188,N191,N198)</f>
        <v>657000</v>
      </c>
      <c r="O149" s="120">
        <f t="shared" si="251"/>
        <v>0</v>
      </c>
      <c r="P149" s="35"/>
      <c r="Q149" s="35"/>
      <c r="R149" s="35"/>
      <c r="S149" s="35"/>
    </row>
    <row r="150" spans="1:19" ht="18" customHeight="1" x14ac:dyDescent="0.2">
      <c r="A150" s="418" t="s">
        <v>324</v>
      </c>
      <c r="B150" s="414" t="s">
        <v>325</v>
      </c>
      <c r="C150" s="419">
        <f>SUM(C151,C153,C160,C170,C172)</f>
        <v>2330000</v>
      </c>
      <c r="D150" s="420"/>
      <c r="E150" s="420">
        <f>SUM(E151,E153,E160,E170,E172)</f>
        <v>5559000</v>
      </c>
      <c r="F150" s="420">
        <f t="shared" ref="F150:O150" si="253">SUM(F151,F153,F160,F170,F172)</f>
        <v>943000</v>
      </c>
      <c r="G150" s="420">
        <f t="shared" si="253"/>
        <v>846000</v>
      </c>
      <c r="H150" s="420">
        <f t="shared" si="253"/>
        <v>1389000</v>
      </c>
      <c r="I150" s="420">
        <f t="shared" si="253"/>
        <v>1365000</v>
      </c>
      <c r="J150" s="420">
        <f t="shared" si="253"/>
        <v>1365000</v>
      </c>
      <c r="K150" s="122">
        <f t="shared" si="253"/>
        <v>-4170000</v>
      </c>
      <c r="L150" s="122"/>
      <c r="M150" s="122">
        <f t="shared" si="253"/>
        <v>446000</v>
      </c>
      <c r="N150" s="122">
        <f t="shared" si="253"/>
        <v>519000</v>
      </c>
      <c r="O150" s="122">
        <f t="shared" si="253"/>
        <v>0</v>
      </c>
      <c r="P150" s="35"/>
      <c r="Q150" s="35"/>
      <c r="R150" s="35"/>
      <c r="S150" s="35"/>
    </row>
    <row r="151" spans="1:19" ht="18" customHeight="1" x14ac:dyDescent="0.2">
      <c r="A151" s="125">
        <v>321</v>
      </c>
      <c r="B151" s="126" t="s">
        <v>12</v>
      </c>
      <c r="C151" s="181">
        <f>SUM(C152)</f>
        <v>0</v>
      </c>
      <c r="D151" s="182"/>
      <c r="E151" s="182">
        <f>SUM(E152)</f>
        <v>0</v>
      </c>
      <c r="F151" s="182">
        <f t="shared" ref="F151:J151" si="254">SUM(F152)</f>
        <v>0</v>
      </c>
      <c r="G151" s="182">
        <f t="shared" si="254"/>
        <v>0</v>
      </c>
      <c r="H151" s="182">
        <f t="shared" si="254"/>
        <v>4000</v>
      </c>
      <c r="I151" s="182">
        <f t="shared" si="254"/>
        <v>5000</v>
      </c>
      <c r="J151" s="182">
        <f t="shared" si="254"/>
        <v>5000</v>
      </c>
      <c r="K151" s="183">
        <f>SUM(K152)</f>
        <v>4000</v>
      </c>
      <c r="L151" s="183"/>
      <c r="M151" s="183">
        <f t="shared" ref="M151:N151" si="255">SUM(M152)</f>
        <v>4000</v>
      </c>
      <c r="N151" s="183">
        <f t="shared" si="255"/>
        <v>5000</v>
      </c>
      <c r="O151" s="183"/>
      <c r="P151" s="35"/>
      <c r="Q151" s="35"/>
      <c r="R151" s="35"/>
      <c r="S151" s="35"/>
    </row>
    <row r="152" spans="1:19" ht="18" customHeight="1" x14ac:dyDescent="0.2">
      <c r="A152" s="128">
        <v>3213</v>
      </c>
      <c r="B152" s="129" t="s">
        <v>15</v>
      </c>
      <c r="C152" s="181"/>
      <c r="D152" s="182"/>
      <c r="E152" s="182"/>
      <c r="F152" s="183"/>
      <c r="G152" s="183"/>
      <c r="H152" s="184">
        <v>4000</v>
      </c>
      <c r="I152" s="184">
        <v>5000</v>
      </c>
      <c r="J152" s="184">
        <v>5000</v>
      </c>
      <c r="K152" s="184">
        <f t="shared" ref="K152" si="256">H152-E152</f>
        <v>4000</v>
      </c>
      <c r="L152" s="184"/>
      <c r="M152" s="184">
        <f>H152-F152</f>
        <v>4000</v>
      </c>
      <c r="N152" s="184">
        <f>I152-G152</f>
        <v>5000</v>
      </c>
      <c r="O152" s="183"/>
      <c r="P152" s="35"/>
      <c r="Q152" s="35"/>
      <c r="R152" s="35"/>
      <c r="S152" s="35"/>
    </row>
    <row r="153" spans="1:19" x14ac:dyDescent="0.2">
      <c r="A153" s="125">
        <v>322</v>
      </c>
      <c r="B153" s="126" t="s">
        <v>16</v>
      </c>
      <c r="C153" s="97">
        <f t="shared" ref="C153:F153" si="257">SUM(C154:C159)</f>
        <v>92000</v>
      </c>
      <c r="D153" s="98"/>
      <c r="E153" s="98">
        <f t="shared" ref="E153" si="258">SUM(E154:E159)</f>
        <v>92000</v>
      </c>
      <c r="F153" s="127">
        <f t="shared" si="257"/>
        <v>90000</v>
      </c>
      <c r="G153" s="127">
        <f t="shared" ref="G153:H153" si="259">SUM(G154:G159)</f>
        <v>27000</v>
      </c>
      <c r="H153" s="127">
        <f t="shared" si="259"/>
        <v>154000</v>
      </c>
      <c r="I153" s="127">
        <f t="shared" ref="I153:J153" si="260">SUM(I154:I159)</f>
        <v>159000</v>
      </c>
      <c r="J153" s="127">
        <f t="shared" si="260"/>
        <v>159000</v>
      </c>
      <c r="K153" s="127">
        <f t="shared" ref="K153" si="261">SUM(K154:K159)</f>
        <v>62000</v>
      </c>
      <c r="L153" s="100"/>
      <c r="M153" s="127">
        <f t="shared" ref="M153:O153" si="262">SUM(M154:M159)</f>
        <v>64000</v>
      </c>
      <c r="N153" s="127">
        <f t="shared" ref="N153" si="263">SUM(N154:N159)</f>
        <v>132000</v>
      </c>
      <c r="O153" s="127">
        <f t="shared" si="262"/>
        <v>0</v>
      </c>
      <c r="P153" s="35"/>
      <c r="Q153" s="35"/>
      <c r="R153" s="35"/>
      <c r="S153" s="35"/>
    </row>
    <row r="154" spans="1:19" x14ac:dyDescent="0.2">
      <c r="A154" s="128">
        <v>3221</v>
      </c>
      <c r="B154" s="129" t="s">
        <v>17</v>
      </c>
      <c r="C154" s="103">
        <v>7000</v>
      </c>
      <c r="D154" s="104"/>
      <c r="E154" s="104">
        <v>7000</v>
      </c>
      <c r="F154" s="130">
        <v>7000</v>
      </c>
      <c r="G154" s="130">
        <v>7000</v>
      </c>
      <c r="H154" s="130">
        <v>7000</v>
      </c>
      <c r="I154" s="130">
        <v>7000</v>
      </c>
      <c r="J154" s="130">
        <v>7000</v>
      </c>
      <c r="K154" s="105">
        <f t="shared" ref="K154:K159" si="264">H154-E154</f>
        <v>0</v>
      </c>
      <c r="L154" s="104"/>
      <c r="M154" s="105">
        <f t="shared" ref="M154:N159" si="265">H154-F154</f>
        <v>0</v>
      </c>
      <c r="N154" s="105">
        <f t="shared" si="265"/>
        <v>0</v>
      </c>
      <c r="O154" s="130"/>
      <c r="P154" s="35"/>
      <c r="Q154" s="35"/>
      <c r="R154" s="35"/>
      <c r="S154" s="35"/>
    </row>
    <row r="155" spans="1:19" ht="12.75" customHeight="1" x14ac:dyDescent="0.2">
      <c r="A155" s="128">
        <v>3222</v>
      </c>
      <c r="B155" s="129" t="s">
        <v>18</v>
      </c>
      <c r="C155" s="103">
        <v>7000</v>
      </c>
      <c r="D155" s="104"/>
      <c r="E155" s="104">
        <v>7000</v>
      </c>
      <c r="F155" s="130">
        <v>7000</v>
      </c>
      <c r="G155" s="130">
        <v>7000</v>
      </c>
      <c r="H155" s="130">
        <v>7000</v>
      </c>
      <c r="I155" s="130">
        <v>7000</v>
      </c>
      <c r="J155" s="130">
        <v>7000</v>
      </c>
      <c r="K155" s="105">
        <f t="shared" si="264"/>
        <v>0</v>
      </c>
      <c r="L155" s="104"/>
      <c r="M155" s="105">
        <f t="shared" si="265"/>
        <v>0</v>
      </c>
      <c r="N155" s="105">
        <f t="shared" si="265"/>
        <v>0</v>
      </c>
      <c r="O155" s="130"/>
      <c r="P155" s="35"/>
      <c r="Q155" s="35"/>
      <c r="R155" s="35"/>
      <c r="S155" s="35"/>
    </row>
    <row r="156" spans="1:19" hidden="1" x14ac:dyDescent="0.2">
      <c r="A156" s="128">
        <v>3223</v>
      </c>
      <c r="B156" s="129" t="s">
        <v>19</v>
      </c>
      <c r="C156" s="103"/>
      <c r="D156" s="104"/>
      <c r="E156" s="104"/>
      <c r="F156" s="130"/>
      <c r="G156" s="130"/>
      <c r="H156" s="130"/>
      <c r="I156" s="130"/>
      <c r="J156" s="130"/>
      <c r="K156" s="105">
        <f t="shared" si="264"/>
        <v>0</v>
      </c>
      <c r="L156" s="104"/>
      <c r="M156" s="105">
        <f t="shared" si="265"/>
        <v>0</v>
      </c>
      <c r="N156" s="105">
        <f t="shared" si="265"/>
        <v>0</v>
      </c>
      <c r="O156" s="130"/>
      <c r="P156" s="35"/>
      <c r="Q156" s="35"/>
      <c r="R156" s="35"/>
      <c r="S156" s="35"/>
    </row>
    <row r="157" spans="1:19" x14ac:dyDescent="0.2">
      <c r="A157" s="128">
        <v>3224</v>
      </c>
      <c r="B157" s="129" t="s">
        <v>20</v>
      </c>
      <c r="C157" s="103">
        <v>3000</v>
      </c>
      <c r="D157" s="104"/>
      <c r="E157" s="104">
        <v>3000</v>
      </c>
      <c r="F157" s="130">
        <v>3000</v>
      </c>
      <c r="G157" s="130">
        <v>3000</v>
      </c>
      <c r="H157" s="130">
        <v>3000</v>
      </c>
      <c r="I157" s="130">
        <v>3000</v>
      </c>
      <c r="J157" s="130">
        <v>3000</v>
      </c>
      <c r="K157" s="105">
        <f t="shared" si="264"/>
        <v>0</v>
      </c>
      <c r="L157" s="104"/>
      <c r="M157" s="105">
        <f t="shared" si="265"/>
        <v>0</v>
      </c>
      <c r="N157" s="105">
        <f t="shared" si="265"/>
        <v>0</v>
      </c>
      <c r="O157" s="130"/>
      <c r="P157" s="35"/>
      <c r="Q157" s="35"/>
      <c r="R157" s="35"/>
      <c r="S157" s="35"/>
    </row>
    <row r="158" spans="1:19" x14ac:dyDescent="0.2">
      <c r="A158" s="128">
        <v>3225</v>
      </c>
      <c r="B158" s="129" t="s">
        <v>21</v>
      </c>
      <c r="C158" s="103">
        <v>16000</v>
      </c>
      <c r="D158" s="104"/>
      <c r="E158" s="104">
        <v>16000</v>
      </c>
      <c r="F158" s="130">
        <v>7000</v>
      </c>
      <c r="G158" s="130">
        <v>7000</v>
      </c>
      <c r="H158" s="130">
        <v>12000</v>
      </c>
      <c r="I158" s="130">
        <v>12000</v>
      </c>
      <c r="J158" s="130">
        <v>12000</v>
      </c>
      <c r="K158" s="105">
        <f t="shared" si="264"/>
        <v>-4000</v>
      </c>
      <c r="L158" s="104"/>
      <c r="M158" s="105">
        <f t="shared" si="265"/>
        <v>5000</v>
      </c>
      <c r="N158" s="105">
        <f t="shared" si="265"/>
        <v>5000</v>
      </c>
      <c r="O158" s="130"/>
      <c r="P158" s="35"/>
      <c r="Q158" s="35"/>
      <c r="R158" s="35"/>
      <c r="S158" s="35"/>
    </row>
    <row r="159" spans="1:19" x14ac:dyDescent="0.2">
      <c r="A159" s="128">
        <v>3227</v>
      </c>
      <c r="B159" s="129" t="s">
        <v>22</v>
      </c>
      <c r="C159" s="103">
        <v>59000</v>
      </c>
      <c r="D159" s="104"/>
      <c r="E159" s="104">
        <v>59000</v>
      </c>
      <c r="F159" s="130">
        <v>66000</v>
      </c>
      <c r="G159" s="130">
        <v>3000</v>
      </c>
      <c r="H159" s="186">
        <v>125000</v>
      </c>
      <c r="I159" s="186">
        <v>130000</v>
      </c>
      <c r="J159" s="186">
        <v>130000</v>
      </c>
      <c r="K159" s="105">
        <f t="shared" si="264"/>
        <v>66000</v>
      </c>
      <c r="L159" s="104"/>
      <c r="M159" s="105">
        <f t="shared" si="265"/>
        <v>59000</v>
      </c>
      <c r="N159" s="105">
        <f t="shared" si="265"/>
        <v>127000</v>
      </c>
      <c r="O159" s="130"/>
      <c r="P159" s="35"/>
      <c r="Q159" s="35"/>
      <c r="R159" s="35"/>
      <c r="S159" s="35"/>
    </row>
    <row r="160" spans="1:19" ht="11.25" customHeight="1" x14ac:dyDescent="0.2">
      <c r="A160" s="125">
        <v>323</v>
      </c>
      <c r="B160" s="126" t="s">
        <v>23</v>
      </c>
      <c r="C160" s="97">
        <f t="shared" ref="C160:F160" si="266">SUM(C161:C169)</f>
        <v>725000</v>
      </c>
      <c r="D160" s="98"/>
      <c r="E160" s="98">
        <f t="shared" ref="E160" si="267">SUM(E161:E169)</f>
        <v>547000</v>
      </c>
      <c r="F160" s="127">
        <f t="shared" si="266"/>
        <v>716000</v>
      </c>
      <c r="G160" s="127">
        <f t="shared" ref="G160:H160" si="268">SUM(G161:G169)</f>
        <v>682000</v>
      </c>
      <c r="H160" s="127">
        <f t="shared" si="268"/>
        <v>1001000</v>
      </c>
      <c r="I160" s="127">
        <f t="shared" ref="I160:J160" si="269">SUM(I161:I169)</f>
        <v>955000</v>
      </c>
      <c r="J160" s="127">
        <f t="shared" si="269"/>
        <v>955000</v>
      </c>
      <c r="K160" s="127">
        <f t="shared" ref="K160" si="270">SUM(K161:K169)</f>
        <v>454000</v>
      </c>
      <c r="L160" s="100"/>
      <c r="M160" s="127">
        <f t="shared" ref="M160:O160" si="271">SUM(M161:M169)</f>
        <v>285000</v>
      </c>
      <c r="N160" s="127">
        <f t="shared" ref="N160" si="272">SUM(N161:N169)</f>
        <v>273000</v>
      </c>
      <c r="O160" s="127">
        <f t="shared" si="271"/>
        <v>0</v>
      </c>
      <c r="P160" s="35"/>
      <c r="Q160" s="35"/>
      <c r="R160" s="35"/>
      <c r="S160" s="35"/>
    </row>
    <row r="161" spans="1:19" hidden="1" x14ac:dyDescent="0.2">
      <c r="A161" s="128">
        <v>3231</v>
      </c>
      <c r="B161" s="129" t="s">
        <v>24</v>
      </c>
      <c r="C161" s="103"/>
      <c r="D161" s="104"/>
      <c r="E161" s="104"/>
      <c r="F161" s="130"/>
      <c r="G161" s="130"/>
      <c r="H161" s="130"/>
      <c r="I161" s="130"/>
      <c r="J161" s="130"/>
      <c r="K161" s="130"/>
      <c r="L161" s="111"/>
      <c r="M161" s="130"/>
      <c r="N161" s="130"/>
      <c r="O161" s="130"/>
      <c r="P161" s="35"/>
      <c r="Q161" s="35"/>
      <c r="R161" s="35"/>
      <c r="S161" s="35"/>
    </row>
    <row r="162" spans="1:19" x14ac:dyDescent="0.2">
      <c r="A162" s="128">
        <v>3232</v>
      </c>
      <c r="B162" s="129" t="s">
        <v>25</v>
      </c>
      <c r="C162" s="103">
        <v>290000</v>
      </c>
      <c r="D162" s="104"/>
      <c r="E162" s="104">
        <v>290000</v>
      </c>
      <c r="F162" s="130">
        <v>285000</v>
      </c>
      <c r="G162" s="130">
        <v>291000</v>
      </c>
      <c r="H162" s="130">
        <v>334000</v>
      </c>
      <c r="I162" s="130">
        <v>334000</v>
      </c>
      <c r="J162" s="130">
        <v>334000</v>
      </c>
      <c r="K162" s="105">
        <f t="shared" ref="K162:K169" si="273">H162-E162</f>
        <v>44000</v>
      </c>
      <c r="L162" s="104"/>
      <c r="M162" s="105">
        <f t="shared" ref="M162:N169" si="274">H162-F162</f>
        <v>49000</v>
      </c>
      <c r="N162" s="105">
        <f t="shared" si="274"/>
        <v>43000</v>
      </c>
      <c r="O162" s="130"/>
      <c r="P162" s="35"/>
      <c r="Q162" s="35"/>
      <c r="R162" s="35"/>
      <c r="S162" s="35"/>
    </row>
    <row r="163" spans="1:19" x14ac:dyDescent="0.2">
      <c r="A163" s="128">
        <v>3233</v>
      </c>
      <c r="B163" s="129" t="s">
        <v>26</v>
      </c>
      <c r="C163" s="103">
        <v>40000</v>
      </c>
      <c r="D163" s="104"/>
      <c r="E163" s="104">
        <v>40000</v>
      </c>
      <c r="F163" s="130">
        <v>40000</v>
      </c>
      <c r="G163" s="130">
        <v>40000</v>
      </c>
      <c r="H163" s="130">
        <v>45000</v>
      </c>
      <c r="I163" s="130">
        <v>45000</v>
      </c>
      <c r="J163" s="130">
        <v>45000</v>
      </c>
      <c r="K163" s="105">
        <f t="shared" si="273"/>
        <v>5000</v>
      </c>
      <c r="L163" s="104"/>
      <c r="M163" s="105">
        <f t="shared" si="274"/>
        <v>5000</v>
      </c>
      <c r="N163" s="105">
        <f t="shared" si="274"/>
        <v>5000</v>
      </c>
      <c r="O163" s="130"/>
      <c r="P163" s="35"/>
      <c r="Q163" s="35"/>
      <c r="R163" s="35"/>
      <c r="S163" s="35"/>
    </row>
    <row r="164" spans="1:19" x14ac:dyDescent="0.2">
      <c r="A164" s="128">
        <v>3234</v>
      </c>
      <c r="B164" s="129" t="s">
        <v>27</v>
      </c>
      <c r="C164" s="103">
        <v>13000</v>
      </c>
      <c r="D164" s="104"/>
      <c r="E164" s="104">
        <v>13000</v>
      </c>
      <c r="F164" s="130">
        <v>7000</v>
      </c>
      <c r="G164" s="130">
        <v>7000</v>
      </c>
      <c r="H164" s="130">
        <v>10000</v>
      </c>
      <c r="I164" s="130">
        <v>10000</v>
      </c>
      <c r="J164" s="130">
        <v>10000</v>
      </c>
      <c r="K164" s="105">
        <f t="shared" si="273"/>
        <v>-3000</v>
      </c>
      <c r="L164" s="104"/>
      <c r="M164" s="105">
        <f t="shared" si="274"/>
        <v>3000</v>
      </c>
      <c r="N164" s="105">
        <f t="shared" si="274"/>
        <v>3000</v>
      </c>
      <c r="O164" s="130"/>
      <c r="P164" s="35"/>
      <c r="Q164" s="35"/>
      <c r="R164" s="35"/>
      <c r="S164" s="35"/>
    </row>
    <row r="165" spans="1:19" x14ac:dyDescent="0.2">
      <c r="A165" s="128">
        <v>3235</v>
      </c>
      <c r="B165" s="129" t="s">
        <v>28</v>
      </c>
      <c r="C165" s="103">
        <v>29000</v>
      </c>
      <c r="D165" s="104"/>
      <c r="E165" s="104">
        <v>29000</v>
      </c>
      <c r="F165" s="130">
        <v>21000</v>
      </c>
      <c r="G165" s="130">
        <v>21000</v>
      </c>
      <c r="H165" s="130">
        <v>23000</v>
      </c>
      <c r="I165" s="130">
        <v>23000</v>
      </c>
      <c r="J165" s="130">
        <v>23000</v>
      </c>
      <c r="K165" s="105">
        <f t="shared" si="273"/>
        <v>-6000</v>
      </c>
      <c r="L165" s="104"/>
      <c r="M165" s="105">
        <f t="shared" si="274"/>
        <v>2000</v>
      </c>
      <c r="N165" s="105">
        <f t="shared" si="274"/>
        <v>2000</v>
      </c>
      <c r="O165" s="130"/>
      <c r="P165" s="35"/>
      <c r="Q165" s="35"/>
      <c r="R165" s="35"/>
      <c r="S165" s="35"/>
    </row>
    <row r="166" spans="1:19" x14ac:dyDescent="0.2">
      <c r="A166" s="128">
        <v>3236</v>
      </c>
      <c r="B166" s="129" t="s">
        <v>29</v>
      </c>
      <c r="C166" s="103">
        <v>2000</v>
      </c>
      <c r="D166" s="104"/>
      <c r="E166" s="104">
        <v>2000</v>
      </c>
      <c r="F166" s="130">
        <v>2000</v>
      </c>
      <c r="G166" s="130">
        <v>2000</v>
      </c>
      <c r="H166" s="130">
        <v>2000</v>
      </c>
      <c r="I166" s="130">
        <v>2000</v>
      </c>
      <c r="J166" s="130">
        <v>2000</v>
      </c>
      <c r="K166" s="105">
        <f t="shared" si="273"/>
        <v>0</v>
      </c>
      <c r="L166" s="104"/>
      <c r="M166" s="105">
        <f t="shared" si="274"/>
        <v>0</v>
      </c>
      <c r="N166" s="105">
        <f t="shared" si="274"/>
        <v>0</v>
      </c>
      <c r="O166" s="130"/>
      <c r="P166" s="35"/>
      <c r="Q166" s="35"/>
      <c r="R166" s="35"/>
      <c r="S166" s="35"/>
    </row>
    <row r="167" spans="1:19" x14ac:dyDescent="0.2">
      <c r="A167" s="128">
        <v>3237</v>
      </c>
      <c r="B167" s="129" t="s">
        <v>30</v>
      </c>
      <c r="C167" s="103">
        <v>191000</v>
      </c>
      <c r="D167" s="104"/>
      <c r="E167" s="104">
        <v>41000</v>
      </c>
      <c r="F167" s="130">
        <v>197000</v>
      </c>
      <c r="G167" s="130">
        <v>157000</v>
      </c>
      <c r="H167" s="130">
        <v>199000</v>
      </c>
      <c r="I167" s="130">
        <v>157000</v>
      </c>
      <c r="J167" s="130">
        <v>157000</v>
      </c>
      <c r="K167" s="105">
        <f t="shared" si="273"/>
        <v>158000</v>
      </c>
      <c r="L167" s="104"/>
      <c r="M167" s="105">
        <f t="shared" si="274"/>
        <v>2000</v>
      </c>
      <c r="N167" s="105">
        <f t="shared" si="274"/>
        <v>0</v>
      </c>
      <c r="O167" s="130"/>
      <c r="P167" s="35"/>
      <c r="Q167" s="35"/>
      <c r="R167" s="35"/>
      <c r="S167" s="35"/>
    </row>
    <row r="168" spans="1:19" x14ac:dyDescent="0.2">
      <c r="A168" s="128">
        <v>3238</v>
      </c>
      <c r="B168" s="129" t="s">
        <v>70</v>
      </c>
      <c r="C168" s="103">
        <v>28000</v>
      </c>
      <c r="D168" s="104"/>
      <c r="E168" s="104">
        <v>0</v>
      </c>
      <c r="F168" s="130">
        <v>7000</v>
      </c>
      <c r="G168" s="130">
        <v>7000</v>
      </c>
      <c r="H168" s="130">
        <v>7000</v>
      </c>
      <c r="I168" s="130">
        <v>7000</v>
      </c>
      <c r="J168" s="130">
        <v>7000</v>
      </c>
      <c r="K168" s="105">
        <f t="shared" si="273"/>
        <v>7000</v>
      </c>
      <c r="L168" s="104"/>
      <c r="M168" s="105">
        <f t="shared" si="274"/>
        <v>0</v>
      </c>
      <c r="N168" s="105">
        <f t="shared" si="274"/>
        <v>0</v>
      </c>
      <c r="O168" s="130"/>
      <c r="P168" s="35"/>
      <c r="Q168" s="35"/>
      <c r="R168" s="35"/>
      <c r="S168" s="35"/>
    </row>
    <row r="169" spans="1:19" x14ac:dyDescent="0.2">
      <c r="A169" s="185">
        <v>3239</v>
      </c>
      <c r="B169" s="150" t="s">
        <v>31</v>
      </c>
      <c r="C169" s="103">
        <v>132000</v>
      </c>
      <c r="D169" s="104"/>
      <c r="E169" s="104">
        <v>132000</v>
      </c>
      <c r="F169" s="148">
        <v>157000</v>
      </c>
      <c r="G169" s="148">
        <v>157000</v>
      </c>
      <c r="H169" s="148">
        <v>381000</v>
      </c>
      <c r="I169" s="148">
        <v>377000</v>
      </c>
      <c r="J169" s="148">
        <v>377000</v>
      </c>
      <c r="K169" s="105">
        <f t="shared" si="273"/>
        <v>249000</v>
      </c>
      <c r="L169" s="104"/>
      <c r="M169" s="105">
        <f t="shared" si="274"/>
        <v>224000</v>
      </c>
      <c r="N169" s="105">
        <f t="shared" si="274"/>
        <v>220000</v>
      </c>
      <c r="O169" s="148"/>
      <c r="P169" s="35"/>
      <c r="Q169" s="35"/>
      <c r="R169" s="35"/>
      <c r="S169" s="35"/>
    </row>
    <row r="170" spans="1:19" x14ac:dyDescent="0.2">
      <c r="A170" s="125">
        <v>324</v>
      </c>
      <c r="B170" s="126" t="s">
        <v>32</v>
      </c>
      <c r="C170" s="97">
        <f t="shared" ref="C170:O170" si="275">SUM(C171)</f>
        <v>114000</v>
      </c>
      <c r="D170" s="98"/>
      <c r="E170" s="98">
        <f t="shared" si="275"/>
        <v>264000</v>
      </c>
      <c r="F170" s="127">
        <f t="shared" si="275"/>
        <v>114000</v>
      </c>
      <c r="G170" s="127">
        <f t="shared" si="275"/>
        <v>114000</v>
      </c>
      <c r="H170" s="127">
        <f t="shared" si="275"/>
        <v>200000</v>
      </c>
      <c r="I170" s="127">
        <f t="shared" si="275"/>
        <v>200000</v>
      </c>
      <c r="J170" s="127">
        <f t="shared" si="275"/>
        <v>200000</v>
      </c>
      <c r="K170" s="127">
        <f t="shared" si="275"/>
        <v>-64000</v>
      </c>
      <c r="L170" s="100"/>
      <c r="M170" s="127">
        <f t="shared" si="275"/>
        <v>86000</v>
      </c>
      <c r="N170" s="127">
        <f t="shared" si="275"/>
        <v>86000</v>
      </c>
      <c r="O170" s="127">
        <f t="shared" si="275"/>
        <v>0</v>
      </c>
      <c r="P170" s="35"/>
      <c r="Q170" s="35"/>
      <c r="R170" s="35"/>
      <c r="S170" s="35"/>
    </row>
    <row r="171" spans="1:19" x14ac:dyDescent="0.2">
      <c r="A171" s="128">
        <v>3241</v>
      </c>
      <c r="B171" s="129" t="s">
        <v>32</v>
      </c>
      <c r="C171" s="103">
        <v>114000</v>
      </c>
      <c r="D171" s="104"/>
      <c r="E171" s="104">
        <v>264000</v>
      </c>
      <c r="F171" s="130">
        <v>114000</v>
      </c>
      <c r="G171" s="130">
        <v>114000</v>
      </c>
      <c r="H171" s="130">
        <v>200000</v>
      </c>
      <c r="I171" s="130">
        <v>200000</v>
      </c>
      <c r="J171" s="130">
        <v>200000</v>
      </c>
      <c r="K171" s="105">
        <f t="shared" ref="K171" si="276">H171-E171</f>
        <v>-64000</v>
      </c>
      <c r="L171" s="104"/>
      <c r="M171" s="105">
        <f t="shared" ref="M171" si="277">H171-F171</f>
        <v>86000</v>
      </c>
      <c r="N171" s="105">
        <f>I171-G171</f>
        <v>86000</v>
      </c>
      <c r="O171" s="130"/>
      <c r="P171" s="35"/>
      <c r="Q171" s="35"/>
      <c r="R171" s="35"/>
      <c r="S171" s="35"/>
    </row>
    <row r="172" spans="1:19" x14ac:dyDescent="0.2">
      <c r="A172" s="125">
        <v>329</v>
      </c>
      <c r="B172" s="126" t="s">
        <v>33</v>
      </c>
      <c r="C172" s="97">
        <f t="shared" ref="C172:F172" si="278">SUM(C173:C179)</f>
        <v>1399000</v>
      </c>
      <c r="D172" s="98"/>
      <c r="E172" s="98">
        <f t="shared" ref="E172" si="279">SUM(E173:E179)</f>
        <v>4656000</v>
      </c>
      <c r="F172" s="127">
        <f t="shared" si="278"/>
        <v>23000</v>
      </c>
      <c r="G172" s="127">
        <f t="shared" ref="G172:H172" si="280">SUM(G173:G179)</f>
        <v>23000</v>
      </c>
      <c r="H172" s="127">
        <f t="shared" si="280"/>
        <v>30000</v>
      </c>
      <c r="I172" s="127">
        <f t="shared" ref="I172:J172" si="281">SUM(I173:I179)</f>
        <v>46000</v>
      </c>
      <c r="J172" s="127">
        <f t="shared" si="281"/>
        <v>46000</v>
      </c>
      <c r="K172" s="127">
        <f t="shared" ref="K172" si="282">SUM(K173:K179)</f>
        <v>-4626000</v>
      </c>
      <c r="L172" s="100"/>
      <c r="M172" s="127">
        <f t="shared" ref="M172:O172" si="283">SUM(M173:M179)</f>
        <v>7000</v>
      </c>
      <c r="N172" s="127">
        <f t="shared" ref="N172" si="284">SUM(N173:N179)</f>
        <v>23000</v>
      </c>
      <c r="O172" s="127">
        <f t="shared" si="283"/>
        <v>0</v>
      </c>
      <c r="P172" s="35"/>
      <c r="Q172" s="35"/>
      <c r="R172" s="35"/>
      <c r="S172" s="35"/>
    </row>
    <row r="173" spans="1:19" ht="12.75" customHeight="1" x14ac:dyDescent="0.2">
      <c r="A173" s="128">
        <v>3291</v>
      </c>
      <c r="B173" s="129" t="s">
        <v>34</v>
      </c>
      <c r="C173" s="103">
        <v>7000</v>
      </c>
      <c r="D173" s="104"/>
      <c r="E173" s="104">
        <v>7000</v>
      </c>
      <c r="F173" s="130">
        <v>7000</v>
      </c>
      <c r="G173" s="130">
        <v>7000</v>
      </c>
      <c r="H173" s="130">
        <v>7000</v>
      </c>
      <c r="I173" s="130">
        <v>7000</v>
      </c>
      <c r="J173" s="130">
        <v>7000</v>
      </c>
      <c r="K173" s="105">
        <f t="shared" ref="K173:K179" si="285">H173-E173</f>
        <v>0</v>
      </c>
      <c r="L173" s="104"/>
      <c r="M173" s="105">
        <f t="shared" ref="M173:N179" si="286">H173-F173</f>
        <v>0</v>
      </c>
      <c r="N173" s="105">
        <f t="shared" si="286"/>
        <v>0</v>
      </c>
      <c r="O173" s="130"/>
      <c r="P173" s="35"/>
      <c r="Q173" s="35"/>
      <c r="R173" s="35"/>
      <c r="S173" s="35"/>
    </row>
    <row r="174" spans="1:19" hidden="1" x14ac:dyDescent="0.2">
      <c r="A174" s="128">
        <v>3292</v>
      </c>
      <c r="B174" s="129" t="s">
        <v>35</v>
      </c>
      <c r="C174" s="103"/>
      <c r="D174" s="104"/>
      <c r="E174" s="104"/>
      <c r="F174" s="130"/>
      <c r="G174" s="130"/>
      <c r="H174" s="130"/>
      <c r="I174" s="130"/>
      <c r="J174" s="130"/>
      <c r="K174" s="105">
        <f t="shared" si="285"/>
        <v>0</v>
      </c>
      <c r="L174" s="104"/>
      <c r="M174" s="105">
        <f t="shared" si="286"/>
        <v>0</v>
      </c>
      <c r="N174" s="105">
        <f t="shared" si="286"/>
        <v>0</v>
      </c>
      <c r="O174" s="130"/>
      <c r="P174" s="35"/>
      <c r="Q174" s="35"/>
      <c r="R174" s="35"/>
      <c r="S174" s="35"/>
    </row>
    <row r="175" spans="1:19" ht="12.75" customHeight="1" x14ac:dyDescent="0.2">
      <c r="A175" s="135">
        <v>3293</v>
      </c>
      <c r="B175" s="136" t="s">
        <v>36</v>
      </c>
      <c r="C175" s="103">
        <v>8000</v>
      </c>
      <c r="D175" s="104"/>
      <c r="E175" s="104">
        <v>8000</v>
      </c>
      <c r="F175" s="130">
        <v>9000</v>
      </c>
      <c r="G175" s="130">
        <v>9000</v>
      </c>
      <c r="H175" s="130">
        <v>13000</v>
      </c>
      <c r="I175" s="130">
        <v>9000</v>
      </c>
      <c r="J175" s="130">
        <v>9000</v>
      </c>
      <c r="K175" s="105">
        <f t="shared" si="285"/>
        <v>5000</v>
      </c>
      <c r="L175" s="104"/>
      <c r="M175" s="105">
        <f t="shared" si="286"/>
        <v>4000</v>
      </c>
      <c r="N175" s="105">
        <f t="shared" si="286"/>
        <v>0</v>
      </c>
      <c r="O175" s="130"/>
      <c r="P175" s="35"/>
      <c r="Q175" s="35"/>
      <c r="R175" s="35"/>
      <c r="S175" s="35"/>
    </row>
    <row r="176" spans="1:19" hidden="1" x14ac:dyDescent="0.2">
      <c r="A176" s="128">
        <v>3294</v>
      </c>
      <c r="B176" s="129" t="s">
        <v>37</v>
      </c>
      <c r="C176" s="137"/>
      <c r="D176" s="138"/>
      <c r="E176" s="138"/>
      <c r="F176" s="186"/>
      <c r="G176" s="186"/>
      <c r="H176" s="186"/>
      <c r="I176" s="186"/>
      <c r="J176" s="186"/>
      <c r="K176" s="105">
        <f t="shared" si="285"/>
        <v>0</v>
      </c>
      <c r="L176" s="104"/>
      <c r="M176" s="105">
        <f t="shared" si="286"/>
        <v>0</v>
      </c>
      <c r="N176" s="105">
        <f t="shared" si="286"/>
        <v>0</v>
      </c>
      <c r="O176" s="186"/>
      <c r="P176" s="35"/>
      <c r="Q176" s="35"/>
      <c r="R176" s="35"/>
      <c r="S176" s="35"/>
    </row>
    <row r="177" spans="1:19" hidden="1" x14ac:dyDescent="0.2">
      <c r="A177" s="128">
        <v>3295</v>
      </c>
      <c r="B177" s="129" t="s">
        <v>38</v>
      </c>
      <c r="C177" s="103"/>
      <c r="D177" s="104"/>
      <c r="E177" s="104"/>
      <c r="F177" s="130"/>
      <c r="G177" s="130"/>
      <c r="H177" s="130"/>
      <c r="I177" s="130"/>
      <c r="J177" s="130"/>
      <c r="K177" s="105">
        <f t="shared" si="285"/>
        <v>0</v>
      </c>
      <c r="L177" s="104"/>
      <c r="M177" s="105">
        <f t="shared" si="286"/>
        <v>0</v>
      </c>
      <c r="N177" s="105">
        <f t="shared" si="286"/>
        <v>0</v>
      </c>
      <c r="O177" s="130"/>
      <c r="P177" s="35"/>
      <c r="Q177" s="35"/>
      <c r="R177" s="35"/>
      <c r="S177" s="35"/>
    </row>
    <row r="178" spans="1:19" hidden="1" x14ac:dyDescent="0.2">
      <c r="A178" s="128">
        <v>3296</v>
      </c>
      <c r="B178" s="129" t="s">
        <v>39</v>
      </c>
      <c r="C178" s="103"/>
      <c r="D178" s="104"/>
      <c r="E178" s="104"/>
      <c r="F178" s="130"/>
      <c r="G178" s="130"/>
      <c r="H178" s="130"/>
      <c r="I178" s="130"/>
      <c r="J178" s="130"/>
      <c r="K178" s="105">
        <f t="shared" si="285"/>
        <v>0</v>
      </c>
      <c r="L178" s="104"/>
      <c r="M178" s="105">
        <f t="shared" si="286"/>
        <v>0</v>
      </c>
      <c r="N178" s="105">
        <f t="shared" si="286"/>
        <v>0</v>
      </c>
      <c r="O178" s="130"/>
      <c r="P178" s="35"/>
      <c r="Q178" s="35"/>
      <c r="R178" s="35"/>
      <c r="S178" s="35"/>
    </row>
    <row r="179" spans="1:19" ht="12.75" customHeight="1" x14ac:dyDescent="0.2">
      <c r="A179" s="128">
        <v>3299</v>
      </c>
      <c r="B179" s="129" t="s">
        <v>33</v>
      </c>
      <c r="C179" s="103">
        <v>1384000</v>
      </c>
      <c r="D179" s="104"/>
      <c r="E179" s="104">
        <v>4641000</v>
      </c>
      <c r="F179" s="130">
        <v>7000</v>
      </c>
      <c r="G179" s="130">
        <v>7000</v>
      </c>
      <c r="H179" s="130">
        <v>10000</v>
      </c>
      <c r="I179" s="130">
        <v>30000</v>
      </c>
      <c r="J179" s="130">
        <v>30000</v>
      </c>
      <c r="K179" s="105">
        <f t="shared" si="285"/>
        <v>-4631000</v>
      </c>
      <c r="L179" s="104"/>
      <c r="M179" s="105">
        <f t="shared" si="286"/>
        <v>3000</v>
      </c>
      <c r="N179" s="105">
        <f t="shared" si="286"/>
        <v>23000</v>
      </c>
      <c r="O179" s="130"/>
      <c r="P179" s="35"/>
      <c r="Q179" s="35"/>
      <c r="R179" s="35"/>
      <c r="S179" s="35"/>
    </row>
    <row r="180" spans="1:19" hidden="1" x14ac:dyDescent="0.2">
      <c r="A180" s="125">
        <v>343</v>
      </c>
      <c r="B180" s="126" t="s">
        <v>40</v>
      </c>
      <c r="C180" s="97">
        <f t="shared" ref="C180:F180" si="287">SUM(C181:C184)</f>
        <v>0</v>
      </c>
      <c r="D180" s="98"/>
      <c r="E180" s="98">
        <f t="shared" ref="E180" si="288">SUM(E181:E184)</f>
        <v>0</v>
      </c>
      <c r="F180" s="127">
        <f t="shared" si="287"/>
        <v>0</v>
      </c>
      <c r="G180" s="127">
        <f t="shared" ref="G180:H180" si="289">SUM(G181:G184)</f>
        <v>0</v>
      </c>
      <c r="H180" s="127">
        <f t="shared" si="289"/>
        <v>0</v>
      </c>
      <c r="I180" s="127">
        <f t="shared" ref="I180:J180" si="290">SUM(I181:I184)</f>
        <v>0</v>
      </c>
      <c r="J180" s="127">
        <f t="shared" si="290"/>
        <v>0</v>
      </c>
      <c r="K180" s="127">
        <f t="shared" ref="K180" si="291">SUM(K181:K184)</f>
        <v>0</v>
      </c>
      <c r="L180" s="100"/>
      <c r="M180" s="127">
        <f t="shared" ref="M180:O180" si="292">SUM(M181:M184)</f>
        <v>0</v>
      </c>
      <c r="N180" s="127">
        <f t="shared" ref="N180" si="293">SUM(N181:N184)</f>
        <v>0</v>
      </c>
      <c r="O180" s="127">
        <f t="shared" si="292"/>
        <v>0</v>
      </c>
      <c r="P180" s="35"/>
      <c r="Q180" s="35"/>
      <c r="R180" s="35"/>
      <c r="S180" s="35"/>
    </row>
    <row r="181" spans="1:19" hidden="1" x14ac:dyDescent="0.2">
      <c r="A181" s="128">
        <v>3431</v>
      </c>
      <c r="B181" s="129" t="s">
        <v>41</v>
      </c>
      <c r="C181" s="103"/>
      <c r="D181" s="104"/>
      <c r="E181" s="104"/>
      <c r="F181" s="130"/>
      <c r="G181" s="130"/>
      <c r="H181" s="130"/>
      <c r="I181" s="130"/>
      <c r="J181" s="130"/>
      <c r="K181" s="130"/>
      <c r="L181" s="111"/>
      <c r="M181" s="130"/>
      <c r="N181" s="130"/>
      <c r="O181" s="130"/>
      <c r="P181" s="35"/>
      <c r="Q181" s="35"/>
      <c r="R181" s="35"/>
      <c r="S181" s="35"/>
    </row>
    <row r="182" spans="1:19" ht="25.5" hidden="1" x14ac:dyDescent="0.2">
      <c r="A182" s="128">
        <v>3432</v>
      </c>
      <c r="B182" s="129" t="s">
        <v>89</v>
      </c>
      <c r="C182" s="103"/>
      <c r="D182" s="104"/>
      <c r="E182" s="104"/>
      <c r="F182" s="130"/>
      <c r="G182" s="130"/>
      <c r="H182" s="130"/>
      <c r="I182" s="130"/>
      <c r="J182" s="130"/>
      <c r="K182" s="130"/>
      <c r="L182" s="111"/>
      <c r="M182" s="130"/>
      <c r="N182" s="130"/>
      <c r="O182" s="130"/>
      <c r="P182" s="35"/>
      <c r="Q182" s="35"/>
      <c r="R182" s="35"/>
      <c r="S182" s="35"/>
    </row>
    <row r="183" spans="1:19" hidden="1" x14ac:dyDescent="0.2">
      <c r="A183" s="128">
        <v>3433</v>
      </c>
      <c r="B183" s="129" t="s">
        <v>42</v>
      </c>
      <c r="C183" s="103"/>
      <c r="D183" s="104"/>
      <c r="E183" s="104"/>
      <c r="F183" s="130"/>
      <c r="G183" s="130"/>
      <c r="H183" s="130"/>
      <c r="I183" s="130"/>
      <c r="J183" s="130"/>
      <c r="K183" s="130"/>
      <c r="L183" s="111"/>
      <c r="M183" s="130"/>
      <c r="N183" s="130"/>
      <c r="O183" s="130"/>
      <c r="P183" s="35"/>
      <c r="Q183" s="35"/>
      <c r="R183" s="35"/>
      <c r="S183" s="35"/>
    </row>
    <row r="184" spans="1:19" hidden="1" x14ac:dyDescent="0.2">
      <c r="A184" s="128">
        <v>3434</v>
      </c>
      <c r="B184" s="129" t="s">
        <v>43</v>
      </c>
      <c r="C184" s="103"/>
      <c r="D184" s="104"/>
      <c r="E184" s="104"/>
      <c r="F184" s="130"/>
      <c r="G184" s="130"/>
      <c r="H184" s="130"/>
      <c r="I184" s="130"/>
      <c r="J184" s="130"/>
      <c r="K184" s="130"/>
      <c r="L184" s="111"/>
      <c r="M184" s="130"/>
      <c r="N184" s="130"/>
      <c r="O184" s="130"/>
      <c r="P184" s="35"/>
      <c r="Q184" s="35"/>
      <c r="R184" s="35"/>
      <c r="S184" s="35"/>
    </row>
    <row r="185" spans="1:19" ht="25.5" hidden="1" x14ac:dyDescent="0.2">
      <c r="A185" s="140">
        <v>372</v>
      </c>
      <c r="B185" s="126" t="s">
        <v>44</v>
      </c>
      <c r="C185" s="97">
        <f t="shared" ref="C185:F185" si="294">SUM(C186:C187)</f>
        <v>0</v>
      </c>
      <c r="D185" s="98"/>
      <c r="E185" s="98">
        <f t="shared" ref="E185" si="295">SUM(E186:E187)</f>
        <v>0</v>
      </c>
      <c r="F185" s="127">
        <f t="shared" si="294"/>
        <v>0</v>
      </c>
      <c r="G185" s="127">
        <f t="shared" ref="G185:H185" si="296">SUM(G186:G187)</f>
        <v>0</v>
      </c>
      <c r="H185" s="127">
        <f t="shared" si="296"/>
        <v>0</v>
      </c>
      <c r="I185" s="127">
        <f t="shared" ref="I185:J185" si="297">SUM(I186:I187)</f>
        <v>0</v>
      </c>
      <c r="J185" s="127">
        <f t="shared" si="297"/>
        <v>0</v>
      </c>
      <c r="K185" s="127">
        <f t="shared" ref="K185" si="298">SUM(K186:K187)</f>
        <v>0</v>
      </c>
      <c r="L185" s="100"/>
      <c r="M185" s="127">
        <f t="shared" ref="M185:O185" si="299">SUM(M186:M187)</f>
        <v>0</v>
      </c>
      <c r="N185" s="127">
        <f t="shared" ref="N185" si="300">SUM(N186:N187)</f>
        <v>0</v>
      </c>
      <c r="O185" s="127">
        <f t="shared" si="299"/>
        <v>0</v>
      </c>
      <c r="P185" s="35"/>
      <c r="Q185" s="35"/>
      <c r="R185" s="35"/>
      <c r="S185" s="35"/>
    </row>
    <row r="186" spans="1:19" hidden="1" x14ac:dyDescent="0.2">
      <c r="A186" s="128">
        <v>3721</v>
      </c>
      <c r="B186" s="129" t="s">
        <v>45</v>
      </c>
      <c r="C186" s="141"/>
      <c r="D186" s="142"/>
      <c r="E186" s="142"/>
      <c r="F186" s="143"/>
      <c r="G186" s="143"/>
      <c r="H186" s="143"/>
      <c r="I186" s="143"/>
      <c r="J186" s="143"/>
      <c r="K186" s="143"/>
      <c r="L186" s="145"/>
      <c r="M186" s="143"/>
      <c r="N186" s="143"/>
      <c r="O186" s="143"/>
      <c r="P186" s="35"/>
      <c r="Q186" s="35"/>
      <c r="R186" s="35"/>
      <c r="S186" s="35"/>
    </row>
    <row r="187" spans="1:19" hidden="1" x14ac:dyDescent="0.2">
      <c r="A187" s="128">
        <v>3722</v>
      </c>
      <c r="B187" s="102" t="s">
        <v>209</v>
      </c>
      <c r="C187" s="141"/>
      <c r="D187" s="142"/>
      <c r="E187" s="142"/>
      <c r="F187" s="144"/>
      <c r="G187" s="144"/>
      <c r="H187" s="144"/>
      <c r="I187" s="144"/>
      <c r="J187" s="144"/>
      <c r="K187" s="144"/>
      <c r="L187" s="145"/>
      <c r="M187" s="144"/>
      <c r="N187" s="144"/>
      <c r="O187" s="144"/>
      <c r="P187" s="35"/>
      <c r="Q187" s="35"/>
      <c r="R187" s="35"/>
      <c r="S187" s="35"/>
    </row>
    <row r="188" spans="1:19" ht="16.5" customHeight="1" x14ac:dyDescent="0.2">
      <c r="A188" s="422" t="s">
        <v>320</v>
      </c>
      <c r="B188" s="414" t="s">
        <v>321</v>
      </c>
      <c r="C188" s="415">
        <f t="shared" ref="C188:O188" si="301">SUM(C189)</f>
        <v>144000</v>
      </c>
      <c r="D188" s="416"/>
      <c r="E188" s="416">
        <f t="shared" si="301"/>
        <v>144000</v>
      </c>
      <c r="F188" s="417">
        <f t="shared" si="301"/>
        <v>10000</v>
      </c>
      <c r="G188" s="417">
        <f t="shared" si="301"/>
        <v>10000</v>
      </c>
      <c r="H188" s="417">
        <f t="shared" si="301"/>
        <v>261000</v>
      </c>
      <c r="I188" s="417">
        <f t="shared" si="301"/>
        <v>261000</v>
      </c>
      <c r="J188" s="417">
        <f t="shared" si="301"/>
        <v>261000</v>
      </c>
      <c r="K188" s="93">
        <f t="shared" si="301"/>
        <v>117000</v>
      </c>
      <c r="L188" s="94"/>
      <c r="M188" s="93">
        <f t="shared" si="301"/>
        <v>251000</v>
      </c>
      <c r="N188" s="93">
        <f t="shared" si="301"/>
        <v>251000</v>
      </c>
      <c r="O188" s="93">
        <f t="shared" si="301"/>
        <v>0</v>
      </c>
      <c r="P188" s="35"/>
      <c r="Q188" s="35"/>
      <c r="R188" s="35"/>
      <c r="S188" s="35"/>
    </row>
    <row r="189" spans="1:19" x14ac:dyDescent="0.2">
      <c r="A189" s="125">
        <v>381</v>
      </c>
      <c r="B189" s="126" t="s">
        <v>46</v>
      </c>
      <c r="C189" s="97">
        <f t="shared" ref="C189:O189" si="302">SUM(C190)</f>
        <v>144000</v>
      </c>
      <c r="D189" s="98"/>
      <c r="E189" s="98">
        <f t="shared" si="302"/>
        <v>144000</v>
      </c>
      <c r="F189" s="127">
        <f t="shared" si="302"/>
        <v>10000</v>
      </c>
      <c r="G189" s="127">
        <f t="shared" si="302"/>
        <v>10000</v>
      </c>
      <c r="H189" s="127">
        <f t="shared" si="302"/>
        <v>261000</v>
      </c>
      <c r="I189" s="127">
        <f t="shared" si="302"/>
        <v>261000</v>
      </c>
      <c r="J189" s="127">
        <f t="shared" si="302"/>
        <v>261000</v>
      </c>
      <c r="K189" s="127">
        <f t="shared" si="302"/>
        <v>117000</v>
      </c>
      <c r="L189" s="100"/>
      <c r="M189" s="127">
        <f t="shared" si="302"/>
        <v>251000</v>
      </c>
      <c r="N189" s="127">
        <f t="shared" si="302"/>
        <v>251000</v>
      </c>
      <c r="O189" s="127">
        <f t="shared" si="302"/>
        <v>0</v>
      </c>
      <c r="P189" s="35"/>
      <c r="Q189" s="35"/>
      <c r="R189" s="35"/>
      <c r="S189" s="35"/>
    </row>
    <row r="190" spans="1:19" x14ac:dyDescent="0.2">
      <c r="A190" s="128">
        <v>3811</v>
      </c>
      <c r="B190" s="129" t="s">
        <v>46</v>
      </c>
      <c r="C190" s="103">
        <f>10000+134000</f>
        <v>144000</v>
      </c>
      <c r="D190" s="104"/>
      <c r="E190" s="104">
        <f>10000+134000</f>
        <v>144000</v>
      </c>
      <c r="F190" s="130">
        <v>10000</v>
      </c>
      <c r="G190" s="130">
        <v>10000</v>
      </c>
      <c r="H190" s="207">
        <f>144000+117000</f>
        <v>261000</v>
      </c>
      <c r="I190" s="207">
        <f t="shared" ref="I190:J190" si="303">144000+117000</f>
        <v>261000</v>
      </c>
      <c r="J190" s="207">
        <f t="shared" si="303"/>
        <v>261000</v>
      </c>
      <c r="K190" s="105">
        <f t="shared" ref="K190" si="304">H190-E190</f>
        <v>117000</v>
      </c>
      <c r="L190" s="104"/>
      <c r="M190" s="105">
        <f>H190-F190</f>
        <v>251000</v>
      </c>
      <c r="N190" s="105">
        <f>I190-G190</f>
        <v>251000</v>
      </c>
      <c r="O190" s="130"/>
      <c r="P190" s="35" t="s">
        <v>426</v>
      </c>
      <c r="Q190" s="35"/>
      <c r="R190" s="35"/>
      <c r="S190" s="35"/>
    </row>
    <row r="191" spans="1:19" ht="25.5" x14ac:dyDescent="0.2">
      <c r="A191" s="422" t="s">
        <v>330</v>
      </c>
      <c r="B191" s="414" t="s">
        <v>331</v>
      </c>
      <c r="C191" s="415">
        <f t="shared" ref="C191:G191" si="305">SUM(C192,C194)</f>
        <v>2119000</v>
      </c>
      <c r="D191" s="416"/>
      <c r="E191" s="416">
        <f t="shared" ref="E191" si="306">SUM(E192,E194)</f>
        <v>1919000</v>
      </c>
      <c r="F191" s="417">
        <f t="shared" si="305"/>
        <v>469000</v>
      </c>
      <c r="G191" s="417">
        <f t="shared" si="305"/>
        <v>573000</v>
      </c>
      <c r="H191" s="417">
        <f t="shared" ref="H191:I191" si="307">SUM(H192,H194)</f>
        <v>2133000</v>
      </c>
      <c r="I191" s="417">
        <f t="shared" si="307"/>
        <v>460000</v>
      </c>
      <c r="J191" s="417">
        <f t="shared" ref="J191:K191" si="308">SUM(J192,J194)</f>
        <v>460000</v>
      </c>
      <c r="K191" s="93">
        <f t="shared" si="308"/>
        <v>214000</v>
      </c>
      <c r="L191" s="94"/>
      <c r="M191" s="93">
        <f t="shared" ref="M191:O191" si="309">SUM(M192,M194)</f>
        <v>1664000</v>
      </c>
      <c r="N191" s="93">
        <f t="shared" ref="N191" si="310">SUM(N192,N194)</f>
        <v>-113000</v>
      </c>
      <c r="O191" s="93">
        <f t="shared" si="309"/>
        <v>0</v>
      </c>
      <c r="P191" s="35"/>
      <c r="Q191" s="35"/>
      <c r="R191" s="35"/>
      <c r="S191" s="35"/>
    </row>
    <row r="192" spans="1:19" x14ac:dyDescent="0.2">
      <c r="A192" s="151">
        <v>421</v>
      </c>
      <c r="B192" s="152" t="s">
        <v>51</v>
      </c>
      <c r="C192" s="97">
        <f t="shared" ref="C192:O192" si="311">SUM(C193)</f>
        <v>1725000</v>
      </c>
      <c r="D192" s="98"/>
      <c r="E192" s="98">
        <f t="shared" si="311"/>
        <v>1725000</v>
      </c>
      <c r="F192" s="127">
        <f t="shared" si="311"/>
        <v>0</v>
      </c>
      <c r="G192" s="127">
        <f t="shared" si="311"/>
        <v>0</v>
      </c>
      <c r="H192" s="127">
        <f t="shared" si="311"/>
        <v>0</v>
      </c>
      <c r="I192" s="127">
        <f t="shared" si="311"/>
        <v>0</v>
      </c>
      <c r="J192" s="127">
        <f t="shared" si="311"/>
        <v>0</v>
      </c>
      <c r="K192" s="127">
        <f t="shared" si="311"/>
        <v>-1725000</v>
      </c>
      <c r="L192" s="100"/>
      <c r="M192" s="127">
        <f t="shared" si="311"/>
        <v>0</v>
      </c>
      <c r="N192" s="127">
        <f t="shared" si="311"/>
        <v>0</v>
      </c>
      <c r="O192" s="127">
        <f t="shared" si="311"/>
        <v>0</v>
      </c>
      <c r="P192" s="35"/>
      <c r="Q192" s="35"/>
      <c r="R192" s="35"/>
      <c r="S192" s="35"/>
    </row>
    <row r="193" spans="1:19" x14ac:dyDescent="0.2">
      <c r="A193" s="135">
        <v>4214</v>
      </c>
      <c r="B193" s="136" t="s">
        <v>337</v>
      </c>
      <c r="C193" s="141">
        <v>1725000</v>
      </c>
      <c r="D193" s="142"/>
      <c r="E193" s="142">
        <v>1725000</v>
      </c>
      <c r="F193" s="143"/>
      <c r="G193" s="143"/>
      <c r="H193" s="143"/>
      <c r="I193" s="143"/>
      <c r="J193" s="143"/>
      <c r="K193" s="105">
        <f t="shared" ref="K193" si="312">H193-E193</f>
        <v>-1725000</v>
      </c>
      <c r="L193" s="104"/>
      <c r="M193" s="105">
        <f>H193-F193</f>
        <v>0</v>
      </c>
      <c r="N193" s="105">
        <f>I193-G193</f>
        <v>0</v>
      </c>
      <c r="O193" s="143"/>
      <c r="P193" s="35"/>
      <c r="Q193" s="35"/>
      <c r="R193" s="35"/>
      <c r="S193" s="35"/>
    </row>
    <row r="194" spans="1:19" x14ac:dyDescent="0.2">
      <c r="A194" s="151">
        <v>422</v>
      </c>
      <c r="B194" s="152" t="s">
        <v>129</v>
      </c>
      <c r="C194" s="97">
        <f t="shared" ref="C194:F194" si="313">SUM(C195:C197)</f>
        <v>394000</v>
      </c>
      <c r="D194" s="98"/>
      <c r="E194" s="98">
        <f t="shared" ref="E194" si="314">SUM(E195:E197)</f>
        <v>194000</v>
      </c>
      <c r="F194" s="127">
        <f t="shared" si="313"/>
        <v>469000</v>
      </c>
      <c r="G194" s="127">
        <f t="shared" ref="G194:H194" si="315">SUM(G195:G197)</f>
        <v>573000</v>
      </c>
      <c r="H194" s="127">
        <f t="shared" si="315"/>
        <v>2133000</v>
      </c>
      <c r="I194" s="127">
        <f t="shared" ref="I194:J194" si="316">SUM(I195:I197)</f>
        <v>460000</v>
      </c>
      <c r="J194" s="127">
        <f t="shared" si="316"/>
        <v>460000</v>
      </c>
      <c r="K194" s="127">
        <f t="shared" ref="K194" si="317">SUM(K195:K197)</f>
        <v>1939000</v>
      </c>
      <c r="L194" s="100"/>
      <c r="M194" s="127">
        <f t="shared" ref="M194:O194" si="318">SUM(M195:M197)</f>
        <v>1664000</v>
      </c>
      <c r="N194" s="127">
        <f t="shared" ref="N194" si="319">SUM(N195:N197)</f>
        <v>-113000</v>
      </c>
      <c r="O194" s="127">
        <f t="shared" si="318"/>
        <v>0</v>
      </c>
      <c r="P194" s="35"/>
      <c r="Q194" s="35"/>
      <c r="R194" s="35"/>
      <c r="S194" s="35"/>
    </row>
    <row r="195" spans="1:19" x14ac:dyDescent="0.2">
      <c r="A195" s="135">
        <v>4221</v>
      </c>
      <c r="B195" s="136" t="s">
        <v>54</v>
      </c>
      <c r="C195" s="141">
        <v>225000</v>
      </c>
      <c r="D195" s="142"/>
      <c r="E195" s="142">
        <v>75000</v>
      </c>
      <c r="F195" s="143">
        <v>245000</v>
      </c>
      <c r="G195" s="143">
        <v>279000</v>
      </c>
      <c r="H195" s="143">
        <v>225000</v>
      </c>
      <c r="I195" s="143">
        <v>225000</v>
      </c>
      <c r="J195" s="143">
        <v>225000</v>
      </c>
      <c r="K195" s="105">
        <f t="shared" ref="K195:K197" si="320">H195-E195</f>
        <v>150000</v>
      </c>
      <c r="L195" s="104"/>
      <c r="M195" s="105">
        <f t="shared" ref="M195:M197" si="321">H195-F195</f>
        <v>-20000</v>
      </c>
      <c r="N195" s="105">
        <f>I195-G195</f>
        <v>-54000</v>
      </c>
      <c r="O195" s="143"/>
      <c r="P195" s="35"/>
      <c r="Q195" s="35"/>
      <c r="R195" s="35"/>
      <c r="S195" s="35"/>
    </row>
    <row r="196" spans="1:19" x14ac:dyDescent="0.2">
      <c r="A196" s="135">
        <v>4222</v>
      </c>
      <c r="B196" s="136" t="s">
        <v>58</v>
      </c>
      <c r="C196" s="141">
        <v>23000</v>
      </c>
      <c r="D196" s="142"/>
      <c r="E196" s="142">
        <v>23000</v>
      </c>
      <c r="F196" s="187">
        <v>25000</v>
      </c>
      <c r="G196" s="187">
        <v>29000</v>
      </c>
      <c r="H196" s="187">
        <v>25000</v>
      </c>
      <c r="I196" s="187">
        <v>25000</v>
      </c>
      <c r="J196" s="187">
        <v>25000</v>
      </c>
      <c r="K196" s="105">
        <f t="shared" si="320"/>
        <v>2000</v>
      </c>
      <c r="L196" s="104"/>
      <c r="M196" s="105">
        <f t="shared" si="321"/>
        <v>0</v>
      </c>
      <c r="N196" s="105">
        <f>I196-G196</f>
        <v>-4000</v>
      </c>
      <c r="O196" s="187"/>
      <c r="P196" s="35"/>
      <c r="Q196" s="35"/>
      <c r="R196" s="35"/>
      <c r="S196" s="35"/>
    </row>
    <row r="197" spans="1:19" x14ac:dyDescent="0.2">
      <c r="A197" s="135">
        <v>4227</v>
      </c>
      <c r="B197" s="136" t="s">
        <v>60</v>
      </c>
      <c r="C197" s="141">
        <v>146000</v>
      </c>
      <c r="D197" s="142"/>
      <c r="E197" s="142">
        <v>96000</v>
      </c>
      <c r="F197" s="187">
        <v>199000</v>
      </c>
      <c r="G197" s="187">
        <v>265000</v>
      </c>
      <c r="H197" s="475">
        <f>200000+1883000-200000</f>
        <v>1883000</v>
      </c>
      <c r="I197" s="187">
        <v>210000</v>
      </c>
      <c r="J197" s="187">
        <v>210000</v>
      </c>
      <c r="K197" s="105">
        <f t="shared" si="320"/>
        <v>1787000</v>
      </c>
      <c r="L197" s="104"/>
      <c r="M197" s="105">
        <f t="shared" si="321"/>
        <v>1684000</v>
      </c>
      <c r="N197" s="105">
        <f>I197-G197</f>
        <v>-55000</v>
      </c>
      <c r="O197" s="187"/>
      <c r="P197" s="35"/>
      <c r="Q197" s="35"/>
      <c r="R197" s="35"/>
      <c r="S197" s="35"/>
    </row>
    <row r="198" spans="1:19" ht="25.5" x14ac:dyDescent="0.2">
      <c r="A198" s="422">
        <v>45</v>
      </c>
      <c r="B198" s="414" t="s">
        <v>336</v>
      </c>
      <c r="C198" s="415">
        <f t="shared" ref="C198:O198" si="322">SUM(C199)</f>
        <v>27000</v>
      </c>
      <c r="D198" s="416"/>
      <c r="E198" s="416">
        <f t="shared" si="322"/>
        <v>1000</v>
      </c>
      <c r="F198" s="417">
        <f t="shared" si="322"/>
        <v>0</v>
      </c>
      <c r="G198" s="417">
        <f t="shared" si="322"/>
        <v>0</v>
      </c>
      <c r="H198" s="417">
        <f t="shared" si="322"/>
        <v>0</v>
      </c>
      <c r="I198" s="417">
        <f t="shared" si="322"/>
        <v>0</v>
      </c>
      <c r="J198" s="417">
        <f t="shared" si="322"/>
        <v>0</v>
      </c>
      <c r="K198" s="93">
        <f t="shared" si="322"/>
        <v>-1000</v>
      </c>
      <c r="L198" s="94"/>
      <c r="M198" s="93">
        <f t="shared" si="322"/>
        <v>0</v>
      </c>
      <c r="N198" s="93">
        <f t="shared" si="322"/>
        <v>0</v>
      </c>
      <c r="O198" s="93">
        <f t="shared" si="322"/>
        <v>0</v>
      </c>
      <c r="P198" s="35"/>
      <c r="Q198" s="35"/>
      <c r="R198" s="35"/>
      <c r="S198" s="35"/>
    </row>
    <row r="199" spans="1:19" x14ac:dyDescent="0.2">
      <c r="A199" s="151">
        <v>453</v>
      </c>
      <c r="B199" s="152" t="s">
        <v>289</v>
      </c>
      <c r="C199" s="97">
        <f t="shared" ref="C199:O199" si="323">SUM(C200:C200)</f>
        <v>27000</v>
      </c>
      <c r="D199" s="98"/>
      <c r="E199" s="98">
        <f t="shared" si="323"/>
        <v>1000</v>
      </c>
      <c r="F199" s="127">
        <f t="shared" si="323"/>
        <v>0</v>
      </c>
      <c r="G199" s="127">
        <f t="shared" si="323"/>
        <v>0</v>
      </c>
      <c r="H199" s="127">
        <f t="shared" si="323"/>
        <v>0</v>
      </c>
      <c r="I199" s="127">
        <f t="shared" si="323"/>
        <v>0</v>
      </c>
      <c r="J199" s="127">
        <f t="shared" si="323"/>
        <v>0</v>
      </c>
      <c r="K199" s="127">
        <f t="shared" si="323"/>
        <v>-1000</v>
      </c>
      <c r="L199" s="100"/>
      <c r="M199" s="127">
        <f t="shared" si="323"/>
        <v>0</v>
      </c>
      <c r="N199" s="127">
        <f t="shared" si="323"/>
        <v>0</v>
      </c>
      <c r="O199" s="127">
        <f t="shared" si="323"/>
        <v>0</v>
      </c>
      <c r="P199" s="35"/>
      <c r="Q199" s="35"/>
      <c r="R199" s="35"/>
      <c r="S199" s="35"/>
    </row>
    <row r="200" spans="1:19" x14ac:dyDescent="0.2">
      <c r="A200" s="135">
        <v>4531</v>
      </c>
      <c r="B200" s="136" t="s">
        <v>289</v>
      </c>
      <c r="C200" s="141">
        <v>27000</v>
      </c>
      <c r="D200" s="142"/>
      <c r="E200" s="142">
        <v>1000</v>
      </c>
      <c r="F200" s="143"/>
      <c r="G200" s="143"/>
      <c r="H200" s="143"/>
      <c r="I200" s="143"/>
      <c r="J200" s="143"/>
      <c r="K200" s="105">
        <f t="shared" ref="K200" si="324">H200-E200</f>
        <v>-1000</v>
      </c>
      <c r="L200" s="104"/>
      <c r="M200" s="105">
        <f>H200-F200</f>
        <v>0</v>
      </c>
      <c r="N200" s="105">
        <f>I200-G200</f>
        <v>0</v>
      </c>
      <c r="O200" s="143"/>
      <c r="P200" s="35"/>
      <c r="Q200" s="35"/>
      <c r="R200" s="35"/>
      <c r="S200" s="35"/>
    </row>
    <row r="201" spans="1:19" ht="25.5" x14ac:dyDescent="0.2">
      <c r="A201" s="153" t="s">
        <v>291</v>
      </c>
      <c r="B201" s="154" t="s">
        <v>427</v>
      </c>
      <c r="C201" s="188">
        <f>SUM(C202)</f>
        <v>0</v>
      </c>
      <c r="D201" s="157"/>
      <c r="E201" s="158">
        <f t="shared" ref="E201:N203" si="325">SUM(E202)</f>
        <v>983000</v>
      </c>
      <c r="F201" s="158">
        <f t="shared" si="325"/>
        <v>0</v>
      </c>
      <c r="G201" s="158">
        <f t="shared" si="325"/>
        <v>0</v>
      </c>
      <c r="H201" s="158">
        <f t="shared" si="325"/>
        <v>0</v>
      </c>
      <c r="I201" s="158">
        <f t="shared" si="325"/>
        <v>0</v>
      </c>
      <c r="J201" s="158">
        <f t="shared" si="325"/>
        <v>0</v>
      </c>
      <c r="K201" s="158">
        <f t="shared" si="325"/>
        <v>-983000</v>
      </c>
      <c r="L201" s="158">
        <f t="shared" si="325"/>
        <v>0</v>
      </c>
      <c r="M201" s="158">
        <f t="shared" si="325"/>
        <v>0</v>
      </c>
      <c r="N201" s="158">
        <f t="shared" si="325"/>
        <v>0</v>
      </c>
      <c r="O201" s="189"/>
      <c r="P201" s="35"/>
      <c r="Q201" s="35"/>
      <c r="R201" s="35"/>
      <c r="S201" s="35"/>
    </row>
    <row r="202" spans="1:19" x14ac:dyDescent="0.2">
      <c r="A202" s="707" t="s">
        <v>1</v>
      </c>
      <c r="B202" s="707"/>
      <c r="C202" s="191">
        <f>SUM(C203)</f>
        <v>0</v>
      </c>
      <c r="D202" s="119"/>
      <c r="E202" s="192">
        <f t="shared" si="325"/>
        <v>983000</v>
      </c>
      <c r="F202" s="192">
        <f t="shared" si="325"/>
        <v>0</v>
      </c>
      <c r="G202" s="192">
        <f t="shared" si="325"/>
        <v>0</v>
      </c>
      <c r="H202" s="192">
        <f t="shared" si="325"/>
        <v>0</v>
      </c>
      <c r="I202" s="192">
        <f t="shared" si="325"/>
        <v>0</v>
      </c>
      <c r="J202" s="192">
        <f t="shared" si="325"/>
        <v>0</v>
      </c>
      <c r="K202" s="192">
        <f t="shared" si="325"/>
        <v>-983000</v>
      </c>
      <c r="L202" s="192">
        <f t="shared" si="325"/>
        <v>0</v>
      </c>
      <c r="M202" s="192">
        <f t="shared" si="325"/>
        <v>0</v>
      </c>
      <c r="N202" s="192">
        <f t="shared" si="325"/>
        <v>0</v>
      </c>
      <c r="O202" s="189"/>
      <c r="P202" s="35"/>
      <c r="Q202" s="35"/>
      <c r="R202" s="35"/>
      <c r="S202" s="35"/>
    </row>
    <row r="203" spans="1:19" x14ac:dyDescent="0.2">
      <c r="A203" s="430">
        <v>38</v>
      </c>
      <c r="B203" s="431" t="s">
        <v>321</v>
      </c>
      <c r="C203" s="432">
        <f>SUM(C204)</f>
        <v>0</v>
      </c>
      <c r="D203" s="420"/>
      <c r="E203" s="433">
        <f t="shared" si="325"/>
        <v>983000</v>
      </c>
      <c r="F203" s="433">
        <f t="shared" si="325"/>
        <v>0</v>
      </c>
      <c r="G203" s="433">
        <f t="shared" si="325"/>
        <v>0</v>
      </c>
      <c r="H203" s="433">
        <f t="shared" si="325"/>
        <v>0</v>
      </c>
      <c r="I203" s="433">
        <f t="shared" si="325"/>
        <v>0</v>
      </c>
      <c r="J203" s="433">
        <f t="shared" si="325"/>
        <v>0</v>
      </c>
      <c r="K203" s="193">
        <f t="shared" si="325"/>
        <v>-983000</v>
      </c>
      <c r="L203" s="193">
        <f t="shared" si="325"/>
        <v>0</v>
      </c>
      <c r="M203" s="193">
        <f t="shared" si="325"/>
        <v>0</v>
      </c>
      <c r="N203" s="193">
        <f t="shared" si="325"/>
        <v>0</v>
      </c>
      <c r="O203" s="189"/>
      <c r="P203" s="35"/>
      <c r="Q203" s="35"/>
      <c r="R203" s="35"/>
      <c r="S203" s="35"/>
    </row>
    <row r="204" spans="1:19" x14ac:dyDescent="0.2">
      <c r="A204" s="194">
        <v>383</v>
      </c>
      <c r="B204" s="195" t="s">
        <v>47</v>
      </c>
      <c r="C204" s="196">
        <f t="shared" ref="C204:N204" si="326">SUM(C205)</f>
        <v>0</v>
      </c>
      <c r="D204" s="98"/>
      <c r="E204" s="197">
        <f t="shared" si="326"/>
        <v>983000</v>
      </c>
      <c r="F204" s="197">
        <f t="shared" si="326"/>
        <v>0</v>
      </c>
      <c r="G204" s="197">
        <f t="shared" si="326"/>
        <v>0</v>
      </c>
      <c r="H204" s="197">
        <f t="shared" si="326"/>
        <v>0</v>
      </c>
      <c r="I204" s="197">
        <f t="shared" si="326"/>
        <v>0</v>
      </c>
      <c r="J204" s="197">
        <f t="shared" si="326"/>
        <v>0</v>
      </c>
      <c r="K204" s="197">
        <f t="shared" si="326"/>
        <v>-983000</v>
      </c>
      <c r="L204" s="197">
        <f t="shared" si="326"/>
        <v>0</v>
      </c>
      <c r="M204" s="197">
        <f t="shared" si="326"/>
        <v>0</v>
      </c>
      <c r="N204" s="197">
        <f t="shared" si="326"/>
        <v>0</v>
      </c>
      <c r="O204" s="189"/>
      <c r="P204" s="35"/>
      <c r="Q204" s="35"/>
      <c r="R204" s="35"/>
      <c r="S204" s="35"/>
    </row>
    <row r="205" spans="1:19" x14ac:dyDescent="0.2">
      <c r="A205" s="198">
        <v>3835</v>
      </c>
      <c r="B205" s="199" t="s">
        <v>296</v>
      </c>
      <c r="C205" s="200"/>
      <c r="D205" s="104"/>
      <c r="E205" s="201">
        <v>983000</v>
      </c>
      <c r="F205" s="201"/>
      <c r="G205" s="201"/>
      <c r="H205" s="201"/>
      <c r="I205" s="201"/>
      <c r="J205" s="201"/>
      <c r="K205" s="105">
        <f t="shared" ref="K205" si="327">H205-E205</f>
        <v>-983000</v>
      </c>
      <c r="L205" s="104"/>
      <c r="M205" s="105">
        <f>H205-F205</f>
        <v>0</v>
      </c>
      <c r="N205" s="105">
        <f>I205-G205</f>
        <v>0</v>
      </c>
      <c r="O205" s="189"/>
      <c r="P205" s="35"/>
      <c r="Q205" s="35"/>
      <c r="R205" s="35"/>
      <c r="S205" s="35"/>
    </row>
    <row r="206" spans="1:19" ht="27" customHeight="1" x14ac:dyDescent="0.2">
      <c r="A206" s="153" t="s">
        <v>49</v>
      </c>
      <c r="B206" s="154" t="s">
        <v>50</v>
      </c>
      <c r="C206" s="155">
        <f t="shared" ref="C206:O206" si="328">SUM(C207)</f>
        <v>11877000</v>
      </c>
      <c r="D206" s="156"/>
      <c r="E206" s="157">
        <f t="shared" si="328"/>
        <v>13592000</v>
      </c>
      <c r="F206" s="158">
        <f t="shared" si="328"/>
        <v>9025000</v>
      </c>
      <c r="G206" s="158">
        <f t="shared" si="328"/>
        <v>9025000</v>
      </c>
      <c r="H206" s="158">
        <f t="shared" si="328"/>
        <v>12850000</v>
      </c>
      <c r="I206" s="158">
        <f t="shared" si="328"/>
        <v>9310000</v>
      </c>
      <c r="J206" s="158">
        <f t="shared" si="328"/>
        <v>9310000</v>
      </c>
      <c r="K206" s="158">
        <f t="shared" si="328"/>
        <v>-742000</v>
      </c>
      <c r="L206" s="158">
        <f t="shared" si="328"/>
        <v>0</v>
      </c>
      <c r="M206" s="158">
        <f t="shared" si="328"/>
        <v>3825000</v>
      </c>
      <c r="N206" s="158">
        <f t="shared" si="328"/>
        <v>285000</v>
      </c>
      <c r="O206" s="158">
        <f t="shared" si="328"/>
        <v>0</v>
      </c>
      <c r="P206" s="88" t="s">
        <v>428</v>
      </c>
      <c r="Q206" s="35"/>
      <c r="R206" s="35"/>
      <c r="S206" s="35"/>
    </row>
    <row r="207" spans="1:19" ht="18" customHeight="1" x14ac:dyDescent="0.2">
      <c r="A207" s="704" t="s">
        <v>1</v>
      </c>
      <c r="B207" s="704"/>
      <c r="C207" s="118">
        <f>SUM(C208,C211,C221)</f>
        <v>11877000</v>
      </c>
      <c r="D207" s="119"/>
      <c r="E207" s="119">
        <f t="shared" ref="E207:N207" si="329">SUM(E208,E211,E221)</f>
        <v>13592000</v>
      </c>
      <c r="F207" s="120">
        <f t="shared" si="329"/>
        <v>9025000</v>
      </c>
      <c r="G207" s="120">
        <f t="shared" si="329"/>
        <v>9025000</v>
      </c>
      <c r="H207" s="120">
        <f t="shared" si="329"/>
        <v>12850000</v>
      </c>
      <c r="I207" s="120">
        <f t="shared" si="329"/>
        <v>9310000</v>
      </c>
      <c r="J207" s="120">
        <f t="shared" si="329"/>
        <v>9310000</v>
      </c>
      <c r="K207" s="120">
        <f t="shared" si="329"/>
        <v>-742000</v>
      </c>
      <c r="L207" s="121">
        <f t="shared" si="329"/>
        <v>0</v>
      </c>
      <c r="M207" s="120">
        <f t="shared" si="329"/>
        <v>3825000</v>
      </c>
      <c r="N207" s="120">
        <f t="shared" si="329"/>
        <v>285000</v>
      </c>
      <c r="O207" s="120">
        <f t="shared" ref="O207" si="330">SUM(O212+O214+O222)</f>
        <v>0</v>
      </c>
      <c r="P207" s="35"/>
      <c r="Q207" s="35"/>
      <c r="R207" s="35"/>
      <c r="S207" s="35"/>
    </row>
    <row r="208" spans="1:19" ht="17.25" customHeight="1" x14ac:dyDescent="0.2">
      <c r="A208" s="422" t="s">
        <v>324</v>
      </c>
      <c r="B208" s="414" t="s">
        <v>325</v>
      </c>
      <c r="C208" s="415">
        <f>SUM(C209)</f>
        <v>0</v>
      </c>
      <c r="D208" s="416"/>
      <c r="E208" s="416">
        <f t="shared" ref="E208:N209" si="331">SUM(E209)</f>
        <v>0</v>
      </c>
      <c r="F208" s="417">
        <f t="shared" si="331"/>
        <v>0</v>
      </c>
      <c r="G208" s="417">
        <f t="shared" si="331"/>
        <v>0</v>
      </c>
      <c r="H208" s="417">
        <f t="shared" si="331"/>
        <v>2000000</v>
      </c>
      <c r="I208" s="417">
        <f t="shared" si="331"/>
        <v>2000000</v>
      </c>
      <c r="J208" s="417">
        <f t="shared" si="331"/>
        <v>2000000</v>
      </c>
      <c r="K208" s="93">
        <f t="shared" si="331"/>
        <v>2000000</v>
      </c>
      <c r="L208" s="94">
        <f t="shared" si="331"/>
        <v>0</v>
      </c>
      <c r="M208" s="93">
        <f t="shared" si="331"/>
        <v>2000000</v>
      </c>
      <c r="N208" s="93">
        <f t="shared" si="331"/>
        <v>2000000</v>
      </c>
      <c r="O208" s="93">
        <f t="shared" ref="O208" si="332">SUM(O209,O212,O218,O225)</f>
        <v>0</v>
      </c>
      <c r="P208" s="35"/>
      <c r="Q208" s="35"/>
      <c r="R208" s="35"/>
      <c r="S208" s="35"/>
    </row>
    <row r="209" spans="1:19" ht="15" customHeight="1" x14ac:dyDescent="0.2">
      <c r="A209" s="125">
        <v>323</v>
      </c>
      <c r="B209" s="126" t="s">
        <v>23</v>
      </c>
      <c r="C209" s="97">
        <f>SUM(C210)</f>
        <v>0</v>
      </c>
      <c r="D209" s="98"/>
      <c r="E209" s="98">
        <f t="shared" si="331"/>
        <v>0</v>
      </c>
      <c r="F209" s="127">
        <f t="shared" si="331"/>
        <v>0</v>
      </c>
      <c r="G209" s="127">
        <f t="shared" si="331"/>
        <v>0</v>
      </c>
      <c r="H209" s="127">
        <f t="shared" si="331"/>
        <v>2000000</v>
      </c>
      <c r="I209" s="127">
        <f t="shared" si="331"/>
        <v>2000000</v>
      </c>
      <c r="J209" s="127">
        <f t="shared" si="331"/>
        <v>2000000</v>
      </c>
      <c r="K209" s="127">
        <f t="shared" si="331"/>
        <v>2000000</v>
      </c>
      <c r="L209" s="100">
        <f t="shared" si="331"/>
        <v>0</v>
      </c>
      <c r="M209" s="127">
        <f t="shared" si="331"/>
        <v>2000000</v>
      </c>
      <c r="N209" s="127">
        <f t="shared" si="331"/>
        <v>2000000</v>
      </c>
      <c r="O209" s="192"/>
      <c r="P209" s="35"/>
      <c r="Q209" s="35"/>
      <c r="R209" s="35"/>
      <c r="S209" s="35"/>
    </row>
    <row r="210" spans="1:19" x14ac:dyDescent="0.2">
      <c r="A210" s="128">
        <v>3232</v>
      </c>
      <c r="B210" s="129" t="s">
        <v>25</v>
      </c>
      <c r="C210" s="103"/>
      <c r="D210" s="104"/>
      <c r="E210" s="104"/>
      <c r="F210" s="130"/>
      <c r="G210" s="130"/>
      <c r="H210" s="130">
        <v>2000000</v>
      </c>
      <c r="I210" s="130">
        <v>2000000</v>
      </c>
      <c r="J210" s="130">
        <v>2000000</v>
      </c>
      <c r="K210" s="105">
        <f t="shared" ref="K210" si="333">H210-E210</f>
        <v>2000000</v>
      </c>
      <c r="L210" s="104"/>
      <c r="M210" s="105">
        <f>H210-F210</f>
        <v>2000000</v>
      </c>
      <c r="N210" s="105">
        <f>I210-G210</f>
        <v>2000000</v>
      </c>
      <c r="O210" s="192"/>
      <c r="P210" s="35"/>
      <c r="Q210" s="35"/>
      <c r="R210" s="35"/>
      <c r="S210" s="35"/>
    </row>
    <row r="211" spans="1:19" ht="26.25" customHeight="1" x14ac:dyDescent="0.2">
      <c r="A211" s="418" t="s">
        <v>330</v>
      </c>
      <c r="B211" s="414" t="s">
        <v>331</v>
      </c>
      <c r="C211" s="419">
        <f t="shared" ref="C211:G211" si="334">SUM(C212,C214)</f>
        <v>1592000</v>
      </c>
      <c r="D211" s="420"/>
      <c r="E211" s="420">
        <f t="shared" ref="E211" si="335">SUM(E212,E214)</f>
        <v>3592000</v>
      </c>
      <c r="F211" s="421">
        <f t="shared" si="334"/>
        <v>1592000</v>
      </c>
      <c r="G211" s="421">
        <f t="shared" si="334"/>
        <v>1592000</v>
      </c>
      <c r="H211" s="421">
        <f t="shared" ref="H211:I211" si="336">SUM(H212,H214)</f>
        <v>2850000</v>
      </c>
      <c r="I211" s="421">
        <f t="shared" si="336"/>
        <v>1877000</v>
      </c>
      <c r="J211" s="421">
        <f t="shared" ref="J211:K211" si="337">SUM(J212,J214)</f>
        <v>1877000</v>
      </c>
      <c r="K211" s="123">
        <f t="shared" si="337"/>
        <v>-742000</v>
      </c>
      <c r="L211" s="124"/>
      <c r="M211" s="123">
        <f t="shared" ref="M211:O211" si="338">SUM(M212,M214)</f>
        <v>1258000</v>
      </c>
      <c r="N211" s="123">
        <f t="shared" ref="N211" si="339">SUM(N212,N214)</f>
        <v>285000</v>
      </c>
      <c r="O211" s="123">
        <f t="shared" si="338"/>
        <v>0</v>
      </c>
      <c r="P211" s="35"/>
      <c r="Q211" s="35"/>
      <c r="R211" s="35"/>
      <c r="S211" s="35"/>
    </row>
    <row r="212" spans="1:19" x14ac:dyDescent="0.2">
      <c r="A212" s="151">
        <v>421</v>
      </c>
      <c r="B212" s="152" t="s">
        <v>51</v>
      </c>
      <c r="C212" s="97">
        <f t="shared" ref="C212:O212" si="340">SUM(C213)</f>
        <v>1327000</v>
      </c>
      <c r="D212" s="98"/>
      <c r="E212" s="98">
        <f t="shared" si="340"/>
        <v>3042000</v>
      </c>
      <c r="F212" s="127">
        <f t="shared" si="340"/>
        <v>1327000</v>
      </c>
      <c r="G212" s="127">
        <f t="shared" si="340"/>
        <v>1327000</v>
      </c>
      <c r="H212" s="127">
        <f t="shared" si="340"/>
        <v>2000000</v>
      </c>
      <c r="I212" s="127">
        <f t="shared" si="340"/>
        <v>1327000</v>
      </c>
      <c r="J212" s="127">
        <f t="shared" si="340"/>
        <v>1327000</v>
      </c>
      <c r="K212" s="127">
        <f t="shared" si="340"/>
        <v>-1042000</v>
      </c>
      <c r="L212" s="100"/>
      <c r="M212" s="127">
        <f t="shared" si="340"/>
        <v>673000</v>
      </c>
      <c r="N212" s="127">
        <f t="shared" si="340"/>
        <v>0</v>
      </c>
      <c r="O212" s="127">
        <f t="shared" si="340"/>
        <v>0</v>
      </c>
      <c r="P212" s="35"/>
      <c r="Q212" s="35"/>
      <c r="R212" s="35"/>
      <c r="S212" s="35"/>
    </row>
    <row r="213" spans="1:19" x14ac:dyDescent="0.2">
      <c r="A213" s="135">
        <v>4212</v>
      </c>
      <c r="B213" s="136" t="s">
        <v>52</v>
      </c>
      <c r="C213" s="103">
        <v>1327000</v>
      </c>
      <c r="D213" s="104"/>
      <c r="E213" s="104">
        <v>3042000</v>
      </c>
      <c r="F213" s="130">
        <v>1327000</v>
      </c>
      <c r="G213" s="130">
        <v>1327000</v>
      </c>
      <c r="H213" s="130">
        <v>2000000</v>
      </c>
      <c r="I213" s="130">
        <v>1327000</v>
      </c>
      <c r="J213" s="130">
        <v>1327000</v>
      </c>
      <c r="K213" s="105">
        <f t="shared" ref="K213" si="341">H213-E213</f>
        <v>-1042000</v>
      </c>
      <c r="L213" s="104"/>
      <c r="M213" s="105">
        <f>H213-F213</f>
        <v>673000</v>
      </c>
      <c r="N213" s="105">
        <f>I213-G213</f>
        <v>0</v>
      </c>
      <c r="O213" s="130"/>
      <c r="P213" s="35" t="s">
        <v>395</v>
      </c>
      <c r="Q213" s="35"/>
      <c r="R213" s="35"/>
      <c r="S213" s="35"/>
    </row>
    <row r="214" spans="1:19" x14ac:dyDescent="0.2">
      <c r="A214" s="151">
        <v>422</v>
      </c>
      <c r="B214" s="152" t="s">
        <v>53</v>
      </c>
      <c r="C214" s="97">
        <f t="shared" ref="C214:F214" si="342">SUM(C215:C218)</f>
        <v>265000</v>
      </c>
      <c r="D214" s="98"/>
      <c r="E214" s="98">
        <f t="shared" ref="E214" si="343">SUM(E215:E218)</f>
        <v>550000</v>
      </c>
      <c r="F214" s="127">
        <f t="shared" si="342"/>
        <v>265000</v>
      </c>
      <c r="G214" s="127">
        <f t="shared" ref="G214:H214" si="344">SUM(G215:G218)</f>
        <v>265000</v>
      </c>
      <c r="H214" s="127">
        <f t="shared" si="344"/>
        <v>850000</v>
      </c>
      <c r="I214" s="127">
        <f t="shared" ref="I214:J214" si="345">SUM(I215:I218)</f>
        <v>550000</v>
      </c>
      <c r="J214" s="127">
        <f t="shared" si="345"/>
        <v>550000</v>
      </c>
      <c r="K214" s="127">
        <f t="shared" ref="K214" si="346">SUM(K215:K218)</f>
        <v>300000</v>
      </c>
      <c r="L214" s="100"/>
      <c r="M214" s="127">
        <f t="shared" ref="M214:O214" si="347">SUM(M215:M218)</f>
        <v>585000</v>
      </c>
      <c r="N214" s="127">
        <f t="shared" ref="N214" si="348">SUM(N215:N218)</f>
        <v>285000</v>
      </c>
      <c r="O214" s="127">
        <f t="shared" si="347"/>
        <v>0</v>
      </c>
      <c r="P214" s="35"/>
      <c r="Q214" s="35"/>
      <c r="R214" s="35"/>
      <c r="S214" s="35"/>
    </row>
    <row r="215" spans="1:19" ht="12" customHeight="1" x14ac:dyDescent="0.2">
      <c r="A215" s="135">
        <v>4221</v>
      </c>
      <c r="B215" s="136" t="s">
        <v>54</v>
      </c>
      <c r="C215" s="103">
        <f>265000</f>
        <v>265000</v>
      </c>
      <c r="D215" s="104"/>
      <c r="E215" s="104">
        <v>550000</v>
      </c>
      <c r="F215" s="130">
        <f>265000</f>
        <v>265000</v>
      </c>
      <c r="G215" s="130">
        <f>265000</f>
        <v>265000</v>
      </c>
      <c r="H215" s="186">
        <f>550000+300000</f>
        <v>850000</v>
      </c>
      <c r="I215" s="130">
        <v>550000</v>
      </c>
      <c r="J215" s="130">
        <v>550000</v>
      </c>
      <c r="K215" s="105">
        <f t="shared" ref="K215" si="349">H215-E215</f>
        <v>300000</v>
      </c>
      <c r="L215" s="104"/>
      <c r="M215" s="105">
        <f t="shared" ref="M215" si="350">H215-F215</f>
        <v>585000</v>
      </c>
      <c r="N215" s="105">
        <f>I215-G215</f>
        <v>285000</v>
      </c>
      <c r="O215" s="130"/>
      <c r="P215" s="131" t="s">
        <v>438</v>
      </c>
      <c r="Q215" s="35"/>
      <c r="R215" s="35"/>
      <c r="S215" s="35"/>
    </row>
    <row r="216" spans="1:19" hidden="1" x14ac:dyDescent="0.2">
      <c r="A216" s="135">
        <v>4223</v>
      </c>
      <c r="B216" s="136" t="s">
        <v>59</v>
      </c>
      <c r="C216" s="103"/>
      <c r="D216" s="104"/>
      <c r="E216" s="104"/>
      <c r="F216" s="130"/>
      <c r="G216" s="130"/>
      <c r="H216" s="130"/>
      <c r="I216" s="130"/>
      <c r="J216" s="130"/>
      <c r="K216" s="130"/>
      <c r="L216" s="111"/>
      <c r="M216" s="130"/>
      <c r="N216" s="130"/>
      <c r="O216" s="130"/>
      <c r="P216" s="35"/>
      <c r="Q216" s="35"/>
      <c r="R216" s="35"/>
      <c r="S216" s="35"/>
    </row>
    <row r="217" spans="1:19" hidden="1" x14ac:dyDescent="0.2">
      <c r="A217" s="202">
        <v>4225</v>
      </c>
      <c r="B217" s="203" t="s">
        <v>105</v>
      </c>
      <c r="C217" s="103"/>
      <c r="D217" s="104"/>
      <c r="E217" s="104"/>
      <c r="F217" s="204"/>
      <c r="G217" s="204"/>
      <c r="H217" s="204"/>
      <c r="I217" s="204"/>
      <c r="J217" s="204"/>
      <c r="K217" s="204"/>
      <c r="L217" s="111"/>
      <c r="M217" s="204"/>
      <c r="N217" s="204"/>
      <c r="O217" s="204"/>
      <c r="P217" s="35"/>
      <c r="Q217" s="35"/>
      <c r="R217" s="35"/>
      <c r="S217" s="35"/>
    </row>
    <row r="218" spans="1:19" hidden="1" x14ac:dyDescent="0.2">
      <c r="A218" s="135">
        <v>4227</v>
      </c>
      <c r="B218" s="136" t="s">
        <v>60</v>
      </c>
      <c r="C218" s="103"/>
      <c r="D218" s="104"/>
      <c r="E218" s="104"/>
      <c r="F218" s="130"/>
      <c r="G218" s="130"/>
      <c r="H218" s="130"/>
      <c r="I218" s="130"/>
      <c r="J218" s="130"/>
      <c r="K218" s="130"/>
      <c r="L218" s="111"/>
      <c r="M218" s="130"/>
      <c r="N218" s="130"/>
      <c r="O218" s="130"/>
      <c r="P218" s="35"/>
      <c r="Q218" s="35"/>
      <c r="R218" s="35"/>
      <c r="S218" s="35"/>
    </row>
    <row r="219" spans="1:19" hidden="1" x14ac:dyDescent="0.2">
      <c r="A219" s="151">
        <v>423</v>
      </c>
      <c r="B219" s="152" t="s">
        <v>61</v>
      </c>
      <c r="C219" s="97">
        <f t="shared" ref="C219:O219" si="351">SUM(C220)</f>
        <v>0</v>
      </c>
      <c r="D219" s="98"/>
      <c r="E219" s="98">
        <f t="shared" si="351"/>
        <v>0</v>
      </c>
      <c r="F219" s="127">
        <f t="shared" si="351"/>
        <v>0</v>
      </c>
      <c r="G219" s="127">
        <f t="shared" si="351"/>
        <v>0</v>
      </c>
      <c r="H219" s="127">
        <f t="shared" si="351"/>
        <v>0</v>
      </c>
      <c r="I219" s="127">
        <f t="shared" si="351"/>
        <v>0</v>
      </c>
      <c r="J219" s="127">
        <f t="shared" si="351"/>
        <v>0</v>
      </c>
      <c r="K219" s="127">
        <f t="shared" si="351"/>
        <v>0</v>
      </c>
      <c r="L219" s="100"/>
      <c r="M219" s="127">
        <f t="shared" si="351"/>
        <v>0</v>
      </c>
      <c r="N219" s="127">
        <f t="shared" si="351"/>
        <v>0</v>
      </c>
      <c r="O219" s="127">
        <f t="shared" si="351"/>
        <v>0</v>
      </c>
      <c r="P219" s="35"/>
      <c r="Q219" s="35"/>
      <c r="R219" s="35"/>
      <c r="S219" s="35"/>
    </row>
    <row r="220" spans="1:19" hidden="1" x14ac:dyDescent="0.2">
      <c r="A220" s="135">
        <v>4231</v>
      </c>
      <c r="B220" s="136" t="s">
        <v>62</v>
      </c>
      <c r="C220" s="141"/>
      <c r="D220" s="142"/>
      <c r="E220" s="142"/>
      <c r="F220" s="143"/>
      <c r="G220" s="143"/>
      <c r="H220" s="143"/>
      <c r="I220" s="143"/>
      <c r="J220" s="143"/>
      <c r="K220" s="143"/>
      <c r="L220" s="145"/>
      <c r="M220" s="143"/>
      <c r="N220" s="143"/>
      <c r="O220" s="143"/>
      <c r="P220" s="35"/>
      <c r="Q220" s="35"/>
      <c r="R220" s="35"/>
      <c r="S220" s="35"/>
    </row>
    <row r="221" spans="1:19" ht="25.5" x14ac:dyDescent="0.2">
      <c r="A221" s="434" t="s">
        <v>332</v>
      </c>
      <c r="B221" s="435" t="s">
        <v>333</v>
      </c>
      <c r="C221" s="415">
        <f t="shared" ref="C221:O221" si="352">SUM(C222)</f>
        <v>10285000</v>
      </c>
      <c r="D221" s="416"/>
      <c r="E221" s="416">
        <f t="shared" si="352"/>
        <v>10000000</v>
      </c>
      <c r="F221" s="417">
        <f t="shared" si="352"/>
        <v>7433000</v>
      </c>
      <c r="G221" s="417">
        <f t="shared" si="352"/>
        <v>7433000</v>
      </c>
      <c r="H221" s="417">
        <f t="shared" si="352"/>
        <v>8000000</v>
      </c>
      <c r="I221" s="417">
        <f t="shared" si="352"/>
        <v>5433000</v>
      </c>
      <c r="J221" s="417">
        <f t="shared" si="352"/>
        <v>5433000</v>
      </c>
      <c r="K221" s="93">
        <f t="shared" si="352"/>
        <v>-2000000</v>
      </c>
      <c r="L221" s="94"/>
      <c r="M221" s="93">
        <f t="shared" si="352"/>
        <v>567000</v>
      </c>
      <c r="N221" s="93">
        <f t="shared" si="352"/>
        <v>-2000000</v>
      </c>
      <c r="O221" s="93">
        <f t="shared" si="352"/>
        <v>0</v>
      </c>
      <c r="P221" s="35"/>
      <c r="Q221" s="35"/>
      <c r="R221" s="35"/>
      <c r="S221" s="35"/>
    </row>
    <row r="222" spans="1:19" x14ac:dyDescent="0.2">
      <c r="A222" s="151">
        <v>451</v>
      </c>
      <c r="B222" s="152" t="s">
        <v>55</v>
      </c>
      <c r="C222" s="97">
        <f t="shared" ref="C222:O222" si="353">SUM(C223)</f>
        <v>10285000</v>
      </c>
      <c r="D222" s="98"/>
      <c r="E222" s="98">
        <f t="shared" si="353"/>
        <v>10000000</v>
      </c>
      <c r="F222" s="127">
        <f t="shared" si="353"/>
        <v>7433000</v>
      </c>
      <c r="G222" s="127">
        <f t="shared" si="353"/>
        <v>7433000</v>
      </c>
      <c r="H222" s="127">
        <f t="shared" si="353"/>
        <v>8000000</v>
      </c>
      <c r="I222" s="127">
        <f t="shared" si="353"/>
        <v>5433000</v>
      </c>
      <c r="J222" s="127">
        <f t="shared" si="353"/>
        <v>5433000</v>
      </c>
      <c r="K222" s="127">
        <f t="shared" si="353"/>
        <v>-2000000</v>
      </c>
      <c r="L222" s="100"/>
      <c r="M222" s="127">
        <f t="shared" si="353"/>
        <v>567000</v>
      </c>
      <c r="N222" s="127">
        <f t="shared" si="353"/>
        <v>-2000000</v>
      </c>
      <c r="O222" s="127">
        <f t="shared" si="353"/>
        <v>0</v>
      </c>
      <c r="P222" s="35"/>
      <c r="Q222" s="35"/>
      <c r="R222" s="35"/>
      <c r="S222" s="35"/>
    </row>
    <row r="223" spans="1:19" x14ac:dyDescent="0.2">
      <c r="A223" s="135">
        <v>4511</v>
      </c>
      <c r="B223" s="136" t="s">
        <v>55</v>
      </c>
      <c r="C223" s="205">
        <f>3808000+5044000+1433000</f>
        <v>10285000</v>
      </c>
      <c r="D223" s="206"/>
      <c r="E223" s="206">
        <v>10000000</v>
      </c>
      <c r="F223" s="207">
        <f>2389000+5044000</f>
        <v>7433000</v>
      </c>
      <c r="G223" s="207">
        <f>2389000+5044000</f>
        <v>7433000</v>
      </c>
      <c r="H223" s="207">
        <v>8000000</v>
      </c>
      <c r="I223" s="207">
        <f>2389000+5044000-2000000</f>
        <v>5433000</v>
      </c>
      <c r="J223" s="207">
        <f>2389000+5044000-2000000</f>
        <v>5433000</v>
      </c>
      <c r="K223" s="105">
        <f t="shared" ref="K223" si="354">H223-E223</f>
        <v>-2000000</v>
      </c>
      <c r="L223" s="104"/>
      <c r="M223" s="105">
        <f>H223-F223</f>
        <v>567000</v>
      </c>
      <c r="N223" s="105">
        <f>I223-G223</f>
        <v>-2000000</v>
      </c>
      <c r="O223" s="207"/>
      <c r="P223" s="35" t="s">
        <v>396</v>
      </c>
      <c r="Q223" s="35"/>
      <c r="R223" s="35"/>
      <c r="S223" s="35"/>
    </row>
    <row r="224" spans="1:19" ht="21" customHeight="1" x14ac:dyDescent="0.2">
      <c r="A224" s="208" t="s">
        <v>56</v>
      </c>
      <c r="B224" s="113" t="s">
        <v>57</v>
      </c>
      <c r="C224" s="114">
        <f t="shared" ref="C224:O224" si="355">SUM(C225)</f>
        <v>22380000</v>
      </c>
      <c r="D224" s="115"/>
      <c r="E224" s="115">
        <f t="shared" si="355"/>
        <v>20966000</v>
      </c>
      <c r="F224" s="116">
        <f t="shared" si="355"/>
        <v>20492000</v>
      </c>
      <c r="G224" s="116">
        <f t="shared" si="355"/>
        <v>20492000</v>
      </c>
      <c r="H224" s="116">
        <f t="shared" si="355"/>
        <v>22048000</v>
      </c>
      <c r="I224" s="116">
        <f t="shared" si="355"/>
        <v>19158000</v>
      </c>
      <c r="J224" s="116">
        <f t="shared" si="355"/>
        <v>21348000</v>
      </c>
      <c r="K224" s="116">
        <f t="shared" si="355"/>
        <v>1082000</v>
      </c>
      <c r="L224" s="117"/>
      <c r="M224" s="116">
        <f t="shared" si="355"/>
        <v>1556000</v>
      </c>
      <c r="N224" s="116">
        <f t="shared" si="355"/>
        <v>-1334000</v>
      </c>
      <c r="O224" s="116">
        <f t="shared" si="355"/>
        <v>0</v>
      </c>
      <c r="P224" s="88" t="s">
        <v>419</v>
      </c>
      <c r="Q224" s="35"/>
      <c r="R224" s="35"/>
      <c r="S224" s="35"/>
    </row>
    <row r="225" spans="1:19" ht="18" customHeight="1" x14ac:dyDescent="0.2">
      <c r="A225" s="701" t="s">
        <v>1</v>
      </c>
      <c r="B225" s="702"/>
      <c r="C225" s="118">
        <f t="shared" ref="C225:G225" si="356">SUM(C226,C238,C243)</f>
        <v>22380000</v>
      </c>
      <c r="D225" s="119"/>
      <c r="E225" s="119">
        <f t="shared" ref="E225" si="357">SUM(E226,E238,E243)</f>
        <v>20966000</v>
      </c>
      <c r="F225" s="120">
        <f t="shared" si="356"/>
        <v>20492000</v>
      </c>
      <c r="G225" s="120">
        <f t="shared" si="356"/>
        <v>20492000</v>
      </c>
      <c r="H225" s="120">
        <f t="shared" ref="H225:I225" si="358">SUM(H226,H238,H243)</f>
        <v>22048000</v>
      </c>
      <c r="I225" s="120">
        <f t="shared" si="358"/>
        <v>19158000</v>
      </c>
      <c r="J225" s="120">
        <f t="shared" ref="J225:K225" si="359">SUM(J226,J238,J243)</f>
        <v>21348000</v>
      </c>
      <c r="K225" s="120">
        <f t="shared" si="359"/>
        <v>1082000</v>
      </c>
      <c r="L225" s="121"/>
      <c r="M225" s="120">
        <f t="shared" ref="M225:O225" si="360">SUM(M226,M238,M243)</f>
        <v>1556000</v>
      </c>
      <c r="N225" s="120">
        <f t="shared" ref="N225" si="361">SUM(N226,N238,N243)</f>
        <v>-1334000</v>
      </c>
      <c r="O225" s="120">
        <f t="shared" si="360"/>
        <v>0</v>
      </c>
      <c r="P225" s="35"/>
      <c r="Q225" s="35"/>
      <c r="R225" s="35"/>
      <c r="S225" s="35"/>
    </row>
    <row r="226" spans="1:19" ht="18" customHeight="1" x14ac:dyDescent="0.2">
      <c r="A226" s="413" t="s">
        <v>324</v>
      </c>
      <c r="B226" s="436" t="s">
        <v>325</v>
      </c>
      <c r="C226" s="419">
        <f>SUM(C227,C233,C236)</f>
        <v>15263000</v>
      </c>
      <c r="D226" s="420"/>
      <c r="E226" s="420">
        <f>SUM(E227,E233,E236)</f>
        <v>14763000</v>
      </c>
      <c r="F226" s="421">
        <f t="shared" ref="F226:G226" si="362">SUM(F227,F233,F236)</f>
        <v>15661000</v>
      </c>
      <c r="G226" s="421">
        <f t="shared" si="362"/>
        <v>15661000</v>
      </c>
      <c r="H226" s="421">
        <f t="shared" ref="H226:I226" si="363">SUM(H227,H233,H236)</f>
        <v>16389000</v>
      </c>
      <c r="I226" s="421">
        <f t="shared" si="363"/>
        <v>14389000</v>
      </c>
      <c r="J226" s="421">
        <f t="shared" ref="J226:K226" si="364">SUM(J227,J233,J236)</f>
        <v>16389000</v>
      </c>
      <c r="K226" s="123">
        <f t="shared" si="364"/>
        <v>1626000</v>
      </c>
      <c r="L226" s="124"/>
      <c r="M226" s="123">
        <f t="shared" ref="M226:O226" si="365">SUM(M227,M233,M236)</f>
        <v>728000</v>
      </c>
      <c r="N226" s="123">
        <f t="shared" ref="N226" si="366">SUM(N227,N233,N236)</f>
        <v>-1272000</v>
      </c>
      <c r="O226" s="123">
        <f t="shared" si="365"/>
        <v>0</v>
      </c>
      <c r="P226" s="35"/>
      <c r="Q226" s="35"/>
      <c r="R226" s="35"/>
      <c r="S226" s="35"/>
    </row>
    <row r="227" spans="1:19" x14ac:dyDescent="0.2">
      <c r="A227" s="151">
        <v>322</v>
      </c>
      <c r="B227" s="126" t="s">
        <v>16</v>
      </c>
      <c r="C227" s="97">
        <f t="shared" ref="C227:F227" si="367">SUM(C228:C232)</f>
        <v>13803000</v>
      </c>
      <c r="D227" s="98"/>
      <c r="E227" s="98">
        <f t="shared" ref="E227" si="368">SUM(E228:E232)</f>
        <v>13303000</v>
      </c>
      <c r="F227" s="127">
        <f t="shared" si="367"/>
        <v>14467000</v>
      </c>
      <c r="G227" s="127">
        <f t="shared" ref="G227:H227" si="369">SUM(G228:G232)</f>
        <v>14467000</v>
      </c>
      <c r="H227" s="127">
        <f t="shared" si="369"/>
        <v>15195000</v>
      </c>
      <c r="I227" s="127">
        <f t="shared" ref="I227:J227" si="370">SUM(I228:I232)</f>
        <v>13195000</v>
      </c>
      <c r="J227" s="127">
        <f t="shared" si="370"/>
        <v>15195000</v>
      </c>
      <c r="K227" s="127">
        <f t="shared" ref="K227" si="371">SUM(K228:K232)</f>
        <v>1892000</v>
      </c>
      <c r="L227" s="100"/>
      <c r="M227" s="127">
        <f t="shared" ref="M227:O227" si="372">SUM(M228:M232)</f>
        <v>728000</v>
      </c>
      <c r="N227" s="127">
        <f t="shared" ref="N227" si="373">SUM(N228:N232)</f>
        <v>-1272000</v>
      </c>
      <c r="O227" s="127">
        <f t="shared" si="372"/>
        <v>0</v>
      </c>
      <c r="P227" s="35"/>
      <c r="Q227" s="35"/>
      <c r="R227" s="35"/>
      <c r="S227" s="35"/>
    </row>
    <row r="228" spans="1:19" hidden="1" x14ac:dyDescent="0.2">
      <c r="A228" s="135">
        <v>3221</v>
      </c>
      <c r="B228" s="136" t="s">
        <v>293</v>
      </c>
      <c r="C228" s="141"/>
      <c r="D228" s="142"/>
      <c r="E228" s="142"/>
      <c r="F228" s="143"/>
      <c r="G228" s="143"/>
      <c r="H228" s="143"/>
      <c r="I228" s="143"/>
      <c r="J228" s="143"/>
      <c r="K228" s="143"/>
      <c r="L228" s="145"/>
      <c r="M228" s="143"/>
      <c r="N228" s="143"/>
      <c r="O228" s="143"/>
      <c r="P228" s="35"/>
      <c r="Q228" s="35"/>
      <c r="R228" s="35"/>
      <c r="S228" s="35"/>
    </row>
    <row r="229" spans="1:19" ht="12.75" customHeight="1" x14ac:dyDescent="0.2">
      <c r="A229" s="135">
        <v>3222</v>
      </c>
      <c r="B229" s="136" t="s">
        <v>18</v>
      </c>
      <c r="C229" s="141">
        <v>1062000</v>
      </c>
      <c r="D229" s="142"/>
      <c r="E229" s="142">
        <v>562000</v>
      </c>
      <c r="F229" s="209">
        <v>1062000</v>
      </c>
      <c r="G229" s="209">
        <v>1062000</v>
      </c>
      <c r="H229" s="209">
        <v>1062000</v>
      </c>
      <c r="I229" s="209">
        <f>1062000-500000</f>
        <v>562000</v>
      </c>
      <c r="J229" s="209">
        <v>1062000</v>
      </c>
      <c r="K229" s="105">
        <f t="shared" ref="K229:K232" si="374">H229-E229</f>
        <v>500000</v>
      </c>
      <c r="L229" s="104"/>
      <c r="M229" s="105">
        <f t="shared" ref="M229:N232" si="375">H229-F229</f>
        <v>0</v>
      </c>
      <c r="N229" s="105">
        <f t="shared" si="375"/>
        <v>-500000</v>
      </c>
      <c r="O229" s="209"/>
      <c r="P229" s="35"/>
      <c r="Q229" s="35"/>
      <c r="R229" s="35"/>
      <c r="S229" s="35"/>
    </row>
    <row r="230" spans="1:19" hidden="1" x14ac:dyDescent="0.2">
      <c r="A230" s="210">
        <v>3224</v>
      </c>
      <c r="B230" s="211" t="s">
        <v>112</v>
      </c>
      <c r="C230" s="141"/>
      <c r="D230" s="142"/>
      <c r="E230" s="142"/>
      <c r="F230" s="212"/>
      <c r="G230" s="212"/>
      <c r="H230" s="212"/>
      <c r="I230" s="212"/>
      <c r="J230" s="212"/>
      <c r="K230" s="105">
        <f t="shared" si="374"/>
        <v>0</v>
      </c>
      <c r="L230" s="104"/>
      <c r="M230" s="105">
        <f t="shared" si="375"/>
        <v>0</v>
      </c>
      <c r="N230" s="105">
        <f t="shared" si="375"/>
        <v>0</v>
      </c>
      <c r="O230" s="212"/>
      <c r="P230" s="35"/>
      <c r="Q230" s="35"/>
      <c r="R230" s="35"/>
      <c r="S230" s="35"/>
    </row>
    <row r="231" spans="1:19" x14ac:dyDescent="0.2">
      <c r="A231" s="128">
        <v>3225</v>
      </c>
      <c r="B231" s="129" t="s">
        <v>21</v>
      </c>
      <c r="C231" s="103">
        <v>133000</v>
      </c>
      <c r="D231" s="104"/>
      <c r="E231" s="104">
        <v>133000</v>
      </c>
      <c r="F231" s="130">
        <v>133000</v>
      </c>
      <c r="G231" s="130">
        <v>133000</v>
      </c>
      <c r="H231" s="130">
        <v>133000</v>
      </c>
      <c r="I231" s="130">
        <v>133000</v>
      </c>
      <c r="J231" s="130">
        <v>133000</v>
      </c>
      <c r="K231" s="105">
        <f t="shared" si="374"/>
        <v>0</v>
      </c>
      <c r="L231" s="104"/>
      <c r="M231" s="105">
        <f t="shared" si="375"/>
        <v>0</v>
      </c>
      <c r="N231" s="105">
        <f t="shared" si="375"/>
        <v>0</v>
      </c>
      <c r="O231" s="130"/>
      <c r="P231" s="35"/>
      <c r="Q231" s="35"/>
      <c r="R231" s="35"/>
      <c r="S231" s="35"/>
    </row>
    <row r="232" spans="1:19" x14ac:dyDescent="0.2">
      <c r="A232" s="135">
        <v>3227</v>
      </c>
      <c r="B232" s="136" t="s">
        <v>22</v>
      </c>
      <c r="C232" s="103">
        <v>12608000</v>
      </c>
      <c r="D232" s="104"/>
      <c r="E232" s="104">
        <v>12608000</v>
      </c>
      <c r="F232" s="130">
        <v>13272000</v>
      </c>
      <c r="G232" s="130">
        <v>13272000</v>
      </c>
      <c r="H232" s="130">
        <v>14000000</v>
      </c>
      <c r="I232" s="130">
        <f>14000000-1500000</f>
        <v>12500000</v>
      </c>
      <c r="J232" s="130">
        <v>14000000</v>
      </c>
      <c r="K232" s="105">
        <f t="shared" si="374"/>
        <v>1392000</v>
      </c>
      <c r="L232" s="104"/>
      <c r="M232" s="105">
        <f t="shared" si="375"/>
        <v>728000</v>
      </c>
      <c r="N232" s="105">
        <f t="shared" si="375"/>
        <v>-772000</v>
      </c>
      <c r="O232" s="130"/>
      <c r="P232" s="35"/>
      <c r="Q232" s="35"/>
      <c r="R232" s="35"/>
      <c r="S232" s="35"/>
    </row>
    <row r="233" spans="1:19" s="6" customFormat="1" ht="15" x14ac:dyDescent="0.25">
      <c r="A233" s="160" t="s">
        <v>159</v>
      </c>
      <c r="B233" s="161" t="s">
        <v>123</v>
      </c>
      <c r="C233" s="162">
        <f t="shared" ref="C233:F233" si="376">SUM(C234+C235)</f>
        <v>796000</v>
      </c>
      <c r="D233" s="163"/>
      <c r="E233" s="163">
        <f t="shared" ref="E233" si="377">SUM(E234+E235)</f>
        <v>796000</v>
      </c>
      <c r="F233" s="164">
        <f t="shared" si="376"/>
        <v>796000</v>
      </c>
      <c r="G233" s="164">
        <f t="shared" ref="G233:H233" si="378">SUM(G234+G235)</f>
        <v>796000</v>
      </c>
      <c r="H233" s="164">
        <f t="shared" si="378"/>
        <v>796000</v>
      </c>
      <c r="I233" s="164">
        <f t="shared" ref="I233:J233" si="379">SUM(I234+I235)</f>
        <v>796000</v>
      </c>
      <c r="J233" s="164">
        <f t="shared" si="379"/>
        <v>796000</v>
      </c>
      <c r="K233" s="164">
        <f t="shared" ref="K233" si="380">SUM(K234+K235)</f>
        <v>0</v>
      </c>
      <c r="L233" s="165"/>
      <c r="M233" s="164">
        <f t="shared" ref="M233:O233" si="381">SUM(M234+M235)</f>
        <v>0</v>
      </c>
      <c r="N233" s="164">
        <f t="shared" ref="N233" si="382">SUM(N234+N235)</f>
        <v>0</v>
      </c>
      <c r="O233" s="164">
        <f t="shared" si="381"/>
        <v>0</v>
      </c>
      <c r="P233" s="213"/>
      <c r="Q233" s="213"/>
      <c r="R233" s="213"/>
      <c r="S233" s="213"/>
    </row>
    <row r="234" spans="1:19" customFormat="1" ht="15" x14ac:dyDescent="0.25">
      <c r="A234" s="167">
        <v>3235</v>
      </c>
      <c r="B234" s="168" t="s">
        <v>28</v>
      </c>
      <c r="C234" s="169">
        <v>796000</v>
      </c>
      <c r="D234" s="170"/>
      <c r="E234" s="170">
        <v>796000</v>
      </c>
      <c r="F234" s="171">
        <v>796000</v>
      </c>
      <c r="G234" s="171">
        <v>796000</v>
      </c>
      <c r="H234" s="171">
        <v>796000</v>
      </c>
      <c r="I234" s="171">
        <v>796000</v>
      </c>
      <c r="J234" s="171">
        <v>796000</v>
      </c>
      <c r="K234" s="105">
        <f t="shared" ref="K234" si="383">H234-E234</f>
        <v>0</v>
      </c>
      <c r="L234" s="104"/>
      <c r="M234" s="105">
        <f t="shared" ref="M234" si="384">H234-F234</f>
        <v>0</v>
      </c>
      <c r="N234" s="105">
        <f>I234-G234</f>
        <v>0</v>
      </c>
      <c r="O234" s="171"/>
      <c r="P234" s="214"/>
      <c r="Q234" s="214"/>
      <c r="R234" s="214"/>
      <c r="S234" s="214"/>
    </row>
    <row r="235" spans="1:19" customFormat="1" ht="15" hidden="1" x14ac:dyDescent="0.25">
      <c r="A235" s="179">
        <v>3238</v>
      </c>
      <c r="B235" s="180" t="s">
        <v>70</v>
      </c>
      <c r="C235" s="169"/>
      <c r="D235" s="170"/>
      <c r="E235" s="170"/>
      <c r="F235" s="215"/>
      <c r="G235" s="215"/>
      <c r="H235" s="215"/>
      <c r="I235" s="215"/>
      <c r="J235" s="215"/>
      <c r="K235" s="215"/>
      <c r="L235" s="172"/>
      <c r="M235" s="215"/>
      <c r="N235" s="215"/>
      <c r="O235" s="215"/>
      <c r="P235" s="214"/>
      <c r="Q235" s="214"/>
      <c r="R235" s="214"/>
      <c r="S235" s="214"/>
    </row>
    <row r="236" spans="1:19" x14ac:dyDescent="0.2">
      <c r="A236" s="151">
        <v>329</v>
      </c>
      <c r="B236" s="126" t="s">
        <v>33</v>
      </c>
      <c r="C236" s="97">
        <f t="shared" ref="C236:O236" si="385">SUM(C237)</f>
        <v>664000</v>
      </c>
      <c r="D236" s="98"/>
      <c r="E236" s="98">
        <f t="shared" si="385"/>
        <v>664000</v>
      </c>
      <c r="F236" s="127">
        <f t="shared" si="385"/>
        <v>398000</v>
      </c>
      <c r="G236" s="127">
        <f t="shared" si="385"/>
        <v>398000</v>
      </c>
      <c r="H236" s="127">
        <f t="shared" si="385"/>
        <v>398000</v>
      </c>
      <c r="I236" s="127">
        <f t="shared" si="385"/>
        <v>398000</v>
      </c>
      <c r="J236" s="127">
        <f t="shared" si="385"/>
        <v>398000</v>
      </c>
      <c r="K236" s="127">
        <f t="shared" si="385"/>
        <v>-266000</v>
      </c>
      <c r="L236" s="100"/>
      <c r="M236" s="127">
        <f t="shared" si="385"/>
        <v>0</v>
      </c>
      <c r="N236" s="127">
        <f t="shared" si="385"/>
        <v>0</v>
      </c>
      <c r="O236" s="127">
        <f t="shared" si="385"/>
        <v>0</v>
      </c>
      <c r="P236" s="35"/>
      <c r="Q236" s="35"/>
      <c r="R236" s="35"/>
      <c r="S236" s="35"/>
    </row>
    <row r="237" spans="1:19" x14ac:dyDescent="0.2">
      <c r="A237" s="135">
        <v>3299</v>
      </c>
      <c r="B237" s="136" t="s">
        <v>33</v>
      </c>
      <c r="C237" s="103">
        <v>664000</v>
      </c>
      <c r="D237" s="104"/>
      <c r="E237" s="104">
        <v>664000</v>
      </c>
      <c r="F237" s="130">
        <v>398000</v>
      </c>
      <c r="G237" s="130">
        <v>398000</v>
      </c>
      <c r="H237" s="130">
        <v>398000</v>
      </c>
      <c r="I237" s="130">
        <v>398000</v>
      </c>
      <c r="J237" s="130">
        <v>398000</v>
      </c>
      <c r="K237" s="105">
        <f t="shared" ref="K237" si="386">H237-E237</f>
        <v>-266000</v>
      </c>
      <c r="L237" s="104"/>
      <c r="M237" s="105">
        <f>H237-F237</f>
        <v>0</v>
      </c>
      <c r="N237" s="105">
        <f>I237-G237</f>
        <v>0</v>
      </c>
      <c r="O237" s="130"/>
      <c r="P237" s="35"/>
      <c r="Q237" s="35"/>
      <c r="R237" s="35"/>
      <c r="S237" s="35"/>
    </row>
    <row r="238" spans="1:19" x14ac:dyDescent="0.2">
      <c r="A238" s="422" t="s">
        <v>326</v>
      </c>
      <c r="B238" s="414" t="s">
        <v>327</v>
      </c>
      <c r="C238" s="415">
        <f t="shared" ref="C238:O238" si="387">SUM(C239)</f>
        <v>176000</v>
      </c>
      <c r="D238" s="416"/>
      <c r="E238" s="416">
        <f t="shared" si="387"/>
        <v>82000</v>
      </c>
      <c r="F238" s="417">
        <f t="shared" si="387"/>
        <v>133000</v>
      </c>
      <c r="G238" s="417">
        <f t="shared" si="387"/>
        <v>133000</v>
      </c>
      <c r="H238" s="417">
        <f t="shared" si="387"/>
        <v>176000</v>
      </c>
      <c r="I238" s="417">
        <f t="shared" si="387"/>
        <v>86000</v>
      </c>
      <c r="J238" s="417">
        <f t="shared" si="387"/>
        <v>176000</v>
      </c>
      <c r="K238" s="93">
        <f t="shared" si="387"/>
        <v>94000</v>
      </c>
      <c r="L238" s="94"/>
      <c r="M238" s="93">
        <f t="shared" si="387"/>
        <v>43000</v>
      </c>
      <c r="N238" s="93">
        <f t="shared" si="387"/>
        <v>-47000</v>
      </c>
      <c r="O238" s="93">
        <f t="shared" si="387"/>
        <v>0</v>
      </c>
      <c r="P238" s="35"/>
      <c r="Q238" s="35"/>
      <c r="R238" s="35"/>
      <c r="S238" s="35"/>
    </row>
    <row r="239" spans="1:19" s="2" customFormat="1" x14ac:dyDescent="0.2">
      <c r="A239" s="216">
        <v>342</v>
      </c>
      <c r="B239" s="217" t="s">
        <v>216</v>
      </c>
      <c r="C239" s="97">
        <f t="shared" ref="C239:O239" si="388">SUM(C240)</f>
        <v>176000</v>
      </c>
      <c r="D239" s="98"/>
      <c r="E239" s="98">
        <f t="shared" si="388"/>
        <v>82000</v>
      </c>
      <c r="F239" s="218">
        <f t="shared" si="388"/>
        <v>133000</v>
      </c>
      <c r="G239" s="218">
        <f t="shared" si="388"/>
        <v>133000</v>
      </c>
      <c r="H239" s="218">
        <f t="shared" si="388"/>
        <v>176000</v>
      </c>
      <c r="I239" s="218">
        <f t="shared" si="388"/>
        <v>86000</v>
      </c>
      <c r="J239" s="218">
        <f t="shared" si="388"/>
        <v>176000</v>
      </c>
      <c r="K239" s="218">
        <f t="shared" si="388"/>
        <v>94000</v>
      </c>
      <c r="L239" s="100"/>
      <c r="M239" s="218">
        <f t="shared" si="388"/>
        <v>43000</v>
      </c>
      <c r="N239" s="218">
        <f t="shared" si="388"/>
        <v>-47000</v>
      </c>
      <c r="O239" s="218">
        <f t="shared" si="388"/>
        <v>0</v>
      </c>
      <c r="P239" s="50"/>
      <c r="Q239" s="50"/>
      <c r="R239" s="50"/>
      <c r="S239" s="50"/>
    </row>
    <row r="240" spans="1:19" ht="24.75" customHeight="1" x14ac:dyDescent="0.2">
      <c r="A240" s="202">
        <v>3427</v>
      </c>
      <c r="B240" s="203" t="s">
        <v>217</v>
      </c>
      <c r="C240" s="103">
        <v>176000</v>
      </c>
      <c r="D240" s="104"/>
      <c r="E240" s="104">
        <v>82000</v>
      </c>
      <c r="F240" s="204">
        <v>133000</v>
      </c>
      <c r="G240" s="204">
        <v>133000</v>
      </c>
      <c r="H240" s="104">
        <v>176000</v>
      </c>
      <c r="I240" s="104">
        <f>176000-90000</f>
        <v>86000</v>
      </c>
      <c r="J240" s="104">
        <v>176000</v>
      </c>
      <c r="K240" s="105">
        <f t="shared" ref="K240" si="389">H240-E240</f>
        <v>94000</v>
      </c>
      <c r="L240" s="104"/>
      <c r="M240" s="105">
        <f>H240-F240</f>
        <v>43000</v>
      </c>
      <c r="N240" s="105">
        <f>I240-G240</f>
        <v>-47000</v>
      </c>
      <c r="O240" s="204"/>
      <c r="P240" s="35"/>
      <c r="Q240" s="35"/>
      <c r="R240" s="35"/>
      <c r="S240" s="35"/>
    </row>
    <row r="241" spans="1:19" hidden="1" x14ac:dyDescent="0.2">
      <c r="A241" s="151">
        <v>412</v>
      </c>
      <c r="B241" s="152" t="s">
        <v>67</v>
      </c>
      <c r="C241" s="97">
        <f t="shared" ref="C241:O241" si="390">SUM(C242)</f>
        <v>0</v>
      </c>
      <c r="D241" s="98"/>
      <c r="E241" s="98">
        <f t="shared" si="390"/>
        <v>0</v>
      </c>
      <c r="F241" s="127">
        <f t="shared" si="390"/>
        <v>0</v>
      </c>
      <c r="G241" s="127">
        <f t="shared" si="390"/>
        <v>0</v>
      </c>
      <c r="H241" s="127">
        <f t="shared" si="390"/>
        <v>0</v>
      </c>
      <c r="I241" s="127">
        <f t="shared" si="390"/>
        <v>0</v>
      </c>
      <c r="J241" s="127">
        <f t="shared" si="390"/>
        <v>0</v>
      </c>
      <c r="K241" s="127">
        <f t="shared" si="390"/>
        <v>0</v>
      </c>
      <c r="L241" s="100"/>
      <c r="M241" s="127">
        <f t="shared" si="390"/>
        <v>0</v>
      </c>
      <c r="N241" s="127">
        <f t="shared" si="390"/>
        <v>0</v>
      </c>
      <c r="O241" s="127">
        <f t="shared" si="390"/>
        <v>0</v>
      </c>
      <c r="P241" s="35"/>
      <c r="Q241" s="35"/>
      <c r="R241" s="35"/>
      <c r="S241" s="35"/>
    </row>
    <row r="242" spans="1:19" hidden="1" x14ac:dyDescent="0.2">
      <c r="A242" s="135">
        <v>4124</v>
      </c>
      <c r="B242" s="136" t="s">
        <v>125</v>
      </c>
      <c r="C242" s="103"/>
      <c r="D242" s="104"/>
      <c r="E242" s="104"/>
      <c r="F242" s="130"/>
      <c r="G242" s="130"/>
      <c r="H242" s="130"/>
      <c r="I242" s="130"/>
      <c r="J242" s="130"/>
      <c r="K242" s="130"/>
      <c r="L242" s="111"/>
      <c r="M242" s="130"/>
      <c r="N242" s="130"/>
      <c r="O242" s="130"/>
      <c r="P242" s="35"/>
      <c r="Q242" s="35"/>
      <c r="R242" s="35"/>
      <c r="S242" s="35"/>
    </row>
    <row r="243" spans="1:19" ht="25.5" x14ac:dyDescent="0.2">
      <c r="A243" s="434" t="s">
        <v>330</v>
      </c>
      <c r="B243" s="435" t="s">
        <v>331</v>
      </c>
      <c r="C243" s="415">
        <f t="shared" ref="C243:G243" si="391">SUM(C244,C250,C252)</f>
        <v>6941000</v>
      </c>
      <c r="D243" s="416"/>
      <c r="E243" s="416">
        <f t="shared" ref="E243" si="392">SUM(E244,E250,E252)</f>
        <v>6121000</v>
      </c>
      <c r="F243" s="417">
        <f t="shared" si="391"/>
        <v>4698000</v>
      </c>
      <c r="G243" s="417">
        <f t="shared" si="391"/>
        <v>4698000</v>
      </c>
      <c r="H243" s="417">
        <f t="shared" ref="H243:I243" si="393">SUM(H244,H250,H252)</f>
        <v>5483000</v>
      </c>
      <c r="I243" s="417">
        <f t="shared" si="393"/>
        <v>4683000</v>
      </c>
      <c r="J243" s="417">
        <f t="shared" ref="J243:K243" si="394">SUM(J244,J250,J252)</f>
        <v>4783000</v>
      </c>
      <c r="K243" s="93">
        <f t="shared" si="394"/>
        <v>-638000</v>
      </c>
      <c r="L243" s="94"/>
      <c r="M243" s="93">
        <f t="shared" ref="M243:O243" si="395">SUM(M244,M250,M252)</f>
        <v>785000</v>
      </c>
      <c r="N243" s="93">
        <f t="shared" ref="N243" si="396">SUM(N244,N250,N252)</f>
        <v>-15000</v>
      </c>
      <c r="O243" s="93">
        <f t="shared" si="395"/>
        <v>0</v>
      </c>
      <c r="P243" s="35"/>
      <c r="Q243" s="35"/>
      <c r="R243" s="35"/>
      <c r="S243" s="35"/>
    </row>
    <row r="244" spans="1:19" x14ac:dyDescent="0.2">
      <c r="A244" s="151">
        <v>422</v>
      </c>
      <c r="B244" s="152" t="s">
        <v>53</v>
      </c>
      <c r="C244" s="97">
        <f t="shared" ref="C244:F244" si="397">SUM(C245:C249)</f>
        <v>4141000</v>
      </c>
      <c r="D244" s="98"/>
      <c r="E244" s="98">
        <f t="shared" ref="E244" si="398">SUM(E245:E249)</f>
        <v>4141000</v>
      </c>
      <c r="F244" s="127">
        <f t="shared" si="397"/>
        <v>3185000</v>
      </c>
      <c r="G244" s="127">
        <f t="shared" ref="G244:H244" si="399">SUM(G245:G249)</f>
        <v>3185000</v>
      </c>
      <c r="H244" s="127">
        <f t="shared" si="399"/>
        <v>3970000</v>
      </c>
      <c r="I244" s="127">
        <f t="shared" ref="I244:J244" si="400">SUM(I245:I249)</f>
        <v>3170000</v>
      </c>
      <c r="J244" s="127">
        <f t="shared" si="400"/>
        <v>3270000</v>
      </c>
      <c r="K244" s="127">
        <f t="shared" ref="K244" si="401">SUM(K245:K249)</f>
        <v>-171000</v>
      </c>
      <c r="L244" s="100"/>
      <c r="M244" s="127">
        <f t="shared" ref="M244:O244" si="402">SUM(M245:M249)</f>
        <v>785000</v>
      </c>
      <c r="N244" s="127">
        <f t="shared" ref="N244" si="403">SUM(N245:N249)</f>
        <v>-15000</v>
      </c>
      <c r="O244" s="127">
        <f t="shared" si="402"/>
        <v>0</v>
      </c>
      <c r="P244" s="35"/>
      <c r="Q244" s="35"/>
      <c r="R244" s="35"/>
      <c r="S244" s="35"/>
    </row>
    <row r="245" spans="1:19" ht="12.75" customHeight="1" x14ac:dyDescent="0.2">
      <c r="A245" s="135">
        <v>4221</v>
      </c>
      <c r="B245" s="136" t="s">
        <v>54</v>
      </c>
      <c r="C245" s="103">
        <v>265000</v>
      </c>
      <c r="D245" s="104"/>
      <c r="E245" s="104">
        <v>265000</v>
      </c>
      <c r="F245" s="130">
        <v>265000</v>
      </c>
      <c r="G245" s="130">
        <v>265000</v>
      </c>
      <c r="H245" s="186">
        <f>350000+200000+500000</f>
        <v>1050000</v>
      </c>
      <c r="I245" s="130">
        <f>350000-100000</f>
        <v>250000</v>
      </c>
      <c r="J245" s="130">
        <v>350000</v>
      </c>
      <c r="K245" s="105">
        <f t="shared" ref="K245:K249" si="404">H245-E245</f>
        <v>785000</v>
      </c>
      <c r="L245" s="104"/>
      <c r="M245" s="105">
        <f t="shared" ref="M245:N249" si="405">H245-F245</f>
        <v>785000</v>
      </c>
      <c r="N245" s="105">
        <f t="shared" si="405"/>
        <v>-15000</v>
      </c>
      <c r="O245" s="130"/>
      <c r="P245" s="131" t="s">
        <v>439</v>
      </c>
      <c r="Q245" s="35"/>
      <c r="R245" s="35"/>
      <c r="S245" s="35"/>
    </row>
    <row r="246" spans="1:19" x14ac:dyDescent="0.2">
      <c r="A246" s="210">
        <v>4222</v>
      </c>
      <c r="B246" s="211" t="s">
        <v>58</v>
      </c>
      <c r="C246" s="103"/>
      <c r="D246" s="104"/>
      <c r="E246" s="104"/>
      <c r="F246" s="148"/>
      <c r="G246" s="148"/>
      <c r="H246" s="148"/>
      <c r="I246" s="148"/>
      <c r="J246" s="148"/>
      <c r="K246" s="105">
        <f t="shared" si="404"/>
        <v>0</v>
      </c>
      <c r="L246" s="104"/>
      <c r="M246" s="105">
        <f t="shared" si="405"/>
        <v>0</v>
      </c>
      <c r="N246" s="105">
        <f t="shared" si="405"/>
        <v>0</v>
      </c>
      <c r="O246" s="148"/>
      <c r="P246" s="35"/>
      <c r="Q246" s="35"/>
      <c r="R246" s="35"/>
      <c r="S246" s="35"/>
    </row>
    <row r="247" spans="1:19" x14ac:dyDescent="0.2">
      <c r="A247" s="135">
        <v>4223</v>
      </c>
      <c r="B247" s="136" t="s">
        <v>59</v>
      </c>
      <c r="C247" s="103">
        <v>2124000</v>
      </c>
      <c r="D247" s="104"/>
      <c r="E247" s="104">
        <v>2124000</v>
      </c>
      <c r="F247" s="130">
        <v>2124000</v>
      </c>
      <c r="G247" s="130">
        <v>2124000</v>
      </c>
      <c r="H247" s="186">
        <v>1970000</v>
      </c>
      <c r="I247" s="130">
        <v>2124000</v>
      </c>
      <c r="J247" s="130">
        <v>2124000</v>
      </c>
      <c r="K247" s="105">
        <f t="shared" si="404"/>
        <v>-154000</v>
      </c>
      <c r="L247" s="104"/>
      <c r="M247" s="105">
        <f t="shared" si="405"/>
        <v>-154000</v>
      </c>
      <c r="N247" s="105">
        <f t="shared" si="405"/>
        <v>0</v>
      </c>
      <c r="O247" s="130"/>
      <c r="P247" s="131" t="s">
        <v>441</v>
      </c>
      <c r="Q247" s="35"/>
      <c r="R247" s="35"/>
      <c r="S247" s="35"/>
    </row>
    <row r="248" spans="1:19" hidden="1" x14ac:dyDescent="0.2">
      <c r="A248" s="202">
        <v>4225</v>
      </c>
      <c r="B248" s="203" t="s">
        <v>105</v>
      </c>
      <c r="C248" s="103"/>
      <c r="D248" s="104"/>
      <c r="E248" s="104"/>
      <c r="F248" s="204"/>
      <c r="G248" s="204"/>
      <c r="H248" s="476"/>
      <c r="I248" s="204"/>
      <c r="J248" s="204"/>
      <c r="K248" s="105">
        <f t="shared" si="404"/>
        <v>0</v>
      </c>
      <c r="L248" s="104"/>
      <c r="M248" s="105">
        <f t="shared" si="405"/>
        <v>0</v>
      </c>
      <c r="N248" s="105">
        <f t="shared" si="405"/>
        <v>0</v>
      </c>
      <c r="O248" s="204"/>
      <c r="P248" s="131"/>
      <c r="Q248" s="35"/>
      <c r="R248" s="35"/>
      <c r="S248" s="35"/>
    </row>
    <row r="249" spans="1:19" x14ac:dyDescent="0.2">
      <c r="A249" s="135">
        <v>4227</v>
      </c>
      <c r="B249" s="136" t="s">
        <v>60</v>
      </c>
      <c r="C249" s="103">
        <v>1752000</v>
      </c>
      <c r="D249" s="104"/>
      <c r="E249" s="104">
        <v>1752000</v>
      </c>
      <c r="F249" s="130">
        <v>796000</v>
      </c>
      <c r="G249" s="130">
        <v>796000</v>
      </c>
      <c r="H249" s="186">
        <v>950000</v>
      </c>
      <c r="I249" s="130">
        <v>796000</v>
      </c>
      <c r="J249" s="130">
        <v>796000</v>
      </c>
      <c r="K249" s="105">
        <f t="shared" si="404"/>
        <v>-802000</v>
      </c>
      <c r="L249" s="104"/>
      <c r="M249" s="105">
        <f t="shared" si="405"/>
        <v>154000</v>
      </c>
      <c r="N249" s="105">
        <f t="shared" si="405"/>
        <v>0</v>
      </c>
      <c r="O249" s="130"/>
      <c r="P249" s="131" t="s">
        <v>440</v>
      </c>
      <c r="Q249" s="35"/>
      <c r="R249" s="35"/>
      <c r="S249" s="35"/>
    </row>
    <row r="250" spans="1:19" x14ac:dyDescent="0.2">
      <c r="A250" s="151">
        <v>423</v>
      </c>
      <c r="B250" s="152" t="s">
        <v>61</v>
      </c>
      <c r="C250" s="97">
        <f t="shared" ref="C250:O250" si="406">SUM(C251)</f>
        <v>2747000</v>
      </c>
      <c r="D250" s="98"/>
      <c r="E250" s="98">
        <f t="shared" si="406"/>
        <v>1947000</v>
      </c>
      <c r="F250" s="127">
        <f t="shared" si="406"/>
        <v>1460000</v>
      </c>
      <c r="G250" s="127">
        <f t="shared" si="406"/>
        <v>1460000</v>
      </c>
      <c r="H250" s="127">
        <f t="shared" si="406"/>
        <v>1460000</v>
      </c>
      <c r="I250" s="127">
        <f t="shared" si="406"/>
        <v>1460000</v>
      </c>
      <c r="J250" s="127">
        <f t="shared" si="406"/>
        <v>1460000</v>
      </c>
      <c r="K250" s="127">
        <f t="shared" si="406"/>
        <v>-487000</v>
      </c>
      <c r="L250" s="100"/>
      <c r="M250" s="127">
        <f t="shared" si="406"/>
        <v>0</v>
      </c>
      <c r="N250" s="127">
        <f t="shared" si="406"/>
        <v>0</v>
      </c>
      <c r="O250" s="127">
        <f t="shared" si="406"/>
        <v>0</v>
      </c>
      <c r="P250" s="35"/>
      <c r="Q250" s="35"/>
      <c r="R250" s="35"/>
      <c r="S250" s="35"/>
    </row>
    <row r="251" spans="1:19" x14ac:dyDescent="0.2">
      <c r="A251" s="135">
        <v>4231</v>
      </c>
      <c r="B251" s="136" t="s">
        <v>62</v>
      </c>
      <c r="C251" s="103">
        <f>2084000+663000</f>
        <v>2747000</v>
      </c>
      <c r="D251" s="104"/>
      <c r="E251" s="104">
        <v>1947000</v>
      </c>
      <c r="F251" s="143">
        <v>1460000</v>
      </c>
      <c r="G251" s="143">
        <v>1460000</v>
      </c>
      <c r="H251" s="143">
        <v>1460000</v>
      </c>
      <c r="I251" s="143">
        <v>1460000</v>
      </c>
      <c r="J251" s="143">
        <v>1460000</v>
      </c>
      <c r="K251" s="105">
        <f t="shared" ref="K251" si="407">H251-E251</f>
        <v>-487000</v>
      </c>
      <c r="L251" s="104"/>
      <c r="M251" s="105">
        <f t="shared" ref="M251" si="408">H251-F251</f>
        <v>0</v>
      </c>
      <c r="N251" s="105">
        <f>I251-G251</f>
        <v>0</v>
      </c>
      <c r="O251" s="143"/>
      <c r="P251" s="35"/>
      <c r="Q251" s="35"/>
      <c r="R251" s="35"/>
      <c r="S251" s="35"/>
    </row>
    <row r="252" spans="1:19" x14ac:dyDescent="0.2">
      <c r="A252" s="151">
        <v>425</v>
      </c>
      <c r="B252" s="152" t="s">
        <v>63</v>
      </c>
      <c r="C252" s="97">
        <f t="shared" ref="C252:O252" si="409">SUM(C253)</f>
        <v>53000</v>
      </c>
      <c r="D252" s="98"/>
      <c r="E252" s="98">
        <f t="shared" si="409"/>
        <v>33000</v>
      </c>
      <c r="F252" s="127">
        <f t="shared" si="409"/>
        <v>53000</v>
      </c>
      <c r="G252" s="127">
        <f t="shared" si="409"/>
        <v>53000</v>
      </c>
      <c r="H252" s="127">
        <f t="shared" si="409"/>
        <v>53000</v>
      </c>
      <c r="I252" s="127">
        <f t="shared" si="409"/>
        <v>53000</v>
      </c>
      <c r="J252" s="127">
        <f t="shared" si="409"/>
        <v>53000</v>
      </c>
      <c r="K252" s="127">
        <f t="shared" si="409"/>
        <v>20000</v>
      </c>
      <c r="L252" s="100"/>
      <c r="M252" s="127">
        <f t="shared" si="409"/>
        <v>0</v>
      </c>
      <c r="N252" s="127">
        <f t="shared" si="409"/>
        <v>0</v>
      </c>
      <c r="O252" s="127">
        <f t="shared" si="409"/>
        <v>0</v>
      </c>
      <c r="P252" s="35"/>
      <c r="Q252" s="35"/>
      <c r="R252" s="35"/>
      <c r="S252" s="35"/>
    </row>
    <row r="253" spans="1:19" x14ac:dyDescent="0.2">
      <c r="A253" s="135">
        <v>4252</v>
      </c>
      <c r="B253" s="136" t="s">
        <v>64</v>
      </c>
      <c r="C253" s="141">
        <v>53000</v>
      </c>
      <c r="D253" s="142"/>
      <c r="E253" s="142">
        <v>33000</v>
      </c>
      <c r="F253" s="143">
        <v>53000</v>
      </c>
      <c r="G253" s="143">
        <v>53000</v>
      </c>
      <c r="H253" s="143">
        <v>53000</v>
      </c>
      <c r="I253" s="143">
        <v>53000</v>
      </c>
      <c r="J253" s="143">
        <v>53000</v>
      </c>
      <c r="K253" s="105">
        <f t="shared" ref="K253" si="410">H253-E253</f>
        <v>20000</v>
      </c>
      <c r="L253" s="104"/>
      <c r="M253" s="105">
        <f t="shared" ref="M253" si="411">H253-F253</f>
        <v>0</v>
      </c>
      <c r="N253" s="105">
        <f>I253-G253</f>
        <v>0</v>
      </c>
      <c r="O253" s="143"/>
      <c r="P253" s="35"/>
      <c r="Q253" s="35"/>
      <c r="R253" s="35"/>
      <c r="S253" s="35"/>
    </row>
    <row r="254" spans="1:19" ht="24.95" customHeight="1" x14ac:dyDescent="0.2">
      <c r="A254" s="208" t="s">
        <v>65</v>
      </c>
      <c r="B254" s="113" t="s">
        <v>66</v>
      </c>
      <c r="C254" s="114">
        <f t="shared" ref="C254:O254" si="412">SUM(C255)</f>
        <v>1951000</v>
      </c>
      <c r="D254" s="115"/>
      <c r="E254" s="115">
        <f t="shared" si="412"/>
        <v>3301000</v>
      </c>
      <c r="F254" s="116">
        <f t="shared" si="412"/>
        <v>1951000</v>
      </c>
      <c r="G254" s="116">
        <f t="shared" si="412"/>
        <v>1951000</v>
      </c>
      <c r="H254" s="473">
        <f t="shared" si="412"/>
        <v>3301000</v>
      </c>
      <c r="I254" s="116">
        <f t="shared" si="412"/>
        <v>2503000</v>
      </c>
      <c r="J254" s="116">
        <f t="shared" si="412"/>
        <v>2503000</v>
      </c>
      <c r="K254" s="116">
        <f t="shared" si="412"/>
        <v>0</v>
      </c>
      <c r="L254" s="117"/>
      <c r="M254" s="116">
        <f t="shared" si="412"/>
        <v>1350000</v>
      </c>
      <c r="N254" s="116">
        <f t="shared" si="412"/>
        <v>552000</v>
      </c>
      <c r="O254" s="116">
        <f t="shared" si="412"/>
        <v>0</v>
      </c>
      <c r="P254" s="132" t="s">
        <v>420</v>
      </c>
      <c r="Q254" s="35"/>
      <c r="R254" s="35"/>
      <c r="S254" s="35"/>
    </row>
    <row r="255" spans="1:19" ht="18" customHeight="1" x14ac:dyDescent="0.2">
      <c r="A255" s="704" t="s">
        <v>1</v>
      </c>
      <c r="B255" s="704"/>
      <c r="C255" s="118">
        <f t="shared" ref="C255:G255" si="413">SUM(C260,C264)</f>
        <v>1951000</v>
      </c>
      <c r="D255" s="119"/>
      <c r="E255" s="119">
        <f t="shared" ref="E255" si="414">SUM(E260,E264)</f>
        <v>3301000</v>
      </c>
      <c r="F255" s="120">
        <f t="shared" si="413"/>
        <v>1951000</v>
      </c>
      <c r="G255" s="120">
        <f t="shared" si="413"/>
        <v>1951000</v>
      </c>
      <c r="H255" s="120">
        <f t="shared" ref="H255:I255" si="415">SUM(H260,H264)</f>
        <v>3301000</v>
      </c>
      <c r="I255" s="120">
        <f t="shared" si="415"/>
        <v>2503000</v>
      </c>
      <c r="J255" s="120">
        <f t="shared" ref="J255:K255" si="416">SUM(J260,J264)</f>
        <v>2503000</v>
      </c>
      <c r="K255" s="120">
        <f t="shared" si="416"/>
        <v>0</v>
      </c>
      <c r="L255" s="121"/>
      <c r="M255" s="120">
        <f t="shared" ref="M255:O255" si="417">SUM(M260,M264)</f>
        <v>1350000</v>
      </c>
      <c r="N255" s="120">
        <f t="shared" ref="N255" si="418">SUM(N260,N264)</f>
        <v>552000</v>
      </c>
      <c r="O255" s="120">
        <f t="shared" si="417"/>
        <v>0</v>
      </c>
      <c r="P255" s="35"/>
      <c r="Q255" s="35"/>
      <c r="R255" s="35"/>
      <c r="S255" s="35"/>
    </row>
    <row r="256" spans="1:19" hidden="1" x14ac:dyDescent="0.2">
      <c r="A256" s="151">
        <v>322</v>
      </c>
      <c r="B256" s="126" t="s">
        <v>16</v>
      </c>
      <c r="C256" s="97">
        <f t="shared" ref="C256:F256" si="419">SUM(C257:C259)</f>
        <v>0</v>
      </c>
      <c r="D256" s="98"/>
      <c r="E256" s="98">
        <f t="shared" ref="E256" si="420">SUM(E257:E259)</f>
        <v>0</v>
      </c>
      <c r="F256" s="127">
        <f t="shared" si="419"/>
        <v>0</v>
      </c>
      <c r="G256" s="127">
        <f t="shared" ref="G256:H256" si="421">SUM(G257:G259)</f>
        <v>0</v>
      </c>
      <c r="H256" s="127">
        <f t="shared" si="421"/>
        <v>0</v>
      </c>
      <c r="I256" s="127">
        <f t="shared" ref="I256:J256" si="422">SUM(I257:I259)</f>
        <v>0</v>
      </c>
      <c r="J256" s="127">
        <f t="shared" si="422"/>
        <v>0</v>
      </c>
      <c r="K256" s="127">
        <f t="shared" ref="K256" si="423">SUM(K257:K259)</f>
        <v>0</v>
      </c>
      <c r="L256" s="100"/>
      <c r="M256" s="127">
        <f t="shared" ref="M256:O256" si="424">SUM(M257:M259)</f>
        <v>0</v>
      </c>
      <c r="N256" s="127">
        <f t="shared" ref="N256" si="425">SUM(N257:N259)</f>
        <v>0</v>
      </c>
      <c r="O256" s="127">
        <f t="shared" si="424"/>
        <v>0</v>
      </c>
      <c r="P256" s="35"/>
      <c r="Q256" s="35"/>
      <c r="R256" s="35"/>
      <c r="S256" s="35"/>
    </row>
    <row r="257" spans="1:19" hidden="1" x14ac:dyDescent="0.2">
      <c r="A257" s="135">
        <v>3221</v>
      </c>
      <c r="B257" s="136" t="s">
        <v>17</v>
      </c>
      <c r="C257" s="103"/>
      <c r="D257" s="104"/>
      <c r="E257" s="104"/>
      <c r="F257" s="204"/>
      <c r="G257" s="204"/>
      <c r="H257" s="204"/>
      <c r="I257" s="204"/>
      <c r="J257" s="204"/>
      <c r="K257" s="204"/>
      <c r="L257" s="111"/>
      <c r="M257" s="204"/>
      <c r="N257" s="204"/>
      <c r="O257" s="204"/>
      <c r="P257" s="35"/>
      <c r="Q257" s="35"/>
      <c r="R257" s="35"/>
      <c r="S257" s="35"/>
    </row>
    <row r="258" spans="1:19" hidden="1" x14ac:dyDescent="0.2">
      <c r="A258" s="135">
        <v>3225</v>
      </c>
      <c r="B258" s="136" t="s">
        <v>21</v>
      </c>
      <c r="C258" s="103"/>
      <c r="D258" s="104"/>
      <c r="E258" s="104"/>
      <c r="F258" s="130"/>
      <c r="G258" s="130"/>
      <c r="H258" s="130"/>
      <c r="I258" s="130"/>
      <c r="J258" s="130"/>
      <c r="K258" s="130"/>
      <c r="L258" s="111"/>
      <c r="M258" s="130"/>
      <c r="N258" s="130"/>
      <c r="O258" s="130"/>
      <c r="P258" s="35"/>
      <c r="Q258" s="35"/>
      <c r="R258" s="35"/>
      <c r="S258" s="35"/>
    </row>
    <row r="259" spans="1:19" hidden="1" x14ac:dyDescent="0.2">
      <c r="A259" s="135">
        <v>3227</v>
      </c>
      <c r="B259" s="136" t="s">
        <v>22</v>
      </c>
      <c r="C259" s="103"/>
      <c r="D259" s="104"/>
      <c r="E259" s="104"/>
      <c r="F259" s="130"/>
      <c r="G259" s="130"/>
      <c r="H259" s="130"/>
      <c r="I259" s="130"/>
      <c r="J259" s="130"/>
      <c r="K259" s="130"/>
      <c r="L259" s="111"/>
      <c r="M259" s="130"/>
      <c r="N259" s="130"/>
      <c r="O259" s="130"/>
      <c r="P259" s="35"/>
      <c r="Q259" s="35"/>
      <c r="R259" s="35"/>
      <c r="S259" s="35"/>
    </row>
    <row r="260" spans="1:19" ht="13.5" customHeight="1" x14ac:dyDescent="0.2">
      <c r="A260" s="434" t="s">
        <v>324</v>
      </c>
      <c r="B260" s="435" t="s">
        <v>325</v>
      </c>
      <c r="C260" s="415">
        <f t="shared" ref="C260:O260" si="426">SUM(C261)</f>
        <v>1898000</v>
      </c>
      <c r="D260" s="416"/>
      <c r="E260" s="416">
        <f t="shared" si="426"/>
        <v>3248000</v>
      </c>
      <c r="F260" s="417">
        <f t="shared" si="426"/>
        <v>1898000</v>
      </c>
      <c r="G260" s="417">
        <f t="shared" si="426"/>
        <v>1898000</v>
      </c>
      <c r="H260" s="417">
        <f t="shared" si="426"/>
        <v>3248000</v>
      </c>
      <c r="I260" s="417">
        <f t="shared" si="426"/>
        <v>2450000</v>
      </c>
      <c r="J260" s="417">
        <f t="shared" si="426"/>
        <v>2450000</v>
      </c>
      <c r="K260" s="93">
        <f t="shared" si="426"/>
        <v>0</v>
      </c>
      <c r="L260" s="94"/>
      <c r="M260" s="93">
        <f t="shared" si="426"/>
        <v>1350000</v>
      </c>
      <c r="N260" s="93">
        <f t="shared" si="426"/>
        <v>552000</v>
      </c>
      <c r="O260" s="93">
        <f t="shared" si="426"/>
        <v>0</v>
      </c>
      <c r="P260" s="35"/>
      <c r="Q260" s="35"/>
      <c r="R260" s="35"/>
      <c r="S260" s="35"/>
    </row>
    <row r="261" spans="1:19" x14ac:dyDescent="0.2">
      <c r="A261" s="151">
        <v>323</v>
      </c>
      <c r="B261" s="126" t="s">
        <v>23</v>
      </c>
      <c r="C261" s="97">
        <f t="shared" ref="C261:F261" si="427">SUM(C262:C263)</f>
        <v>1898000</v>
      </c>
      <c r="D261" s="98"/>
      <c r="E261" s="98">
        <f t="shared" ref="E261" si="428">SUM(E262:E263)</f>
        <v>3248000</v>
      </c>
      <c r="F261" s="127">
        <f t="shared" si="427"/>
        <v>1898000</v>
      </c>
      <c r="G261" s="127">
        <f t="shared" ref="G261:H261" si="429">SUM(G262:G263)</f>
        <v>1898000</v>
      </c>
      <c r="H261" s="127">
        <f t="shared" si="429"/>
        <v>3248000</v>
      </c>
      <c r="I261" s="127">
        <f t="shared" ref="I261:J261" si="430">SUM(I262:I263)</f>
        <v>2450000</v>
      </c>
      <c r="J261" s="127">
        <f t="shared" si="430"/>
        <v>2450000</v>
      </c>
      <c r="K261" s="127">
        <f t="shared" ref="K261" si="431">SUM(K262:K263)</f>
        <v>0</v>
      </c>
      <c r="L261" s="100"/>
      <c r="M261" s="127">
        <f t="shared" ref="M261:O261" si="432">SUM(M262:M263)</f>
        <v>1350000</v>
      </c>
      <c r="N261" s="127">
        <f t="shared" ref="N261" si="433">SUM(N262:N263)</f>
        <v>552000</v>
      </c>
      <c r="O261" s="127">
        <f t="shared" si="432"/>
        <v>0</v>
      </c>
      <c r="P261" s="35"/>
      <c r="Q261" s="35"/>
      <c r="R261" s="35"/>
      <c r="S261" s="35"/>
    </row>
    <row r="262" spans="1:19" x14ac:dyDescent="0.2">
      <c r="A262" s="135">
        <v>3237</v>
      </c>
      <c r="B262" s="136" t="s">
        <v>30</v>
      </c>
      <c r="C262" s="103">
        <v>200000</v>
      </c>
      <c r="D262" s="104"/>
      <c r="E262" s="104">
        <v>200000</v>
      </c>
      <c r="F262" s="130">
        <v>200000</v>
      </c>
      <c r="G262" s="130">
        <v>200000</v>
      </c>
      <c r="H262" s="130">
        <v>200000</v>
      </c>
      <c r="I262" s="130">
        <v>250000</v>
      </c>
      <c r="J262" s="130">
        <v>250000</v>
      </c>
      <c r="K262" s="105">
        <f t="shared" ref="K262:K263" si="434">H262-E262</f>
        <v>0</v>
      </c>
      <c r="L262" s="104"/>
      <c r="M262" s="105">
        <f>H262-F262</f>
        <v>0</v>
      </c>
      <c r="N262" s="105">
        <f>I262-G262</f>
        <v>50000</v>
      </c>
      <c r="O262" s="130"/>
      <c r="P262" s="35"/>
      <c r="Q262" s="35"/>
      <c r="R262" s="35"/>
      <c r="S262" s="35"/>
    </row>
    <row r="263" spans="1:19" x14ac:dyDescent="0.2">
      <c r="A263" s="135">
        <v>3239</v>
      </c>
      <c r="B263" s="136" t="s">
        <v>31</v>
      </c>
      <c r="C263" s="103">
        <v>1698000</v>
      </c>
      <c r="D263" s="104"/>
      <c r="E263" s="104">
        <v>3048000</v>
      </c>
      <c r="F263" s="130">
        <v>1698000</v>
      </c>
      <c r="G263" s="130">
        <v>1698000</v>
      </c>
      <c r="H263" s="130">
        <v>3048000</v>
      </c>
      <c r="I263" s="130">
        <v>2200000</v>
      </c>
      <c r="J263" s="130">
        <v>2200000</v>
      </c>
      <c r="K263" s="105">
        <f t="shared" si="434"/>
        <v>0</v>
      </c>
      <c r="L263" s="104"/>
      <c r="M263" s="105">
        <f>H263-F263</f>
        <v>1350000</v>
      </c>
      <c r="N263" s="105">
        <f>I263-G263</f>
        <v>502000</v>
      </c>
      <c r="O263" s="130"/>
      <c r="P263" s="35"/>
      <c r="Q263" s="35"/>
      <c r="R263" s="35"/>
      <c r="S263" s="35"/>
    </row>
    <row r="264" spans="1:19" ht="25.5" x14ac:dyDescent="0.2">
      <c r="A264" s="434" t="s">
        <v>328</v>
      </c>
      <c r="B264" s="435" t="s">
        <v>329</v>
      </c>
      <c r="C264" s="415">
        <f t="shared" ref="C264:O264" si="435">SUM(C265)</f>
        <v>53000</v>
      </c>
      <c r="D264" s="416"/>
      <c r="E264" s="416">
        <f t="shared" si="435"/>
        <v>53000</v>
      </c>
      <c r="F264" s="417">
        <f t="shared" si="435"/>
        <v>53000</v>
      </c>
      <c r="G264" s="417">
        <f t="shared" si="435"/>
        <v>53000</v>
      </c>
      <c r="H264" s="417">
        <f t="shared" si="435"/>
        <v>53000</v>
      </c>
      <c r="I264" s="417">
        <f t="shared" si="435"/>
        <v>53000</v>
      </c>
      <c r="J264" s="417">
        <f t="shared" si="435"/>
        <v>53000</v>
      </c>
      <c r="K264" s="93">
        <f t="shared" si="435"/>
        <v>0</v>
      </c>
      <c r="L264" s="94"/>
      <c r="M264" s="93">
        <f t="shared" si="435"/>
        <v>0</v>
      </c>
      <c r="N264" s="93">
        <f t="shared" si="435"/>
        <v>0</v>
      </c>
      <c r="O264" s="93">
        <f t="shared" si="435"/>
        <v>0</v>
      </c>
      <c r="P264" s="35"/>
      <c r="Q264" s="35"/>
      <c r="R264" s="35"/>
      <c r="S264" s="35"/>
    </row>
    <row r="265" spans="1:19" ht="28.5" customHeight="1" x14ac:dyDescent="0.2">
      <c r="A265" s="140">
        <v>372</v>
      </c>
      <c r="B265" s="126" t="s">
        <v>44</v>
      </c>
      <c r="C265" s="97">
        <f t="shared" ref="C265:O265" si="436">SUM(C266)</f>
        <v>53000</v>
      </c>
      <c r="D265" s="98"/>
      <c r="E265" s="98">
        <f t="shared" si="436"/>
        <v>53000</v>
      </c>
      <c r="F265" s="127">
        <f t="shared" si="436"/>
        <v>53000</v>
      </c>
      <c r="G265" s="127">
        <f t="shared" si="436"/>
        <v>53000</v>
      </c>
      <c r="H265" s="127">
        <f t="shared" si="436"/>
        <v>53000</v>
      </c>
      <c r="I265" s="127">
        <f t="shared" si="436"/>
        <v>53000</v>
      </c>
      <c r="J265" s="127">
        <f t="shared" si="436"/>
        <v>53000</v>
      </c>
      <c r="K265" s="127">
        <f t="shared" si="436"/>
        <v>0</v>
      </c>
      <c r="L265" s="100"/>
      <c r="M265" s="127">
        <f t="shared" si="436"/>
        <v>0</v>
      </c>
      <c r="N265" s="127">
        <f t="shared" si="436"/>
        <v>0</v>
      </c>
      <c r="O265" s="127">
        <f t="shared" si="436"/>
        <v>0</v>
      </c>
      <c r="P265" s="35"/>
      <c r="Q265" s="35"/>
      <c r="R265" s="35"/>
      <c r="S265" s="35"/>
    </row>
    <row r="266" spans="1:19" ht="12.75" customHeight="1" x14ac:dyDescent="0.2">
      <c r="A266" s="128">
        <v>3721</v>
      </c>
      <c r="B266" s="129" t="s">
        <v>45</v>
      </c>
      <c r="C266" s="103">
        <v>53000</v>
      </c>
      <c r="D266" s="104"/>
      <c r="E266" s="104">
        <v>53000</v>
      </c>
      <c r="F266" s="130">
        <v>53000</v>
      </c>
      <c r="G266" s="130">
        <v>53000</v>
      </c>
      <c r="H266" s="130">
        <v>53000</v>
      </c>
      <c r="I266" s="130">
        <v>53000</v>
      </c>
      <c r="J266" s="130">
        <v>53000</v>
      </c>
      <c r="K266" s="105">
        <f t="shared" ref="K266" si="437">H266-E266</f>
        <v>0</v>
      </c>
      <c r="L266" s="104"/>
      <c r="M266" s="105">
        <f>H266-F266</f>
        <v>0</v>
      </c>
      <c r="N266" s="105">
        <f>I266-G266</f>
        <v>0</v>
      </c>
      <c r="O266" s="130"/>
      <c r="P266" s="35"/>
      <c r="Q266" s="35"/>
      <c r="R266" s="35"/>
      <c r="S266" s="35"/>
    </row>
    <row r="267" spans="1:19" hidden="1" x14ac:dyDescent="0.2">
      <c r="A267" s="151">
        <v>422</v>
      </c>
      <c r="B267" s="152" t="s">
        <v>53</v>
      </c>
      <c r="C267" s="97">
        <f t="shared" ref="C267:F267" si="438">SUM(C268:C269)</f>
        <v>0</v>
      </c>
      <c r="D267" s="98"/>
      <c r="E267" s="98">
        <f t="shared" ref="E267" si="439">SUM(E268:E269)</f>
        <v>0</v>
      </c>
      <c r="F267" s="127">
        <f t="shared" si="438"/>
        <v>0</v>
      </c>
      <c r="G267" s="127">
        <f t="shared" ref="G267:H267" si="440">SUM(G268:G269)</f>
        <v>0</v>
      </c>
      <c r="H267" s="127">
        <f t="shared" si="440"/>
        <v>0</v>
      </c>
      <c r="I267" s="127">
        <f t="shared" ref="I267:J267" si="441">SUM(I268:I269)</f>
        <v>0</v>
      </c>
      <c r="J267" s="127">
        <f t="shared" si="441"/>
        <v>0</v>
      </c>
      <c r="K267" s="127">
        <f t="shared" ref="K267" si="442">SUM(K268:K269)</f>
        <v>0</v>
      </c>
      <c r="L267" s="100"/>
      <c r="M267" s="127">
        <f t="shared" ref="M267:O267" si="443">SUM(M268:M269)</f>
        <v>0</v>
      </c>
      <c r="N267" s="127">
        <f t="shared" ref="N267" si="444">SUM(N268:N269)</f>
        <v>0</v>
      </c>
      <c r="O267" s="127">
        <f t="shared" si="443"/>
        <v>0</v>
      </c>
      <c r="P267" s="35"/>
      <c r="Q267" s="35"/>
      <c r="R267" s="35"/>
      <c r="S267" s="35"/>
    </row>
    <row r="268" spans="1:19" hidden="1" x14ac:dyDescent="0.2">
      <c r="A268" s="135">
        <v>4221</v>
      </c>
      <c r="B268" s="136" t="s">
        <v>54</v>
      </c>
      <c r="C268" s="103"/>
      <c r="D268" s="104"/>
      <c r="E268" s="104"/>
      <c r="F268" s="130"/>
      <c r="G268" s="130"/>
      <c r="H268" s="130"/>
      <c r="I268" s="130"/>
      <c r="J268" s="130"/>
      <c r="K268" s="130"/>
      <c r="L268" s="111"/>
      <c r="M268" s="130"/>
      <c r="N268" s="130"/>
      <c r="O268" s="130"/>
      <c r="P268" s="35"/>
      <c r="Q268" s="35"/>
      <c r="R268" s="35"/>
      <c r="S268" s="35"/>
    </row>
    <row r="269" spans="1:19" ht="12.75" hidden="1" customHeight="1" x14ac:dyDescent="0.2">
      <c r="A269" s="135">
        <v>4227</v>
      </c>
      <c r="B269" s="136" t="s">
        <v>60</v>
      </c>
      <c r="C269" s="103"/>
      <c r="D269" s="104"/>
      <c r="E269" s="104"/>
      <c r="F269" s="130"/>
      <c r="G269" s="130"/>
      <c r="H269" s="130"/>
      <c r="I269" s="130"/>
      <c r="J269" s="130"/>
      <c r="K269" s="130"/>
      <c r="L269" s="111"/>
      <c r="M269" s="130"/>
      <c r="N269" s="130"/>
      <c r="O269" s="130"/>
      <c r="P269" s="35"/>
      <c r="Q269" s="35"/>
      <c r="R269" s="35"/>
      <c r="S269" s="35"/>
    </row>
    <row r="270" spans="1:19" ht="0.75" hidden="1" customHeight="1" x14ac:dyDescent="0.2">
      <c r="A270" s="208" t="s">
        <v>69</v>
      </c>
      <c r="B270" s="113" t="s">
        <v>58</v>
      </c>
      <c r="C270" s="114">
        <f t="shared" ref="C270:O270" si="445">SUM(C271)</f>
        <v>0</v>
      </c>
      <c r="D270" s="115"/>
      <c r="E270" s="115">
        <f t="shared" si="445"/>
        <v>0</v>
      </c>
      <c r="F270" s="116">
        <f t="shared" si="445"/>
        <v>0</v>
      </c>
      <c r="G270" s="116">
        <f t="shared" si="445"/>
        <v>0</v>
      </c>
      <c r="H270" s="116">
        <f t="shared" si="445"/>
        <v>0</v>
      </c>
      <c r="I270" s="116">
        <f t="shared" si="445"/>
        <v>0</v>
      </c>
      <c r="J270" s="116">
        <f t="shared" si="445"/>
        <v>0</v>
      </c>
      <c r="K270" s="116">
        <f t="shared" si="445"/>
        <v>0</v>
      </c>
      <c r="L270" s="117"/>
      <c r="M270" s="116">
        <f t="shared" si="445"/>
        <v>0</v>
      </c>
      <c r="N270" s="116">
        <f t="shared" si="445"/>
        <v>0</v>
      </c>
      <c r="O270" s="116">
        <f t="shared" si="445"/>
        <v>0</v>
      </c>
      <c r="P270" s="35"/>
      <c r="Q270" s="35"/>
      <c r="R270" s="35"/>
      <c r="S270" s="35"/>
    </row>
    <row r="271" spans="1:19" ht="18" hidden="1" customHeight="1" x14ac:dyDescent="0.2">
      <c r="A271" s="704" t="s">
        <v>1</v>
      </c>
      <c r="B271" s="704"/>
      <c r="C271" s="118">
        <f t="shared" ref="C271:F271" si="446">SUM(C272,C275,C278,C280)</f>
        <v>0</v>
      </c>
      <c r="D271" s="119"/>
      <c r="E271" s="119">
        <f t="shared" ref="E271" si="447">SUM(E272,E275,E278,E280)</f>
        <v>0</v>
      </c>
      <c r="F271" s="120">
        <f t="shared" si="446"/>
        <v>0</v>
      </c>
      <c r="G271" s="120">
        <f t="shared" ref="G271:H271" si="448">SUM(G272,G275,G278,G280)</f>
        <v>0</v>
      </c>
      <c r="H271" s="120">
        <f t="shared" si="448"/>
        <v>0</v>
      </c>
      <c r="I271" s="120">
        <f t="shared" ref="I271:J271" si="449">SUM(I272,I275,I278,I280)</f>
        <v>0</v>
      </c>
      <c r="J271" s="120">
        <f t="shared" si="449"/>
        <v>0</v>
      </c>
      <c r="K271" s="120">
        <f t="shared" ref="K271" si="450">SUM(K272,K275,K278,K280)</f>
        <v>0</v>
      </c>
      <c r="L271" s="121"/>
      <c r="M271" s="120">
        <f t="shared" ref="M271:O271" si="451">SUM(M272,M275,M278,M280)</f>
        <v>0</v>
      </c>
      <c r="N271" s="120">
        <f t="shared" ref="N271" si="452">SUM(N272,N275,N278,N280)</f>
        <v>0</v>
      </c>
      <c r="O271" s="120">
        <f t="shared" si="451"/>
        <v>0</v>
      </c>
      <c r="P271" s="35"/>
      <c r="Q271" s="35"/>
      <c r="R271" s="35"/>
      <c r="S271" s="35"/>
    </row>
    <row r="272" spans="1:19" ht="12.75" hidden="1" customHeight="1" x14ac:dyDescent="0.2">
      <c r="A272" s="151">
        <v>322</v>
      </c>
      <c r="B272" s="126" t="s">
        <v>16</v>
      </c>
      <c r="C272" s="97">
        <f t="shared" ref="C272:F272" si="453">SUM(C273:C274)</f>
        <v>0</v>
      </c>
      <c r="D272" s="98"/>
      <c r="E272" s="98">
        <f t="shared" ref="E272" si="454">SUM(E273:E274)</f>
        <v>0</v>
      </c>
      <c r="F272" s="127">
        <f t="shared" si="453"/>
        <v>0</v>
      </c>
      <c r="G272" s="127">
        <f t="shared" ref="G272:H272" si="455">SUM(G273:G274)</f>
        <v>0</v>
      </c>
      <c r="H272" s="127">
        <f t="shared" si="455"/>
        <v>0</v>
      </c>
      <c r="I272" s="127">
        <f t="shared" ref="I272:J272" si="456">SUM(I273:I274)</f>
        <v>0</v>
      </c>
      <c r="J272" s="127">
        <f t="shared" si="456"/>
        <v>0</v>
      </c>
      <c r="K272" s="127">
        <f t="shared" ref="K272" si="457">SUM(K273:K274)</f>
        <v>0</v>
      </c>
      <c r="L272" s="100"/>
      <c r="M272" s="127">
        <f t="shared" ref="M272:O272" si="458">SUM(M273:M274)</f>
        <v>0</v>
      </c>
      <c r="N272" s="127">
        <f t="shared" ref="N272" si="459">SUM(N273:N274)</f>
        <v>0</v>
      </c>
      <c r="O272" s="127">
        <f t="shared" si="458"/>
        <v>0</v>
      </c>
      <c r="P272" s="35"/>
      <c r="Q272" s="35"/>
      <c r="R272" s="35"/>
      <c r="S272" s="35"/>
    </row>
    <row r="273" spans="1:19" ht="25.5" hidden="1" customHeight="1" x14ac:dyDescent="0.2">
      <c r="A273" s="128">
        <v>3224</v>
      </c>
      <c r="B273" s="129" t="s">
        <v>20</v>
      </c>
      <c r="C273" s="103"/>
      <c r="D273" s="104"/>
      <c r="E273" s="104"/>
      <c r="F273" s="130"/>
      <c r="G273" s="130"/>
      <c r="H273" s="130"/>
      <c r="I273" s="130"/>
      <c r="J273" s="130"/>
      <c r="K273" s="130"/>
      <c r="L273" s="111"/>
      <c r="M273" s="130"/>
      <c r="N273" s="130"/>
      <c r="O273" s="130"/>
      <c r="P273" s="35"/>
      <c r="Q273" s="35"/>
      <c r="R273" s="35"/>
      <c r="S273" s="35"/>
    </row>
    <row r="274" spans="1:19" ht="12.75" hidden="1" customHeight="1" x14ac:dyDescent="0.2">
      <c r="A274" s="128">
        <v>3225</v>
      </c>
      <c r="B274" s="129" t="s">
        <v>21</v>
      </c>
      <c r="C274" s="103"/>
      <c r="D274" s="104"/>
      <c r="E274" s="104"/>
      <c r="F274" s="130"/>
      <c r="G274" s="130"/>
      <c r="H274" s="130"/>
      <c r="I274" s="130"/>
      <c r="J274" s="130"/>
      <c r="K274" s="130"/>
      <c r="L274" s="111"/>
      <c r="M274" s="130"/>
      <c r="N274" s="130"/>
      <c r="O274" s="130"/>
      <c r="P274" s="35"/>
      <c r="Q274" s="35"/>
      <c r="R274" s="35"/>
      <c r="S274" s="35"/>
    </row>
    <row r="275" spans="1:19" ht="12.75" hidden="1" customHeight="1" x14ac:dyDescent="0.2">
      <c r="A275" s="125">
        <v>323</v>
      </c>
      <c r="B275" s="126" t="s">
        <v>23</v>
      </c>
      <c r="C275" s="97">
        <f t="shared" ref="C275:F275" si="460">SUM(C276:C277)</f>
        <v>0</v>
      </c>
      <c r="D275" s="98"/>
      <c r="E275" s="98">
        <f t="shared" ref="E275" si="461">SUM(E276:E277)</f>
        <v>0</v>
      </c>
      <c r="F275" s="127">
        <f t="shared" si="460"/>
        <v>0</v>
      </c>
      <c r="G275" s="127">
        <f t="shared" ref="G275:H275" si="462">SUM(G276:G277)</f>
        <v>0</v>
      </c>
      <c r="H275" s="127">
        <f t="shared" si="462"/>
        <v>0</v>
      </c>
      <c r="I275" s="127">
        <f t="shared" ref="I275:J275" si="463">SUM(I276:I277)</f>
        <v>0</v>
      </c>
      <c r="J275" s="127">
        <f t="shared" si="463"/>
        <v>0</v>
      </c>
      <c r="K275" s="127">
        <f t="shared" ref="K275" si="464">SUM(K276:K277)</f>
        <v>0</v>
      </c>
      <c r="L275" s="100"/>
      <c r="M275" s="127">
        <f t="shared" ref="M275:O275" si="465">SUM(M276:M277)</f>
        <v>0</v>
      </c>
      <c r="N275" s="127">
        <f t="shared" ref="N275" si="466">SUM(N276:N277)</f>
        <v>0</v>
      </c>
      <c r="O275" s="127">
        <f t="shared" si="465"/>
        <v>0</v>
      </c>
      <c r="P275" s="35"/>
      <c r="Q275" s="35"/>
      <c r="R275" s="35"/>
      <c r="S275" s="35"/>
    </row>
    <row r="276" spans="1:19" ht="12.75" hidden="1" customHeight="1" x14ac:dyDescent="0.2">
      <c r="A276" s="219">
        <v>3235</v>
      </c>
      <c r="B276" s="168" t="s">
        <v>28</v>
      </c>
      <c r="C276" s="103"/>
      <c r="D276" s="104"/>
      <c r="E276" s="104"/>
      <c r="F276" s="204"/>
      <c r="G276" s="204"/>
      <c r="H276" s="204"/>
      <c r="I276" s="204"/>
      <c r="J276" s="204"/>
      <c r="K276" s="204"/>
      <c r="L276" s="111"/>
      <c r="M276" s="204"/>
      <c r="N276" s="204"/>
      <c r="O276" s="204"/>
      <c r="P276" s="35"/>
      <c r="Q276" s="35"/>
      <c r="R276" s="35"/>
      <c r="S276" s="35"/>
    </row>
    <row r="277" spans="1:19" ht="12.75" hidden="1" customHeight="1" x14ac:dyDescent="0.2">
      <c r="A277" s="220">
        <v>3238</v>
      </c>
      <c r="B277" s="221" t="s">
        <v>70</v>
      </c>
      <c r="C277" s="141"/>
      <c r="D277" s="142"/>
      <c r="E277" s="142"/>
      <c r="F277" s="143"/>
      <c r="G277" s="143"/>
      <c r="H277" s="143"/>
      <c r="I277" s="143"/>
      <c r="J277" s="143"/>
      <c r="K277" s="143"/>
      <c r="L277" s="145"/>
      <c r="M277" s="143"/>
      <c r="N277" s="143"/>
      <c r="O277" s="143"/>
      <c r="P277" s="35"/>
      <c r="Q277" s="35"/>
      <c r="R277" s="35"/>
      <c r="S277" s="35"/>
    </row>
    <row r="278" spans="1:19" s="2" customFormat="1" ht="12.75" hidden="1" customHeight="1" x14ac:dyDescent="0.2">
      <c r="A278" s="151">
        <v>412</v>
      </c>
      <c r="B278" s="152" t="s">
        <v>67</v>
      </c>
      <c r="C278" s="97">
        <f t="shared" ref="C278:O278" si="467">SUM(C279)</f>
        <v>0</v>
      </c>
      <c r="D278" s="98"/>
      <c r="E278" s="98">
        <f t="shared" si="467"/>
        <v>0</v>
      </c>
      <c r="F278" s="127">
        <f t="shared" si="467"/>
        <v>0</v>
      </c>
      <c r="G278" s="127">
        <f t="shared" si="467"/>
        <v>0</v>
      </c>
      <c r="H278" s="127">
        <f t="shared" si="467"/>
        <v>0</v>
      </c>
      <c r="I278" s="127">
        <f t="shared" si="467"/>
        <v>0</v>
      </c>
      <c r="J278" s="127">
        <f t="shared" si="467"/>
        <v>0</v>
      </c>
      <c r="K278" s="127">
        <f t="shared" si="467"/>
        <v>0</v>
      </c>
      <c r="L278" s="100"/>
      <c r="M278" s="127">
        <f t="shared" si="467"/>
        <v>0</v>
      </c>
      <c r="N278" s="127">
        <f t="shared" si="467"/>
        <v>0</v>
      </c>
      <c r="O278" s="127">
        <f t="shared" si="467"/>
        <v>0</v>
      </c>
      <c r="P278" s="50"/>
      <c r="Q278" s="50"/>
      <c r="R278" s="50"/>
      <c r="S278" s="50"/>
    </row>
    <row r="279" spans="1:19" ht="12.75" hidden="1" customHeight="1" x14ac:dyDescent="0.2">
      <c r="A279" s="128">
        <v>4123</v>
      </c>
      <c r="B279" s="129" t="s">
        <v>68</v>
      </c>
      <c r="C279" s="103"/>
      <c r="D279" s="104"/>
      <c r="E279" s="104"/>
      <c r="F279" s="130"/>
      <c r="G279" s="130"/>
      <c r="H279" s="130"/>
      <c r="I279" s="130"/>
      <c r="J279" s="130"/>
      <c r="K279" s="130"/>
      <c r="L279" s="111"/>
      <c r="M279" s="130"/>
      <c r="N279" s="130"/>
      <c r="O279" s="130"/>
      <c r="P279" s="35"/>
      <c r="Q279" s="35"/>
      <c r="R279" s="35"/>
      <c r="S279" s="35"/>
    </row>
    <row r="280" spans="1:19" ht="12.75" hidden="1" customHeight="1" x14ac:dyDescent="0.2">
      <c r="A280" s="222">
        <v>422</v>
      </c>
      <c r="B280" s="152" t="s">
        <v>53</v>
      </c>
      <c r="C280" s="97">
        <f t="shared" ref="C280:F280" si="468">SUM(C281:C282)</f>
        <v>0</v>
      </c>
      <c r="D280" s="98"/>
      <c r="E280" s="98">
        <f t="shared" ref="E280" si="469">SUM(E281:E282)</f>
        <v>0</v>
      </c>
      <c r="F280" s="127">
        <f t="shared" si="468"/>
        <v>0</v>
      </c>
      <c r="G280" s="127">
        <f t="shared" ref="G280:H280" si="470">SUM(G281:G282)</f>
        <v>0</v>
      </c>
      <c r="H280" s="127">
        <f t="shared" si="470"/>
        <v>0</v>
      </c>
      <c r="I280" s="127">
        <f t="shared" ref="I280:J280" si="471">SUM(I281:I282)</f>
        <v>0</v>
      </c>
      <c r="J280" s="127">
        <f t="shared" si="471"/>
        <v>0</v>
      </c>
      <c r="K280" s="127">
        <f t="shared" ref="K280" si="472">SUM(K281:K282)</f>
        <v>0</v>
      </c>
      <c r="L280" s="100"/>
      <c r="M280" s="127">
        <f t="shared" ref="M280:O280" si="473">SUM(M281:M282)</f>
        <v>0</v>
      </c>
      <c r="N280" s="127">
        <f t="shared" ref="N280" si="474">SUM(N281:N282)</f>
        <v>0</v>
      </c>
      <c r="O280" s="127">
        <f t="shared" si="473"/>
        <v>0</v>
      </c>
      <c r="P280" s="35"/>
      <c r="Q280" s="35"/>
      <c r="R280" s="35"/>
      <c r="S280" s="35"/>
    </row>
    <row r="281" spans="1:19" ht="12.75" hidden="1" customHeight="1" x14ac:dyDescent="0.2">
      <c r="A281" s="135">
        <v>4221</v>
      </c>
      <c r="B281" s="136" t="s">
        <v>54</v>
      </c>
      <c r="C281" s="141"/>
      <c r="D281" s="142"/>
      <c r="E281" s="142"/>
      <c r="F281" s="143"/>
      <c r="G281" s="143"/>
      <c r="H281" s="143"/>
      <c r="I281" s="143"/>
      <c r="J281" s="143"/>
      <c r="K281" s="143"/>
      <c r="L281" s="145"/>
      <c r="M281" s="143"/>
      <c r="N281" s="143"/>
      <c r="O281" s="143"/>
      <c r="P281" s="35"/>
      <c r="Q281" s="35"/>
      <c r="R281" s="35"/>
      <c r="S281" s="35"/>
    </row>
    <row r="282" spans="1:19" ht="12.75" hidden="1" customHeight="1" x14ac:dyDescent="0.2">
      <c r="A282" s="135">
        <v>4222</v>
      </c>
      <c r="B282" s="136" t="s">
        <v>58</v>
      </c>
      <c r="C282" s="141"/>
      <c r="D282" s="142"/>
      <c r="E282" s="142"/>
      <c r="F282" s="187"/>
      <c r="G282" s="187"/>
      <c r="H282" s="187"/>
      <c r="I282" s="187"/>
      <c r="J282" s="187"/>
      <c r="K282" s="187"/>
      <c r="L282" s="145"/>
      <c r="M282" s="187"/>
      <c r="N282" s="187"/>
      <c r="O282" s="187"/>
      <c r="P282" s="35"/>
      <c r="Q282" s="35"/>
      <c r="R282" s="35"/>
      <c r="S282" s="35"/>
    </row>
    <row r="283" spans="1:19" s="2" customFormat="1" ht="0.75" hidden="1" customHeight="1" x14ac:dyDescent="0.2">
      <c r="A283" s="223" t="s">
        <v>187</v>
      </c>
      <c r="B283" s="224" t="s">
        <v>188</v>
      </c>
      <c r="C283" s="225">
        <f t="shared" ref="C283:O283" si="475">C284</f>
        <v>0</v>
      </c>
      <c r="D283" s="226"/>
      <c r="E283" s="226">
        <f t="shared" si="475"/>
        <v>0</v>
      </c>
      <c r="F283" s="227">
        <f t="shared" si="475"/>
        <v>0</v>
      </c>
      <c r="G283" s="227">
        <f t="shared" si="475"/>
        <v>0</v>
      </c>
      <c r="H283" s="227">
        <f t="shared" si="475"/>
        <v>0</v>
      </c>
      <c r="I283" s="227">
        <f t="shared" si="475"/>
        <v>0</v>
      </c>
      <c r="J283" s="227">
        <f t="shared" si="475"/>
        <v>0</v>
      </c>
      <c r="K283" s="227">
        <f t="shared" si="475"/>
        <v>0</v>
      </c>
      <c r="L283" s="228"/>
      <c r="M283" s="227">
        <f t="shared" si="475"/>
        <v>0</v>
      </c>
      <c r="N283" s="227">
        <f t="shared" si="475"/>
        <v>0</v>
      </c>
      <c r="O283" s="227">
        <f t="shared" si="475"/>
        <v>0</v>
      </c>
      <c r="P283" s="50"/>
      <c r="Q283" s="50"/>
      <c r="R283" s="50"/>
      <c r="S283" s="50"/>
    </row>
    <row r="284" spans="1:19" ht="18" hidden="1" customHeight="1" x14ac:dyDescent="0.2">
      <c r="A284" s="704" t="s">
        <v>1</v>
      </c>
      <c r="B284" s="704"/>
      <c r="C284" s="229">
        <f t="shared" ref="C284:F284" si="476">SUM(C285,C288,C291,C297,C300,C302,C305)</f>
        <v>0</v>
      </c>
      <c r="D284" s="230"/>
      <c r="E284" s="230">
        <f t="shared" ref="E284" si="477">SUM(E285,E288,E291,E297,E300,E302,E305)</f>
        <v>0</v>
      </c>
      <c r="F284" s="231">
        <f t="shared" si="476"/>
        <v>0</v>
      </c>
      <c r="G284" s="231">
        <f t="shared" ref="G284:H284" si="478">SUM(G285,G288,G291,G297,G300,G302,G305)</f>
        <v>0</v>
      </c>
      <c r="H284" s="231">
        <f t="shared" si="478"/>
        <v>0</v>
      </c>
      <c r="I284" s="231">
        <f t="shared" ref="I284:J284" si="479">SUM(I285,I288,I291,I297,I300,I302,I305)</f>
        <v>0</v>
      </c>
      <c r="J284" s="231">
        <f t="shared" si="479"/>
        <v>0</v>
      </c>
      <c r="K284" s="231">
        <f t="shared" ref="K284" si="480">SUM(K285,K288,K291,K297,K300,K302,K305)</f>
        <v>0</v>
      </c>
      <c r="L284" s="232"/>
      <c r="M284" s="231">
        <f t="shared" ref="M284:O284" si="481">SUM(M285,M288,M291,M297,M300,M302,M305)</f>
        <v>0</v>
      </c>
      <c r="N284" s="231">
        <f t="shared" ref="N284" si="482">SUM(N285,N288,N291,N297,N300,N302,N305)</f>
        <v>0</v>
      </c>
      <c r="O284" s="231">
        <f t="shared" si="481"/>
        <v>0</v>
      </c>
      <c r="P284" s="35"/>
      <c r="Q284" s="35"/>
      <c r="R284" s="35"/>
      <c r="S284" s="35"/>
    </row>
    <row r="285" spans="1:19" s="2" customFormat="1" hidden="1" x14ac:dyDescent="0.2">
      <c r="A285" s="160" t="s">
        <v>149</v>
      </c>
      <c r="B285" s="161" t="s">
        <v>12</v>
      </c>
      <c r="C285" s="162">
        <f t="shared" ref="C285:F285" si="483">SUM(C286:C287)</f>
        <v>0</v>
      </c>
      <c r="D285" s="163"/>
      <c r="E285" s="163">
        <f t="shared" ref="E285" si="484">SUM(E286:E287)</f>
        <v>0</v>
      </c>
      <c r="F285" s="164">
        <f t="shared" si="483"/>
        <v>0</v>
      </c>
      <c r="G285" s="164">
        <f t="shared" ref="G285:H285" si="485">SUM(G286:G287)</f>
        <v>0</v>
      </c>
      <c r="H285" s="164">
        <f t="shared" si="485"/>
        <v>0</v>
      </c>
      <c r="I285" s="164">
        <f t="shared" ref="I285:J285" si="486">SUM(I286:I287)</f>
        <v>0</v>
      </c>
      <c r="J285" s="164">
        <f t="shared" si="486"/>
        <v>0</v>
      </c>
      <c r="K285" s="164">
        <f t="shared" ref="K285" si="487">SUM(K286:K287)</f>
        <v>0</v>
      </c>
      <c r="L285" s="165"/>
      <c r="M285" s="164">
        <f t="shared" ref="M285:O285" si="488">SUM(M286:M287)</f>
        <v>0</v>
      </c>
      <c r="N285" s="164">
        <f t="shared" ref="N285" si="489">SUM(N286:N287)</f>
        <v>0</v>
      </c>
      <c r="O285" s="164">
        <f t="shared" si="488"/>
        <v>0</v>
      </c>
      <c r="P285" s="50"/>
      <c r="Q285" s="50"/>
      <c r="R285" s="50"/>
      <c r="S285" s="50"/>
    </row>
    <row r="286" spans="1:19" hidden="1" x14ac:dyDescent="0.2">
      <c r="A286" s="167" t="s">
        <v>150</v>
      </c>
      <c r="B286" s="168" t="s">
        <v>13</v>
      </c>
      <c r="C286" s="169"/>
      <c r="D286" s="170"/>
      <c r="E286" s="170"/>
      <c r="F286" s="171"/>
      <c r="G286" s="171"/>
      <c r="H286" s="171"/>
      <c r="I286" s="171"/>
      <c r="J286" s="171"/>
      <c r="K286" s="171"/>
      <c r="L286" s="172"/>
      <c r="M286" s="171"/>
      <c r="N286" s="171"/>
      <c r="O286" s="171"/>
      <c r="P286" s="35"/>
      <c r="Q286" s="35"/>
      <c r="R286" s="35"/>
      <c r="S286" s="35"/>
    </row>
    <row r="287" spans="1:19" hidden="1" x14ac:dyDescent="0.2">
      <c r="A287" s="167" t="s">
        <v>152</v>
      </c>
      <c r="B287" s="168" t="s">
        <v>15</v>
      </c>
      <c r="C287" s="169"/>
      <c r="D287" s="170"/>
      <c r="E287" s="170"/>
      <c r="F287" s="171"/>
      <c r="G287" s="171"/>
      <c r="H287" s="171"/>
      <c r="I287" s="171"/>
      <c r="J287" s="171"/>
      <c r="K287" s="171"/>
      <c r="L287" s="172"/>
      <c r="M287" s="171"/>
      <c r="N287" s="171"/>
      <c r="O287" s="171"/>
      <c r="P287" s="35"/>
      <c r="Q287" s="35"/>
      <c r="R287" s="35"/>
      <c r="S287" s="35"/>
    </row>
    <row r="288" spans="1:19" s="2" customFormat="1" hidden="1" x14ac:dyDescent="0.2">
      <c r="A288" s="160" t="s">
        <v>153</v>
      </c>
      <c r="B288" s="161" t="s">
        <v>16</v>
      </c>
      <c r="C288" s="162">
        <f t="shared" ref="C288:F288" si="490">SUM(C289:C290)</f>
        <v>0</v>
      </c>
      <c r="D288" s="163"/>
      <c r="E288" s="163">
        <f t="shared" ref="E288" si="491">SUM(E289:E290)</f>
        <v>0</v>
      </c>
      <c r="F288" s="164">
        <f t="shared" si="490"/>
        <v>0</v>
      </c>
      <c r="G288" s="164">
        <f t="shared" ref="G288:H288" si="492">SUM(G289:G290)</f>
        <v>0</v>
      </c>
      <c r="H288" s="164">
        <f t="shared" si="492"/>
        <v>0</v>
      </c>
      <c r="I288" s="164">
        <f t="shared" ref="I288:J288" si="493">SUM(I289:I290)</f>
        <v>0</v>
      </c>
      <c r="J288" s="164">
        <f t="shared" si="493"/>
        <v>0</v>
      </c>
      <c r="K288" s="164">
        <f t="shared" ref="K288" si="494">SUM(K289:K290)</f>
        <v>0</v>
      </c>
      <c r="L288" s="165"/>
      <c r="M288" s="164">
        <f t="shared" ref="M288:O288" si="495">SUM(M289:M290)</f>
        <v>0</v>
      </c>
      <c r="N288" s="164">
        <f t="shared" ref="N288" si="496">SUM(N289:N290)</f>
        <v>0</v>
      </c>
      <c r="O288" s="164">
        <f t="shared" si="495"/>
        <v>0</v>
      </c>
      <c r="P288" s="50"/>
      <c r="Q288" s="50"/>
      <c r="R288" s="50"/>
      <c r="S288" s="50"/>
    </row>
    <row r="289" spans="1:19" hidden="1" x14ac:dyDescent="0.2">
      <c r="A289" s="167" t="s">
        <v>157</v>
      </c>
      <c r="B289" s="168" t="s">
        <v>112</v>
      </c>
      <c r="C289" s="169"/>
      <c r="D289" s="170"/>
      <c r="E289" s="170"/>
      <c r="F289" s="171"/>
      <c r="G289" s="171"/>
      <c r="H289" s="171"/>
      <c r="I289" s="171"/>
      <c r="J289" s="171"/>
      <c r="K289" s="171"/>
      <c r="L289" s="172"/>
      <c r="M289" s="171"/>
      <c r="N289" s="171"/>
      <c r="O289" s="171"/>
      <c r="P289" s="35"/>
      <c r="Q289" s="35"/>
      <c r="R289" s="35"/>
      <c r="S289" s="35"/>
    </row>
    <row r="290" spans="1:19" hidden="1" x14ac:dyDescent="0.2">
      <c r="A290" s="167" t="s">
        <v>158</v>
      </c>
      <c r="B290" s="168" t="s">
        <v>21</v>
      </c>
      <c r="C290" s="169"/>
      <c r="D290" s="170"/>
      <c r="E290" s="170"/>
      <c r="F290" s="171"/>
      <c r="G290" s="171"/>
      <c r="H290" s="171"/>
      <c r="I290" s="171"/>
      <c r="J290" s="171"/>
      <c r="K290" s="171"/>
      <c r="L290" s="172"/>
      <c r="M290" s="171"/>
      <c r="N290" s="171"/>
      <c r="O290" s="171"/>
      <c r="P290" s="35"/>
      <c r="Q290" s="35"/>
      <c r="R290" s="35"/>
      <c r="S290" s="35"/>
    </row>
    <row r="291" spans="1:19" s="2" customFormat="1" hidden="1" x14ac:dyDescent="0.2">
      <c r="A291" s="160" t="s">
        <v>159</v>
      </c>
      <c r="B291" s="161" t="s">
        <v>123</v>
      </c>
      <c r="C291" s="162">
        <f t="shared" ref="C291:F291" si="497">SUM(C292:C296)</f>
        <v>0</v>
      </c>
      <c r="D291" s="163"/>
      <c r="E291" s="163">
        <f t="shared" ref="E291" si="498">SUM(E292:E296)</f>
        <v>0</v>
      </c>
      <c r="F291" s="164">
        <f t="shared" si="497"/>
        <v>0</v>
      </c>
      <c r="G291" s="164">
        <f t="shared" ref="G291:H291" si="499">SUM(G292:G296)</f>
        <v>0</v>
      </c>
      <c r="H291" s="164">
        <f t="shared" si="499"/>
        <v>0</v>
      </c>
      <c r="I291" s="164">
        <f t="shared" ref="I291:J291" si="500">SUM(I292:I296)</f>
        <v>0</v>
      </c>
      <c r="J291" s="164">
        <f t="shared" si="500"/>
        <v>0</v>
      </c>
      <c r="K291" s="164">
        <f t="shared" ref="K291" si="501">SUM(K292:K296)</f>
        <v>0</v>
      </c>
      <c r="L291" s="165"/>
      <c r="M291" s="164">
        <f t="shared" ref="M291:O291" si="502">SUM(M292:M296)</f>
        <v>0</v>
      </c>
      <c r="N291" s="164">
        <f t="shared" ref="N291" si="503">SUM(N292:N296)</f>
        <v>0</v>
      </c>
      <c r="O291" s="164">
        <f t="shared" si="502"/>
        <v>0</v>
      </c>
      <c r="P291" s="50"/>
      <c r="Q291" s="50"/>
      <c r="R291" s="50"/>
      <c r="S291" s="50"/>
    </row>
    <row r="292" spans="1:19" hidden="1" x14ac:dyDescent="0.2">
      <c r="A292" s="167" t="s">
        <v>160</v>
      </c>
      <c r="B292" s="168" t="s">
        <v>24</v>
      </c>
      <c r="C292" s="169"/>
      <c r="D292" s="170"/>
      <c r="E292" s="170"/>
      <c r="F292" s="171"/>
      <c r="G292" s="171"/>
      <c r="H292" s="171"/>
      <c r="I292" s="171"/>
      <c r="J292" s="171"/>
      <c r="K292" s="171"/>
      <c r="L292" s="172"/>
      <c r="M292" s="171"/>
      <c r="N292" s="171"/>
      <c r="O292" s="171"/>
      <c r="P292" s="35"/>
      <c r="Q292" s="35"/>
      <c r="R292" s="35"/>
      <c r="S292" s="35"/>
    </row>
    <row r="293" spans="1:19" hidden="1" x14ac:dyDescent="0.2">
      <c r="A293" s="167" t="s">
        <v>161</v>
      </c>
      <c r="B293" s="168" t="s">
        <v>25</v>
      </c>
      <c r="C293" s="169"/>
      <c r="D293" s="170"/>
      <c r="E293" s="170"/>
      <c r="F293" s="171"/>
      <c r="G293" s="171"/>
      <c r="H293" s="171"/>
      <c r="I293" s="171"/>
      <c r="J293" s="171"/>
      <c r="K293" s="171"/>
      <c r="L293" s="172"/>
      <c r="M293" s="171"/>
      <c r="N293" s="171"/>
      <c r="O293" s="171"/>
      <c r="P293" s="35"/>
      <c r="Q293" s="35"/>
      <c r="R293" s="35"/>
      <c r="S293" s="35"/>
    </row>
    <row r="294" spans="1:19" hidden="1" x14ac:dyDescent="0.2">
      <c r="A294" s="167" t="s">
        <v>164</v>
      </c>
      <c r="B294" s="168" t="s">
        <v>28</v>
      </c>
      <c r="C294" s="169"/>
      <c r="D294" s="170"/>
      <c r="E294" s="170"/>
      <c r="F294" s="171"/>
      <c r="G294" s="171"/>
      <c r="H294" s="171"/>
      <c r="I294" s="171"/>
      <c r="J294" s="171"/>
      <c r="K294" s="171"/>
      <c r="L294" s="172"/>
      <c r="M294" s="171"/>
      <c r="N294" s="171"/>
      <c r="O294" s="171"/>
      <c r="P294" s="35"/>
      <c r="Q294" s="35"/>
      <c r="R294" s="35"/>
      <c r="S294" s="35"/>
    </row>
    <row r="295" spans="1:19" hidden="1" x14ac:dyDescent="0.2">
      <c r="A295" s="167" t="s">
        <v>166</v>
      </c>
      <c r="B295" s="168" t="s">
        <v>30</v>
      </c>
      <c r="C295" s="169"/>
      <c r="D295" s="170"/>
      <c r="E295" s="170"/>
      <c r="F295" s="171"/>
      <c r="G295" s="171"/>
      <c r="H295" s="171"/>
      <c r="I295" s="171"/>
      <c r="J295" s="171"/>
      <c r="K295" s="171"/>
      <c r="L295" s="172"/>
      <c r="M295" s="171"/>
      <c r="N295" s="171"/>
      <c r="O295" s="171"/>
      <c r="P295" s="35"/>
      <c r="Q295" s="35"/>
      <c r="R295" s="35"/>
      <c r="S295" s="35"/>
    </row>
    <row r="296" spans="1:19" hidden="1" x14ac:dyDescent="0.2">
      <c r="A296" s="167" t="s">
        <v>189</v>
      </c>
      <c r="B296" s="168" t="s">
        <v>70</v>
      </c>
      <c r="C296" s="169"/>
      <c r="D296" s="170"/>
      <c r="E296" s="170"/>
      <c r="F296" s="171"/>
      <c r="G296" s="171"/>
      <c r="H296" s="171"/>
      <c r="I296" s="171"/>
      <c r="J296" s="171"/>
      <c r="K296" s="171"/>
      <c r="L296" s="172"/>
      <c r="M296" s="171"/>
      <c r="N296" s="171"/>
      <c r="O296" s="171"/>
      <c r="P296" s="35"/>
      <c r="Q296" s="35"/>
      <c r="R296" s="35"/>
      <c r="S296" s="35"/>
    </row>
    <row r="297" spans="1:19" s="2" customFormat="1" hidden="1" x14ac:dyDescent="0.2">
      <c r="A297" s="160" t="s">
        <v>170</v>
      </c>
      <c r="B297" s="161" t="s">
        <v>33</v>
      </c>
      <c r="C297" s="162">
        <f t="shared" ref="C297:F297" si="504">SUM(C298:C299)</f>
        <v>0</v>
      </c>
      <c r="D297" s="163"/>
      <c r="E297" s="163">
        <f t="shared" ref="E297" si="505">SUM(E298:E299)</f>
        <v>0</v>
      </c>
      <c r="F297" s="164">
        <f t="shared" si="504"/>
        <v>0</v>
      </c>
      <c r="G297" s="164">
        <f t="shared" ref="G297:H297" si="506">SUM(G298:G299)</f>
        <v>0</v>
      </c>
      <c r="H297" s="164">
        <f t="shared" si="506"/>
        <v>0</v>
      </c>
      <c r="I297" s="164">
        <f t="shared" ref="I297:J297" si="507">SUM(I298:I299)</f>
        <v>0</v>
      </c>
      <c r="J297" s="164">
        <f t="shared" si="507"/>
        <v>0</v>
      </c>
      <c r="K297" s="164">
        <f t="shared" ref="K297" si="508">SUM(K298:K299)</f>
        <v>0</v>
      </c>
      <c r="L297" s="165"/>
      <c r="M297" s="164">
        <f t="shared" ref="M297:O297" si="509">SUM(M298:M299)</f>
        <v>0</v>
      </c>
      <c r="N297" s="164">
        <f t="shared" ref="N297" si="510">SUM(N298:N299)</f>
        <v>0</v>
      </c>
      <c r="O297" s="164">
        <f t="shared" si="509"/>
        <v>0</v>
      </c>
      <c r="P297" s="50"/>
      <c r="Q297" s="50"/>
      <c r="R297" s="50"/>
      <c r="S297" s="50"/>
    </row>
    <row r="298" spans="1:19" hidden="1" x14ac:dyDescent="0.2">
      <c r="A298" s="167" t="s">
        <v>172</v>
      </c>
      <c r="B298" s="168" t="s">
        <v>36</v>
      </c>
      <c r="C298" s="169"/>
      <c r="D298" s="170"/>
      <c r="E298" s="170"/>
      <c r="F298" s="171"/>
      <c r="G298" s="171"/>
      <c r="H298" s="171"/>
      <c r="I298" s="171"/>
      <c r="J298" s="171"/>
      <c r="K298" s="171"/>
      <c r="L298" s="172"/>
      <c r="M298" s="171"/>
      <c r="N298" s="171"/>
      <c r="O298" s="171"/>
      <c r="P298" s="35"/>
      <c r="Q298" s="35"/>
      <c r="R298" s="35"/>
      <c r="S298" s="35"/>
    </row>
    <row r="299" spans="1:19" hidden="1" x14ac:dyDescent="0.2">
      <c r="A299" s="167" t="s">
        <v>173</v>
      </c>
      <c r="B299" s="168" t="s">
        <v>33</v>
      </c>
      <c r="C299" s="169"/>
      <c r="D299" s="170"/>
      <c r="E299" s="170"/>
      <c r="F299" s="171"/>
      <c r="G299" s="171"/>
      <c r="H299" s="171"/>
      <c r="I299" s="171"/>
      <c r="J299" s="171"/>
      <c r="K299" s="171"/>
      <c r="L299" s="172"/>
      <c r="M299" s="171"/>
      <c r="N299" s="171"/>
      <c r="O299" s="171"/>
      <c r="P299" s="35"/>
      <c r="Q299" s="35"/>
      <c r="R299" s="35"/>
      <c r="S299" s="35"/>
    </row>
    <row r="300" spans="1:19" s="2" customFormat="1" hidden="1" x14ac:dyDescent="0.2">
      <c r="A300" s="160" t="s">
        <v>176</v>
      </c>
      <c r="B300" s="161" t="s">
        <v>67</v>
      </c>
      <c r="C300" s="162">
        <f t="shared" ref="C300:O300" si="511">SUM(C301)</f>
        <v>0</v>
      </c>
      <c r="D300" s="163"/>
      <c r="E300" s="163">
        <f t="shared" si="511"/>
        <v>0</v>
      </c>
      <c r="F300" s="164">
        <f t="shared" si="511"/>
        <v>0</v>
      </c>
      <c r="G300" s="164">
        <f t="shared" si="511"/>
        <v>0</v>
      </c>
      <c r="H300" s="164">
        <f t="shared" si="511"/>
        <v>0</v>
      </c>
      <c r="I300" s="164">
        <f t="shared" si="511"/>
        <v>0</v>
      </c>
      <c r="J300" s="164">
        <f t="shared" si="511"/>
        <v>0</v>
      </c>
      <c r="K300" s="164">
        <f t="shared" si="511"/>
        <v>0</v>
      </c>
      <c r="L300" s="165"/>
      <c r="M300" s="164">
        <f t="shared" si="511"/>
        <v>0</v>
      </c>
      <c r="N300" s="164">
        <f t="shared" si="511"/>
        <v>0</v>
      </c>
      <c r="O300" s="164">
        <f t="shared" si="511"/>
        <v>0</v>
      </c>
      <c r="P300" s="50"/>
      <c r="Q300" s="50"/>
      <c r="R300" s="50"/>
      <c r="S300" s="50"/>
    </row>
    <row r="301" spans="1:19" hidden="1" x14ac:dyDescent="0.2">
      <c r="A301" s="167" t="s">
        <v>190</v>
      </c>
      <c r="B301" s="168" t="s">
        <v>68</v>
      </c>
      <c r="C301" s="169"/>
      <c r="D301" s="170"/>
      <c r="E301" s="170"/>
      <c r="F301" s="171"/>
      <c r="G301" s="171"/>
      <c r="H301" s="171"/>
      <c r="I301" s="171"/>
      <c r="J301" s="171"/>
      <c r="K301" s="171"/>
      <c r="L301" s="172"/>
      <c r="M301" s="171"/>
      <c r="N301" s="171"/>
      <c r="O301" s="171"/>
      <c r="P301" s="35"/>
      <c r="Q301" s="35"/>
      <c r="R301" s="35"/>
      <c r="S301" s="35"/>
    </row>
    <row r="302" spans="1:19" s="2" customFormat="1" hidden="1" x14ac:dyDescent="0.2">
      <c r="A302" s="160" t="s">
        <v>177</v>
      </c>
      <c r="B302" s="161" t="s">
        <v>129</v>
      </c>
      <c r="C302" s="162">
        <f t="shared" ref="C302:O302" si="512">SUM(C303)</f>
        <v>0</v>
      </c>
      <c r="D302" s="163"/>
      <c r="E302" s="163">
        <f t="shared" si="512"/>
        <v>0</v>
      </c>
      <c r="F302" s="164">
        <f t="shared" si="512"/>
        <v>0</v>
      </c>
      <c r="G302" s="164">
        <f t="shared" si="512"/>
        <v>0</v>
      </c>
      <c r="H302" s="164">
        <f t="shared" si="512"/>
        <v>0</v>
      </c>
      <c r="I302" s="164">
        <f t="shared" si="512"/>
        <v>0</v>
      </c>
      <c r="J302" s="164">
        <f t="shared" si="512"/>
        <v>0</v>
      </c>
      <c r="K302" s="164">
        <f t="shared" si="512"/>
        <v>0</v>
      </c>
      <c r="L302" s="165"/>
      <c r="M302" s="164">
        <f t="shared" si="512"/>
        <v>0</v>
      </c>
      <c r="N302" s="164">
        <f t="shared" si="512"/>
        <v>0</v>
      </c>
      <c r="O302" s="164">
        <f t="shared" si="512"/>
        <v>0</v>
      </c>
      <c r="P302" s="50"/>
      <c r="Q302" s="50"/>
      <c r="R302" s="50"/>
      <c r="S302" s="50"/>
    </row>
    <row r="303" spans="1:19" hidden="1" x14ac:dyDescent="0.2">
      <c r="A303" s="167" t="s">
        <v>186</v>
      </c>
      <c r="B303" s="168" t="s">
        <v>58</v>
      </c>
      <c r="C303" s="169"/>
      <c r="D303" s="170"/>
      <c r="E303" s="170"/>
      <c r="F303" s="171"/>
      <c r="G303" s="171"/>
      <c r="H303" s="171"/>
      <c r="I303" s="171"/>
      <c r="J303" s="171"/>
      <c r="K303" s="171"/>
      <c r="L303" s="172"/>
      <c r="M303" s="171"/>
      <c r="N303" s="171"/>
      <c r="O303" s="171"/>
      <c r="P303" s="35"/>
      <c r="Q303" s="35"/>
      <c r="R303" s="35"/>
      <c r="S303" s="35"/>
    </row>
    <row r="304" spans="1:19" s="2" customFormat="1" hidden="1" x14ac:dyDescent="0.2">
      <c r="A304" s="160" t="s">
        <v>193</v>
      </c>
      <c r="B304" s="161" t="s">
        <v>73</v>
      </c>
      <c r="C304" s="162">
        <f t="shared" ref="C304:O304" si="513">SUM(C305)</f>
        <v>0</v>
      </c>
      <c r="D304" s="163"/>
      <c r="E304" s="163">
        <f t="shared" si="513"/>
        <v>0</v>
      </c>
      <c r="F304" s="164">
        <f t="shared" si="513"/>
        <v>0</v>
      </c>
      <c r="G304" s="164">
        <f t="shared" si="513"/>
        <v>0</v>
      </c>
      <c r="H304" s="164">
        <f t="shared" si="513"/>
        <v>0</v>
      </c>
      <c r="I304" s="164">
        <f t="shared" si="513"/>
        <v>0</v>
      </c>
      <c r="J304" s="164">
        <f t="shared" si="513"/>
        <v>0</v>
      </c>
      <c r="K304" s="164">
        <f t="shared" si="513"/>
        <v>0</v>
      </c>
      <c r="L304" s="165"/>
      <c r="M304" s="164">
        <f t="shared" si="513"/>
        <v>0</v>
      </c>
      <c r="N304" s="164">
        <f t="shared" si="513"/>
        <v>0</v>
      </c>
      <c r="O304" s="164">
        <f t="shared" si="513"/>
        <v>0</v>
      </c>
      <c r="P304" s="50"/>
      <c r="Q304" s="50"/>
      <c r="R304" s="50"/>
      <c r="S304" s="50"/>
    </row>
    <row r="305" spans="1:19" hidden="1" x14ac:dyDescent="0.2">
      <c r="A305" s="167" t="s">
        <v>194</v>
      </c>
      <c r="B305" s="168" t="s">
        <v>88</v>
      </c>
      <c r="C305" s="169"/>
      <c r="D305" s="170"/>
      <c r="E305" s="170"/>
      <c r="F305" s="171"/>
      <c r="G305" s="171"/>
      <c r="H305" s="171"/>
      <c r="I305" s="171"/>
      <c r="J305" s="171"/>
      <c r="K305" s="171"/>
      <c r="L305" s="172"/>
      <c r="M305" s="171"/>
      <c r="N305" s="171"/>
      <c r="O305" s="171"/>
      <c r="P305" s="35"/>
      <c r="Q305" s="35"/>
      <c r="R305" s="35"/>
      <c r="S305" s="35"/>
    </row>
    <row r="306" spans="1:19" ht="24.95" customHeight="1" x14ac:dyDescent="0.2">
      <c r="A306" s="208" t="s">
        <v>71</v>
      </c>
      <c r="B306" s="113" t="s">
        <v>72</v>
      </c>
      <c r="C306" s="114">
        <f t="shared" ref="C306:O306" si="514">SUM(C307)</f>
        <v>17478000</v>
      </c>
      <c r="D306" s="115"/>
      <c r="E306" s="115">
        <f t="shared" si="514"/>
        <v>19078000</v>
      </c>
      <c r="F306" s="116">
        <f t="shared" si="514"/>
        <v>17478000</v>
      </c>
      <c r="G306" s="116">
        <f t="shared" si="514"/>
        <v>17478000</v>
      </c>
      <c r="H306" s="116">
        <f t="shared" si="514"/>
        <v>19381250</v>
      </c>
      <c r="I306" s="116">
        <f t="shared" si="514"/>
        <v>18698750</v>
      </c>
      <c r="J306" s="116">
        <f t="shared" si="514"/>
        <v>21641250</v>
      </c>
      <c r="K306" s="116">
        <f t="shared" si="514"/>
        <v>303250</v>
      </c>
      <c r="L306" s="117"/>
      <c r="M306" s="116">
        <f t="shared" si="514"/>
        <v>1903250</v>
      </c>
      <c r="N306" s="116">
        <f t="shared" si="514"/>
        <v>1220750</v>
      </c>
      <c r="O306" s="116">
        <f t="shared" si="514"/>
        <v>0</v>
      </c>
      <c r="P306" s="35"/>
      <c r="Q306" s="35"/>
      <c r="R306" s="35"/>
      <c r="S306" s="35"/>
    </row>
    <row r="307" spans="1:19" ht="18" customHeight="1" x14ac:dyDescent="0.2">
      <c r="A307" s="704" t="s">
        <v>1</v>
      </c>
      <c r="B307" s="704"/>
      <c r="C307" s="118">
        <f t="shared" ref="C307:G307" si="515">SUM(C308,C316,C319)</f>
        <v>17478000</v>
      </c>
      <c r="D307" s="119"/>
      <c r="E307" s="119">
        <f t="shared" ref="E307" si="516">SUM(E308,E316,E319)</f>
        <v>19078000</v>
      </c>
      <c r="F307" s="120">
        <f t="shared" si="515"/>
        <v>17478000</v>
      </c>
      <c r="G307" s="120">
        <f t="shared" si="515"/>
        <v>17478000</v>
      </c>
      <c r="H307" s="120">
        <f t="shared" ref="H307:I307" si="517">SUM(H308,H316,H319)</f>
        <v>19381250</v>
      </c>
      <c r="I307" s="120">
        <f t="shared" si="517"/>
        <v>18698750</v>
      </c>
      <c r="J307" s="120">
        <f t="shared" ref="J307:K307" si="518">SUM(J308,J316,J319)</f>
        <v>21641250</v>
      </c>
      <c r="K307" s="120">
        <f t="shared" si="518"/>
        <v>303250</v>
      </c>
      <c r="L307" s="121"/>
      <c r="M307" s="120">
        <f t="shared" ref="M307:O307" si="519">SUM(M308,M316,M319)</f>
        <v>1903250</v>
      </c>
      <c r="N307" s="120">
        <f t="shared" ref="N307" si="520">SUM(N308,N316,N319)</f>
        <v>1220750</v>
      </c>
      <c r="O307" s="120">
        <f t="shared" si="519"/>
        <v>0</v>
      </c>
      <c r="P307" s="35"/>
      <c r="Q307" s="35"/>
      <c r="R307" s="35"/>
      <c r="S307" s="35"/>
    </row>
    <row r="308" spans="1:19" s="11" customFormat="1" ht="18" customHeight="1" x14ac:dyDescent="0.2">
      <c r="A308" s="418" t="s">
        <v>324</v>
      </c>
      <c r="B308" s="414" t="s">
        <v>325</v>
      </c>
      <c r="C308" s="419">
        <f t="shared" ref="C308:G308" si="521">SUM(C309,C312)</f>
        <v>13985000</v>
      </c>
      <c r="D308" s="420"/>
      <c r="E308" s="420">
        <f t="shared" ref="E308" si="522">SUM(E309,E312)</f>
        <v>15585000</v>
      </c>
      <c r="F308" s="421">
        <f t="shared" si="521"/>
        <v>13985000</v>
      </c>
      <c r="G308" s="421">
        <f t="shared" si="521"/>
        <v>13985000</v>
      </c>
      <c r="H308" s="421">
        <f t="shared" ref="H308:I308" si="523">SUM(H309,H312)</f>
        <v>15888250</v>
      </c>
      <c r="I308" s="421">
        <f t="shared" si="523"/>
        <v>15555750</v>
      </c>
      <c r="J308" s="421">
        <f t="shared" ref="J308:K308" si="524">SUM(J309,J312)</f>
        <v>18148250</v>
      </c>
      <c r="K308" s="123">
        <f t="shared" si="524"/>
        <v>303250</v>
      </c>
      <c r="L308" s="124"/>
      <c r="M308" s="123">
        <f t="shared" ref="M308:O308" si="525">SUM(M309,M312)</f>
        <v>1903250</v>
      </c>
      <c r="N308" s="123">
        <f t="shared" ref="N308" si="526">SUM(N309,N312)</f>
        <v>1570750</v>
      </c>
      <c r="O308" s="123">
        <f t="shared" si="525"/>
        <v>0</v>
      </c>
      <c r="P308" s="50"/>
      <c r="Q308" s="50"/>
      <c r="R308" s="50"/>
      <c r="S308" s="50"/>
    </row>
    <row r="309" spans="1:19" s="2" customFormat="1" x14ac:dyDescent="0.2">
      <c r="A309" s="160" t="s">
        <v>153</v>
      </c>
      <c r="B309" s="161" t="s">
        <v>16</v>
      </c>
      <c r="C309" s="162">
        <f t="shared" ref="C309:F309" si="527">SUM(C310:C311)</f>
        <v>682000</v>
      </c>
      <c r="D309" s="163"/>
      <c r="E309" s="163">
        <f t="shared" ref="E309" si="528">SUM(E310:E311)</f>
        <v>682000</v>
      </c>
      <c r="F309" s="164">
        <f t="shared" si="527"/>
        <v>682000</v>
      </c>
      <c r="G309" s="164">
        <f t="shared" ref="G309:H309" si="529">SUM(G310:G311)</f>
        <v>682000</v>
      </c>
      <c r="H309" s="164">
        <f t="shared" si="529"/>
        <v>902250</v>
      </c>
      <c r="I309" s="164">
        <f t="shared" ref="I309:J309" si="530">SUM(I310:I311)</f>
        <v>702250</v>
      </c>
      <c r="J309" s="164">
        <f t="shared" si="530"/>
        <v>902250</v>
      </c>
      <c r="K309" s="164">
        <f t="shared" ref="K309" si="531">SUM(K310:K311)</f>
        <v>220250</v>
      </c>
      <c r="L309" s="165"/>
      <c r="M309" s="164">
        <f t="shared" ref="M309:O309" si="532">SUM(M310:M311)</f>
        <v>220250</v>
      </c>
      <c r="N309" s="164">
        <f t="shared" ref="N309" si="533">SUM(N310:N311)</f>
        <v>20250</v>
      </c>
      <c r="O309" s="164">
        <f t="shared" si="532"/>
        <v>0</v>
      </c>
      <c r="P309" s="50"/>
      <c r="Q309" s="50"/>
      <c r="R309" s="50"/>
      <c r="S309" s="50"/>
    </row>
    <row r="310" spans="1:19" x14ac:dyDescent="0.2">
      <c r="A310" s="167" t="s">
        <v>157</v>
      </c>
      <c r="B310" s="168" t="s">
        <v>112</v>
      </c>
      <c r="C310" s="169">
        <v>445000</v>
      </c>
      <c r="D310" s="170"/>
      <c r="E310" s="170">
        <v>445000</v>
      </c>
      <c r="F310" s="171">
        <v>445000</v>
      </c>
      <c r="G310" s="171">
        <v>445000</v>
      </c>
      <c r="H310" s="171">
        <v>665250</v>
      </c>
      <c r="I310" s="171">
        <f>665250-200000</f>
        <v>465250</v>
      </c>
      <c r="J310" s="171">
        <v>665250</v>
      </c>
      <c r="K310" s="105">
        <f t="shared" ref="K310:K311" si="534">H310-E310</f>
        <v>220250</v>
      </c>
      <c r="L310" s="104"/>
      <c r="M310" s="105">
        <f>H310-F310</f>
        <v>220250</v>
      </c>
      <c r="N310" s="105">
        <f>I310-G310</f>
        <v>20250</v>
      </c>
      <c r="O310" s="171"/>
      <c r="P310" s="35"/>
      <c r="Q310" s="35"/>
      <c r="R310" s="35"/>
      <c r="S310" s="35"/>
    </row>
    <row r="311" spans="1:19" x14ac:dyDescent="0.2">
      <c r="A311" s="167" t="s">
        <v>158</v>
      </c>
      <c r="B311" s="168" t="s">
        <v>21</v>
      </c>
      <c r="C311" s="169">
        <v>237000</v>
      </c>
      <c r="D311" s="170"/>
      <c r="E311" s="170">
        <v>237000</v>
      </c>
      <c r="F311" s="171">
        <v>237000</v>
      </c>
      <c r="G311" s="171">
        <v>237000</v>
      </c>
      <c r="H311" s="171">
        <v>237000</v>
      </c>
      <c r="I311" s="171">
        <v>237000</v>
      </c>
      <c r="J311" s="171">
        <v>237000</v>
      </c>
      <c r="K311" s="105">
        <f t="shared" si="534"/>
        <v>0</v>
      </c>
      <c r="L311" s="104"/>
      <c r="M311" s="105">
        <f>H311-F311</f>
        <v>0</v>
      </c>
      <c r="N311" s="105">
        <f>I311-G311</f>
        <v>0</v>
      </c>
      <c r="O311" s="171"/>
      <c r="P311" s="35"/>
      <c r="Q311" s="35"/>
      <c r="R311" s="35"/>
      <c r="S311" s="35"/>
    </row>
    <row r="312" spans="1:19" x14ac:dyDescent="0.2">
      <c r="A312" s="151">
        <v>323</v>
      </c>
      <c r="B312" s="126" t="s">
        <v>23</v>
      </c>
      <c r="C312" s="97">
        <f t="shared" ref="C312:F312" si="535">SUM(C313:C315)</f>
        <v>13303000</v>
      </c>
      <c r="D312" s="98"/>
      <c r="E312" s="98">
        <f t="shared" ref="E312" si="536">SUM(E313:E315)</f>
        <v>14903000</v>
      </c>
      <c r="F312" s="127">
        <f t="shared" si="535"/>
        <v>13303000</v>
      </c>
      <c r="G312" s="127">
        <f t="shared" ref="G312:H312" si="537">SUM(G313:G315)</f>
        <v>13303000</v>
      </c>
      <c r="H312" s="127">
        <f t="shared" si="537"/>
        <v>14986000</v>
      </c>
      <c r="I312" s="127">
        <f t="shared" ref="I312:J312" si="538">SUM(I313:I315)</f>
        <v>14853500</v>
      </c>
      <c r="J312" s="127">
        <f t="shared" si="538"/>
        <v>17246000</v>
      </c>
      <c r="K312" s="127">
        <f t="shared" ref="K312" si="539">SUM(K313:K315)</f>
        <v>83000</v>
      </c>
      <c r="L312" s="100"/>
      <c r="M312" s="127">
        <f t="shared" ref="M312:O312" si="540">SUM(M313:M315)</f>
        <v>1683000</v>
      </c>
      <c r="N312" s="127">
        <f t="shared" ref="N312" si="541">SUM(N313:N315)</f>
        <v>1550500</v>
      </c>
      <c r="O312" s="127">
        <f t="shared" si="540"/>
        <v>0</v>
      </c>
      <c r="P312" s="35"/>
      <c r="Q312" s="35"/>
      <c r="R312" s="35"/>
      <c r="S312" s="35"/>
    </row>
    <row r="313" spans="1:19" x14ac:dyDescent="0.2">
      <c r="A313" s="128">
        <v>3232</v>
      </c>
      <c r="B313" s="129" t="s">
        <v>25</v>
      </c>
      <c r="C313" s="141">
        <v>4473000</v>
      </c>
      <c r="D313" s="142"/>
      <c r="E313" s="142">
        <v>4473000</v>
      </c>
      <c r="F313" s="209">
        <v>4473000</v>
      </c>
      <c r="G313" s="209">
        <v>4473000</v>
      </c>
      <c r="H313" s="209">
        <v>4433500</v>
      </c>
      <c r="I313" s="209">
        <v>4478500</v>
      </c>
      <c r="J313" s="209">
        <v>4478500</v>
      </c>
      <c r="K313" s="105">
        <f t="shared" ref="K313:K315" si="542">H313-E313</f>
        <v>-39500</v>
      </c>
      <c r="L313" s="104"/>
      <c r="M313" s="105">
        <f t="shared" ref="M313:M315" si="543">H313-F313</f>
        <v>-39500</v>
      </c>
      <c r="N313" s="105">
        <f>I313-G313</f>
        <v>5500</v>
      </c>
      <c r="O313" s="209"/>
      <c r="P313" s="35"/>
      <c r="Q313" s="35"/>
      <c r="R313" s="35"/>
      <c r="S313" s="35"/>
    </row>
    <row r="314" spans="1:19" x14ac:dyDescent="0.2">
      <c r="A314" s="167" t="s">
        <v>164</v>
      </c>
      <c r="B314" s="168" t="s">
        <v>28</v>
      </c>
      <c r="C314" s="141">
        <v>4400000</v>
      </c>
      <c r="D314" s="142"/>
      <c r="E314" s="142">
        <v>6000000</v>
      </c>
      <c r="F314" s="209">
        <v>4400000</v>
      </c>
      <c r="G314" s="209">
        <v>4400000</v>
      </c>
      <c r="H314" s="209">
        <f>4592500+1600000-1000000</f>
        <v>5192500</v>
      </c>
      <c r="I314" s="209">
        <f>4692500+1700000-392500</f>
        <v>6000000</v>
      </c>
      <c r="J314" s="209">
        <f>4792500+1600000</f>
        <v>6392500</v>
      </c>
      <c r="K314" s="105">
        <f t="shared" si="542"/>
        <v>-807500</v>
      </c>
      <c r="L314" s="104"/>
      <c r="M314" s="105">
        <f t="shared" si="543"/>
        <v>792500</v>
      </c>
      <c r="N314" s="105">
        <f>I314-G314</f>
        <v>1600000</v>
      </c>
      <c r="O314" s="209"/>
      <c r="P314" s="35" t="s">
        <v>430</v>
      </c>
      <c r="Q314" s="35"/>
      <c r="R314" s="35"/>
      <c r="S314" s="35"/>
    </row>
    <row r="315" spans="1:19" x14ac:dyDescent="0.2">
      <c r="A315" s="135">
        <v>3238</v>
      </c>
      <c r="B315" s="136" t="s">
        <v>70</v>
      </c>
      <c r="C315" s="141">
        <v>4430000</v>
      </c>
      <c r="D315" s="142"/>
      <c r="E315" s="142">
        <v>4430000</v>
      </c>
      <c r="F315" s="209">
        <v>4430000</v>
      </c>
      <c r="G315" s="209">
        <v>4430000</v>
      </c>
      <c r="H315" s="209">
        <v>5360000</v>
      </c>
      <c r="I315" s="209">
        <f>6375000-2000000</f>
        <v>4375000</v>
      </c>
      <c r="J315" s="209">
        <v>6375000</v>
      </c>
      <c r="K315" s="105">
        <f t="shared" si="542"/>
        <v>930000</v>
      </c>
      <c r="L315" s="104"/>
      <c r="M315" s="105">
        <f t="shared" si="543"/>
        <v>930000</v>
      </c>
      <c r="N315" s="105">
        <f>I315-G315</f>
        <v>-55000</v>
      </c>
      <c r="O315" s="209"/>
      <c r="P315" s="35"/>
      <c r="Q315" s="35"/>
      <c r="R315" s="35"/>
      <c r="S315" s="35"/>
    </row>
    <row r="316" spans="1:19" ht="25.5" x14ac:dyDescent="0.2">
      <c r="A316" s="434" t="s">
        <v>334</v>
      </c>
      <c r="B316" s="435" t="s">
        <v>335</v>
      </c>
      <c r="C316" s="415">
        <f t="shared" ref="C316:O316" si="544">SUM(C317)</f>
        <v>149000</v>
      </c>
      <c r="D316" s="416"/>
      <c r="E316" s="416">
        <f t="shared" si="544"/>
        <v>149000</v>
      </c>
      <c r="F316" s="417">
        <f t="shared" si="544"/>
        <v>149000</v>
      </c>
      <c r="G316" s="417">
        <f t="shared" si="544"/>
        <v>149000</v>
      </c>
      <c r="H316" s="417">
        <f t="shared" si="544"/>
        <v>149000</v>
      </c>
      <c r="I316" s="417">
        <f t="shared" si="544"/>
        <v>149000</v>
      </c>
      <c r="J316" s="417">
        <f t="shared" si="544"/>
        <v>149000</v>
      </c>
      <c r="K316" s="93">
        <f t="shared" si="544"/>
        <v>0</v>
      </c>
      <c r="L316" s="94"/>
      <c r="M316" s="93">
        <f t="shared" si="544"/>
        <v>0</v>
      </c>
      <c r="N316" s="93">
        <f t="shared" si="544"/>
        <v>0</v>
      </c>
      <c r="O316" s="93">
        <f t="shared" si="544"/>
        <v>0</v>
      </c>
      <c r="P316" s="35"/>
      <c r="Q316" s="35"/>
      <c r="R316" s="35"/>
      <c r="S316" s="35"/>
    </row>
    <row r="317" spans="1:19" x14ac:dyDescent="0.2">
      <c r="A317" s="151">
        <v>412</v>
      </c>
      <c r="B317" s="152" t="s">
        <v>67</v>
      </c>
      <c r="C317" s="97">
        <f t="shared" ref="C317:O317" si="545">SUM(C318)</f>
        <v>149000</v>
      </c>
      <c r="D317" s="98"/>
      <c r="E317" s="98">
        <f t="shared" si="545"/>
        <v>149000</v>
      </c>
      <c r="F317" s="127">
        <f t="shared" si="545"/>
        <v>149000</v>
      </c>
      <c r="G317" s="127">
        <f t="shared" si="545"/>
        <v>149000</v>
      </c>
      <c r="H317" s="127">
        <f t="shared" si="545"/>
        <v>149000</v>
      </c>
      <c r="I317" s="127">
        <f t="shared" si="545"/>
        <v>149000</v>
      </c>
      <c r="J317" s="127">
        <f t="shared" si="545"/>
        <v>149000</v>
      </c>
      <c r="K317" s="127">
        <f t="shared" si="545"/>
        <v>0</v>
      </c>
      <c r="L317" s="100"/>
      <c r="M317" s="127">
        <f t="shared" si="545"/>
        <v>0</v>
      </c>
      <c r="N317" s="127">
        <f t="shared" si="545"/>
        <v>0</v>
      </c>
      <c r="O317" s="127">
        <f t="shared" si="545"/>
        <v>0</v>
      </c>
      <c r="P317" s="35"/>
      <c r="Q317" s="35"/>
      <c r="R317" s="35"/>
      <c r="S317" s="35"/>
    </row>
    <row r="318" spans="1:19" x14ac:dyDescent="0.2">
      <c r="A318" s="135">
        <v>4123</v>
      </c>
      <c r="B318" s="136" t="s">
        <v>68</v>
      </c>
      <c r="C318" s="141">
        <v>149000</v>
      </c>
      <c r="D318" s="142"/>
      <c r="E318" s="142">
        <v>149000</v>
      </c>
      <c r="F318" s="143">
        <v>149000</v>
      </c>
      <c r="G318" s="143">
        <v>149000</v>
      </c>
      <c r="H318" s="143">
        <v>149000</v>
      </c>
      <c r="I318" s="143">
        <v>149000</v>
      </c>
      <c r="J318" s="143">
        <v>149000</v>
      </c>
      <c r="K318" s="105">
        <f t="shared" ref="K318" si="546">H318-E318</f>
        <v>0</v>
      </c>
      <c r="L318" s="104"/>
      <c r="M318" s="105">
        <f>H318-F318</f>
        <v>0</v>
      </c>
      <c r="N318" s="105">
        <f>I318-G318</f>
        <v>0</v>
      </c>
      <c r="O318" s="143"/>
      <c r="P318" s="35"/>
      <c r="Q318" s="35"/>
      <c r="R318" s="35"/>
      <c r="S318" s="35"/>
    </row>
    <row r="319" spans="1:19" ht="25.5" x14ac:dyDescent="0.2">
      <c r="A319" s="434" t="s">
        <v>330</v>
      </c>
      <c r="B319" s="435" t="s">
        <v>331</v>
      </c>
      <c r="C319" s="415">
        <f t="shared" ref="C319:G319" si="547">SUM(C320,C323)</f>
        <v>3344000</v>
      </c>
      <c r="D319" s="416"/>
      <c r="E319" s="416">
        <f t="shared" ref="E319" si="548">SUM(E320,E323)</f>
        <v>3344000</v>
      </c>
      <c r="F319" s="417">
        <f t="shared" si="547"/>
        <v>3344000</v>
      </c>
      <c r="G319" s="417">
        <f t="shared" si="547"/>
        <v>3344000</v>
      </c>
      <c r="H319" s="417">
        <f t="shared" ref="H319:I319" si="549">SUM(H320,H323)</f>
        <v>3344000</v>
      </c>
      <c r="I319" s="417">
        <f t="shared" si="549"/>
        <v>2994000</v>
      </c>
      <c r="J319" s="417">
        <f t="shared" ref="J319:K319" si="550">SUM(J320,J323)</f>
        <v>3344000</v>
      </c>
      <c r="K319" s="93">
        <f t="shared" si="550"/>
        <v>0</v>
      </c>
      <c r="L319" s="94"/>
      <c r="M319" s="93">
        <f t="shared" ref="M319:O319" si="551">SUM(M320,M323)</f>
        <v>0</v>
      </c>
      <c r="N319" s="93">
        <f t="shared" ref="N319" si="552">SUM(N320,N323)</f>
        <v>-350000</v>
      </c>
      <c r="O319" s="93">
        <f t="shared" si="551"/>
        <v>0</v>
      </c>
      <c r="P319" s="35"/>
      <c r="Q319" s="35"/>
      <c r="R319" s="35"/>
      <c r="S319" s="35"/>
    </row>
    <row r="320" spans="1:19" x14ac:dyDescent="0.2">
      <c r="A320" s="151">
        <v>422</v>
      </c>
      <c r="B320" s="152" t="s">
        <v>53</v>
      </c>
      <c r="C320" s="97">
        <f t="shared" ref="C320:F320" si="553">SUM(C321:C322)</f>
        <v>2750000</v>
      </c>
      <c r="D320" s="98"/>
      <c r="E320" s="98">
        <f t="shared" ref="E320" si="554">SUM(E321:E322)</f>
        <v>3000000</v>
      </c>
      <c r="F320" s="127">
        <f t="shared" si="553"/>
        <v>2750000</v>
      </c>
      <c r="G320" s="127">
        <f t="shared" ref="G320:H320" si="555">SUM(G321:G322)</f>
        <v>2750000</v>
      </c>
      <c r="H320" s="127">
        <f t="shared" si="555"/>
        <v>2750000</v>
      </c>
      <c r="I320" s="127">
        <f t="shared" ref="I320:J320" si="556">SUM(I321:I322)</f>
        <v>2650000</v>
      </c>
      <c r="J320" s="127">
        <f t="shared" si="556"/>
        <v>2750000</v>
      </c>
      <c r="K320" s="127">
        <f t="shared" ref="K320" si="557">SUM(K321:K322)</f>
        <v>-250000</v>
      </c>
      <c r="L320" s="100"/>
      <c r="M320" s="127">
        <f t="shared" ref="M320:O320" si="558">SUM(M321:M322)</f>
        <v>0</v>
      </c>
      <c r="N320" s="127">
        <f t="shared" ref="N320" si="559">SUM(N321:N322)</f>
        <v>-100000</v>
      </c>
      <c r="O320" s="127">
        <f t="shared" si="558"/>
        <v>0</v>
      </c>
      <c r="P320" s="35"/>
      <c r="Q320" s="35"/>
      <c r="R320" s="35"/>
      <c r="S320" s="35"/>
    </row>
    <row r="321" spans="1:19" x14ac:dyDescent="0.2">
      <c r="A321" s="135">
        <v>4221</v>
      </c>
      <c r="B321" s="136" t="s">
        <v>54</v>
      </c>
      <c r="C321" s="141">
        <v>1595000</v>
      </c>
      <c r="D321" s="142"/>
      <c r="E321" s="142">
        <v>1845000</v>
      </c>
      <c r="F321" s="209">
        <v>1595000</v>
      </c>
      <c r="G321" s="209">
        <v>1595000</v>
      </c>
      <c r="H321" s="209">
        <v>1485000</v>
      </c>
      <c r="I321" s="209">
        <v>1485000</v>
      </c>
      <c r="J321" s="209">
        <v>1485000</v>
      </c>
      <c r="K321" s="105">
        <f t="shared" ref="K321:K322" si="560">H321-E321</f>
        <v>-360000</v>
      </c>
      <c r="L321" s="104"/>
      <c r="M321" s="105">
        <f>H321-F321</f>
        <v>-110000</v>
      </c>
      <c r="N321" s="105">
        <f>I321-G321</f>
        <v>-110000</v>
      </c>
      <c r="O321" s="209"/>
      <c r="P321" s="35"/>
      <c r="Q321" s="35"/>
      <c r="R321" s="35"/>
      <c r="S321" s="35"/>
    </row>
    <row r="322" spans="1:19" x14ac:dyDescent="0.2">
      <c r="A322" s="210">
        <v>4222</v>
      </c>
      <c r="B322" s="211" t="s">
        <v>58</v>
      </c>
      <c r="C322" s="141">
        <v>1155000</v>
      </c>
      <c r="D322" s="142"/>
      <c r="E322" s="142">
        <v>1155000</v>
      </c>
      <c r="F322" s="212">
        <v>1155000</v>
      </c>
      <c r="G322" s="212">
        <v>1155000</v>
      </c>
      <c r="H322" s="212">
        <v>1265000</v>
      </c>
      <c r="I322" s="212">
        <f>1265000-100000</f>
        <v>1165000</v>
      </c>
      <c r="J322" s="212">
        <v>1265000</v>
      </c>
      <c r="K322" s="105">
        <f t="shared" si="560"/>
        <v>110000</v>
      </c>
      <c r="L322" s="104"/>
      <c r="M322" s="105">
        <f>H322-F322</f>
        <v>110000</v>
      </c>
      <c r="N322" s="105">
        <f>I322-G322</f>
        <v>10000</v>
      </c>
      <c r="O322" s="212"/>
      <c r="P322" s="35"/>
      <c r="Q322" s="35"/>
      <c r="R322" s="35"/>
      <c r="S322" s="35"/>
    </row>
    <row r="323" spans="1:19" x14ac:dyDescent="0.2">
      <c r="A323" s="151">
        <v>426</v>
      </c>
      <c r="B323" s="152" t="s">
        <v>73</v>
      </c>
      <c r="C323" s="97">
        <f t="shared" ref="C323:O323" si="561">SUM(C324)</f>
        <v>594000</v>
      </c>
      <c r="D323" s="98"/>
      <c r="E323" s="98">
        <f t="shared" si="561"/>
        <v>344000</v>
      </c>
      <c r="F323" s="127">
        <f t="shared" si="561"/>
        <v>594000</v>
      </c>
      <c r="G323" s="127">
        <f t="shared" si="561"/>
        <v>594000</v>
      </c>
      <c r="H323" s="127">
        <f t="shared" si="561"/>
        <v>594000</v>
      </c>
      <c r="I323" s="127">
        <f t="shared" si="561"/>
        <v>344000</v>
      </c>
      <c r="J323" s="127">
        <f t="shared" si="561"/>
        <v>594000</v>
      </c>
      <c r="K323" s="127">
        <f t="shared" si="561"/>
        <v>250000</v>
      </c>
      <c r="L323" s="100"/>
      <c r="M323" s="127">
        <f t="shared" si="561"/>
        <v>0</v>
      </c>
      <c r="N323" s="127">
        <f t="shared" si="561"/>
        <v>-250000</v>
      </c>
      <c r="O323" s="127">
        <f t="shared" si="561"/>
        <v>0</v>
      </c>
      <c r="P323" s="35"/>
      <c r="Q323" s="35"/>
      <c r="R323" s="35"/>
      <c r="S323" s="35"/>
    </row>
    <row r="324" spans="1:19" ht="12.75" customHeight="1" x14ac:dyDescent="0.2">
      <c r="A324" s="135">
        <v>4262</v>
      </c>
      <c r="B324" s="136" t="s">
        <v>74</v>
      </c>
      <c r="C324" s="103">
        <v>594000</v>
      </c>
      <c r="D324" s="104"/>
      <c r="E324" s="104">
        <v>344000</v>
      </c>
      <c r="F324" s="130">
        <v>594000</v>
      </c>
      <c r="G324" s="130">
        <v>594000</v>
      </c>
      <c r="H324" s="130">
        <v>594000</v>
      </c>
      <c r="I324" s="130">
        <f>594000-250000</f>
        <v>344000</v>
      </c>
      <c r="J324" s="130">
        <v>594000</v>
      </c>
      <c r="K324" s="105">
        <f t="shared" ref="K324" si="562">H324-E324</f>
        <v>250000</v>
      </c>
      <c r="L324" s="104"/>
      <c r="M324" s="105">
        <f t="shared" ref="M324" si="563">H324-F324</f>
        <v>0</v>
      </c>
      <c r="N324" s="105">
        <f>I324-G324</f>
        <v>-250000</v>
      </c>
      <c r="O324" s="130"/>
      <c r="P324" s="35"/>
      <c r="Q324" s="35"/>
      <c r="R324" s="35"/>
      <c r="S324" s="35"/>
    </row>
    <row r="325" spans="1:19" ht="1.5" hidden="1" customHeight="1" x14ac:dyDescent="0.2">
      <c r="A325" s="208" t="s">
        <v>75</v>
      </c>
      <c r="B325" s="113" t="s">
        <v>76</v>
      </c>
      <c r="C325" s="114">
        <f t="shared" ref="C325:O325" si="564">SUM(C326)</f>
        <v>0</v>
      </c>
      <c r="D325" s="115"/>
      <c r="E325" s="115">
        <f t="shared" si="564"/>
        <v>0</v>
      </c>
      <c r="F325" s="116">
        <f t="shared" si="564"/>
        <v>0</v>
      </c>
      <c r="G325" s="116">
        <f t="shared" si="564"/>
        <v>0</v>
      </c>
      <c r="H325" s="116">
        <f t="shared" si="564"/>
        <v>0</v>
      </c>
      <c r="I325" s="116">
        <f t="shared" si="564"/>
        <v>0</v>
      </c>
      <c r="J325" s="116">
        <f t="shared" si="564"/>
        <v>0</v>
      </c>
      <c r="K325" s="116">
        <f t="shared" si="564"/>
        <v>0</v>
      </c>
      <c r="L325" s="117"/>
      <c r="M325" s="116">
        <f t="shared" si="564"/>
        <v>0</v>
      </c>
      <c r="N325" s="116">
        <f t="shared" si="564"/>
        <v>0</v>
      </c>
      <c r="O325" s="116">
        <f t="shared" si="564"/>
        <v>0</v>
      </c>
      <c r="P325" s="35"/>
      <c r="Q325" s="35"/>
      <c r="R325" s="35"/>
      <c r="S325" s="35"/>
    </row>
    <row r="326" spans="1:19" ht="18" hidden="1" customHeight="1" x14ac:dyDescent="0.2">
      <c r="A326" s="704" t="s">
        <v>1</v>
      </c>
      <c r="B326" s="704"/>
      <c r="C326" s="118">
        <f t="shared" ref="C326:F326" si="565">SUM(C327,C330,C332,C334)</f>
        <v>0</v>
      </c>
      <c r="D326" s="119"/>
      <c r="E326" s="119">
        <f t="shared" ref="E326" si="566">SUM(E327,E330,E332,E334)</f>
        <v>0</v>
      </c>
      <c r="F326" s="120">
        <f t="shared" si="565"/>
        <v>0</v>
      </c>
      <c r="G326" s="120">
        <f t="shared" ref="G326:H326" si="567">SUM(G327,G330,G332,G334)</f>
        <v>0</v>
      </c>
      <c r="H326" s="120">
        <f t="shared" si="567"/>
        <v>0</v>
      </c>
      <c r="I326" s="120">
        <f t="shared" ref="I326:J326" si="568">SUM(I327,I330,I332,I334)</f>
        <v>0</v>
      </c>
      <c r="J326" s="120">
        <f t="shared" si="568"/>
        <v>0</v>
      </c>
      <c r="K326" s="120">
        <f t="shared" ref="K326" si="569">SUM(K327,K330,K332,K334)</f>
        <v>0</v>
      </c>
      <c r="L326" s="121"/>
      <c r="M326" s="120">
        <f t="shared" ref="M326:O326" si="570">SUM(M327,M330,M332,M334)</f>
        <v>0</v>
      </c>
      <c r="N326" s="120">
        <f t="shared" ref="N326" si="571">SUM(N327,N330,N332,N334)</f>
        <v>0</v>
      </c>
      <c r="O326" s="120">
        <f t="shared" si="570"/>
        <v>0</v>
      </c>
      <c r="P326" s="35"/>
      <c r="Q326" s="35"/>
      <c r="R326" s="35"/>
      <c r="S326" s="35"/>
    </row>
    <row r="327" spans="1:19" hidden="1" x14ac:dyDescent="0.2">
      <c r="A327" s="151">
        <v>321</v>
      </c>
      <c r="B327" s="126" t="s">
        <v>12</v>
      </c>
      <c r="C327" s="97">
        <f t="shared" ref="C327:F327" si="572">SUM(C328:C329)</f>
        <v>0</v>
      </c>
      <c r="D327" s="98"/>
      <c r="E327" s="98">
        <f t="shared" ref="E327" si="573">SUM(E328:E329)</f>
        <v>0</v>
      </c>
      <c r="F327" s="127">
        <f t="shared" si="572"/>
        <v>0</v>
      </c>
      <c r="G327" s="127">
        <f t="shared" ref="G327:H327" si="574">SUM(G328:G329)</f>
        <v>0</v>
      </c>
      <c r="H327" s="127">
        <f t="shared" si="574"/>
        <v>0</v>
      </c>
      <c r="I327" s="127">
        <f t="shared" ref="I327:J327" si="575">SUM(I328:I329)</f>
        <v>0</v>
      </c>
      <c r="J327" s="127">
        <f t="shared" si="575"/>
        <v>0</v>
      </c>
      <c r="K327" s="127">
        <f t="shared" ref="K327" si="576">SUM(K328:K329)</f>
        <v>0</v>
      </c>
      <c r="L327" s="100"/>
      <c r="M327" s="127">
        <f t="shared" ref="M327:O327" si="577">SUM(M328:M329)</f>
        <v>0</v>
      </c>
      <c r="N327" s="127">
        <f t="shared" ref="N327" si="578">SUM(N328:N329)</f>
        <v>0</v>
      </c>
      <c r="O327" s="127">
        <f t="shared" si="577"/>
        <v>0</v>
      </c>
      <c r="P327" s="35"/>
      <c r="Q327" s="35"/>
      <c r="R327" s="35"/>
      <c r="S327" s="35"/>
    </row>
    <row r="328" spans="1:19" hidden="1" x14ac:dyDescent="0.2">
      <c r="A328" s="135">
        <v>3211</v>
      </c>
      <c r="B328" s="136" t="s">
        <v>13</v>
      </c>
      <c r="C328" s="103"/>
      <c r="D328" s="104"/>
      <c r="E328" s="104"/>
      <c r="F328" s="130"/>
      <c r="G328" s="130"/>
      <c r="H328" s="130"/>
      <c r="I328" s="130"/>
      <c r="J328" s="130"/>
      <c r="K328" s="130"/>
      <c r="L328" s="111"/>
      <c r="M328" s="130"/>
      <c r="N328" s="130"/>
      <c r="O328" s="130"/>
      <c r="P328" s="35"/>
      <c r="Q328" s="35"/>
      <c r="R328" s="35"/>
      <c r="S328" s="35"/>
    </row>
    <row r="329" spans="1:19" hidden="1" x14ac:dyDescent="0.2">
      <c r="A329" s="135">
        <v>3212</v>
      </c>
      <c r="B329" s="129" t="s">
        <v>14</v>
      </c>
      <c r="C329" s="103"/>
      <c r="D329" s="104"/>
      <c r="E329" s="104"/>
      <c r="F329" s="130"/>
      <c r="G329" s="130"/>
      <c r="H329" s="130"/>
      <c r="I329" s="130"/>
      <c r="J329" s="130"/>
      <c r="K329" s="130"/>
      <c r="L329" s="111"/>
      <c r="M329" s="130"/>
      <c r="N329" s="130"/>
      <c r="O329" s="130"/>
      <c r="P329" s="35"/>
      <c r="Q329" s="35"/>
      <c r="R329" s="35"/>
      <c r="S329" s="35"/>
    </row>
    <row r="330" spans="1:19" hidden="1" x14ac:dyDescent="0.2">
      <c r="A330" s="151">
        <v>322</v>
      </c>
      <c r="B330" s="126" t="s">
        <v>16</v>
      </c>
      <c r="C330" s="97">
        <f t="shared" ref="C330:O330" si="579">SUM(C331)</f>
        <v>0</v>
      </c>
      <c r="D330" s="98"/>
      <c r="E330" s="98">
        <f t="shared" si="579"/>
        <v>0</v>
      </c>
      <c r="F330" s="127">
        <f t="shared" si="579"/>
        <v>0</v>
      </c>
      <c r="G330" s="127">
        <f t="shared" si="579"/>
        <v>0</v>
      </c>
      <c r="H330" s="127">
        <f t="shared" si="579"/>
        <v>0</v>
      </c>
      <c r="I330" s="127">
        <f t="shared" si="579"/>
        <v>0</v>
      </c>
      <c r="J330" s="127">
        <f t="shared" si="579"/>
        <v>0</v>
      </c>
      <c r="K330" s="127">
        <f t="shared" si="579"/>
        <v>0</v>
      </c>
      <c r="L330" s="100"/>
      <c r="M330" s="127">
        <f t="shared" si="579"/>
        <v>0</v>
      </c>
      <c r="N330" s="127">
        <f t="shared" si="579"/>
        <v>0</v>
      </c>
      <c r="O330" s="127">
        <f t="shared" si="579"/>
        <v>0</v>
      </c>
      <c r="P330" s="35"/>
      <c r="Q330" s="35"/>
      <c r="R330" s="35"/>
      <c r="S330" s="35"/>
    </row>
    <row r="331" spans="1:19" hidden="1" x14ac:dyDescent="0.2">
      <c r="A331" s="135">
        <v>3221</v>
      </c>
      <c r="B331" s="136" t="s">
        <v>17</v>
      </c>
      <c r="C331" s="103"/>
      <c r="D331" s="104"/>
      <c r="E331" s="104"/>
      <c r="F331" s="130"/>
      <c r="G331" s="130"/>
      <c r="H331" s="130"/>
      <c r="I331" s="130"/>
      <c r="J331" s="130"/>
      <c r="K331" s="130"/>
      <c r="L331" s="111"/>
      <c r="M331" s="130"/>
      <c r="N331" s="130"/>
      <c r="O331" s="130"/>
      <c r="P331" s="35"/>
      <c r="Q331" s="35"/>
      <c r="R331" s="35"/>
      <c r="S331" s="35"/>
    </row>
    <row r="332" spans="1:19" hidden="1" x14ac:dyDescent="0.2">
      <c r="A332" s="151">
        <v>323</v>
      </c>
      <c r="B332" s="126" t="s">
        <v>23</v>
      </c>
      <c r="C332" s="97">
        <f t="shared" ref="C332:O332" si="580">SUM(C333)</f>
        <v>0</v>
      </c>
      <c r="D332" s="98"/>
      <c r="E332" s="98">
        <f t="shared" si="580"/>
        <v>0</v>
      </c>
      <c r="F332" s="127">
        <f t="shared" si="580"/>
        <v>0</v>
      </c>
      <c r="G332" s="127">
        <f t="shared" si="580"/>
        <v>0</v>
      </c>
      <c r="H332" s="127">
        <f t="shared" si="580"/>
        <v>0</v>
      </c>
      <c r="I332" s="127">
        <f t="shared" si="580"/>
        <v>0</v>
      </c>
      <c r="J332" s="127">
        <f t="shared" si="580"/>
        <v>0</v>
      </c>
      <c r="K332" s="127">
        <f t="shared" si="580"/>
        <v>0</v>
      </c>
      <c r="L332" s="100"/>
      <c r="M332" s="127">
        <f t="shared" si="580"/>
        <v>0</v>
      </c>
      <c r="N332" s="127">
        <f t="shared" si="580"/>
        <v>0</v>
      </c>
      <c r="O332" s="127">
        <f t="shared" si="580"/>
        <v>0</v>
      </c>
      <c r="P332" s="35"/>
      <c r="Q332" s="35"/>
      <c r="R332" s="35"/>
      <c r="S332" s="35"/>
    </row>
    <row r="333" spans="1:19" hidden="1" x14ac:dyDescent="0.2">
      <c r="A333" s="135">
        <v>3236</v>
      </c>
      <c r="B333" s="136" t="s">
        <v>29</v>
      </c>
      <c r="C333" s="103"/>
      <c r="D333" s="104"/>
      <c r="E333" s="104"/>
      <c r="F333" s="130"/>
      <c r="G333" s="130"/>
      <c r="H333" s="130"/>
      <c r="I333" s="130"/>
      <c r="J333" s="130"/>
      <c r="K333" s="130"/>
      <c r="L333" s="111"/>
      <c r="M333" s="130"/>
      <c r="N333" s="130"/>
      <c r="O333" s="130"/>
      <c r="P333" s="35"/>
      <c r="Q333" s="35"/>
      <c r="R333" s="35"/>
      <c r="S333" s="35"/>
    </row>
    <row r="334" spans="1:19" hidden="1" x14ac:dyDescent="0.2">
      <c r="A334" s="125">
        <v>329</v>
      </c>
      <c r="B334" s="126" t="s">
        <v>33</v>
      </c>
      <c r="C334" s="97">
        <f t="shared" ref="C334:F334" si="581">SUM(C335:C337)</f>
        <v>0</v>
      </c>
      <c r="D334" s="98"/>
      <c r="E334" s="98">
        <f t="shared" ref="E334" si="582">SUM(E335:E337)</f>
        <v>0</v>
      </c>
      <c r="F334" s="127">
        <f t="shared" si="581"/>
        <v>0</v>
      </c>
      <c r="G334" s="127">
        <f t="shared" ref="G334:H334" si="583">SUM(G335:G337)</f>
        <v>0</v>
      </c>
      <c r="H334" s="127">
        <f t="shared" si="583"/>
        <v>0</v>
      </c>
      <c r="I334" s="127">
        <f t="shared" ref="I334:J334" si="584">SUM(I335:I337)</f>
        <v>0</v>
      </c>
      <c r="J334" s="127">
        <f t="shared" si="584"/>
        <v>0</v>
      </c>
      <c r="K334" s="127">
        <f t="shared" ref="K334" si="585">SUM(K335:K337)</f>
        <v>0</v>
      </c>
      <c r="L334" s="100"/>
      <c r="M334" s="127">
        <f t="shared" ref="M334:O334" si="586">SUM(M335:M337)</f>
        <v>0</v>
      </c>
      <c r="N334" s="127">
        <f t="shared" ref="N334" si="587">SUM(N335:N337)</f>
        <v>0</v>
      </c>
      <c r="O334" s="127">
        <f t="shared" si="586"/>
        <v>0</v>
      </c>
      <c r="P334" s="35"/>
      <c r="Q334" s="35"/>
      <c r="R334" s="35"/>
      <c r="S334" s="35"/>
    </row>
    <row r="335" spans="1:19" hidden="1" x14ac:dyDescent="0.2">
      <c r="A335" s="128">
        <v>3292</v>
      </c>
      <c r="B335" s="129" t="s">
        <v>35</v>
      </c>
      <c r="C335" s="103"/>
      <c r="D335" s="104"/>
      <c r="E335" s="104"/>
      <c r="F335" s="130"/>
      <c r="G335" s="130"/>
      <c r="H335" s="130"/>
      <c r="I335" s="130"/>
      <c r="J335" s="130"/>
      <c r="K335" s="130"/>
      <c r="L335" s="111"/>
      <c r="M335" s="130"/>
      <c r="N335" s="130"/>
      <c r="O335" s="130"/>
      <c r="P335" s="35"/>
      <c r="Q335" s="35"/>
      <c r="R335" s="35"/>
      <c r="S335" s="35"/>
    </row>
    <row r="336" spans="1:19" hidden="1" x14ac:dyDescent="0.2">
      <c r="A336" s="135">
        <v>3293</v>
      </c>
      <c r="B336" s="136" t="s">
        <v>36</v>
      </c>
      <c r="C336" s="103"/>
      <c r="D336" s="104"/>
      <c r="E336" s="104"/>
      <c r="F336" s="130"/>
      <c r="G336" s="130"/>
      <c r="H336" s="130"/>
      <c r="I336" s="130"/>
      <c r="J336" s="130"/>
      <c r="K336" s="130"/>
      <c r="L336" s="111"/>
      <c r="M336" s="130"/>
      <c r="N336" s="130"/>
      <c r="O336" s="130"/>
      <c r="P336" s="35"/>
      <c r="Q336" s="35"/>
      <c r="R336" s="35"/>
      <c r="S336" s="35"/>
    </row>
    <row r="337" spans="1:19" hidden="1" x14ac:dyDescent="0.2">
      <c r="A337" s="128">
        <v>3299</v>
      </c>
      <c r="B337" s="129" t="s">
        <v>33</v>
      </c>
      <c r="C337" s="103"/>
      <c r="D337" s="104"/>
      <c r="E337" s="104"/>
      <c r="F337" s="130"/>
      <c r="G337" s="130"/>
      <c r="H337" s="130"/>
      <c r="I337" s="130"/>
      <c r="J337" s="130"/>
      <c r="K337" s="130"/>
      <c r="L337" s="111"/>
      <c r="M337" s="130"/>
      <c r="N337" s="130"/>
      <c r="O337" s="130"/>
      <c r="P337" s="35"/>
      <c r="Q337" s="35"/>
      <c r="R337" s="35"/>
      <c r="S337" s="35"/>
    </row>
    <row r="338" spans="1:19" ht="24.95" customHeight="1" x14ac:dyDescent="0.2">
      <c r="A338" s="208" t="s">
        <v>191</v>
      </c>
      <c r="B338" s="113" t="s">
        <v>275</v>
      </c>
      <c r="C338" s="114">
        <f t="shared" ref="C338:O338" si="588">SUM(C339)</f>
        <v>65000</v>
      </c>
      <c r="D338" s="115"/>
      <c r="E338" s="115">
        <f t="shared" si="588"/>
        <v>25000</v>
      </c>
      <c r="F338" s="116">
        <f t="shared" si="588"/>
        <v>0</v>
      </c>
      <c r="G338" s="116">
        <f t="shared" si="588"/>
        <v>0</v>
      </c>
      <c r="H338" s="473">
        <f t="shared" si="588"/>
        <v>28000</v>
      </c>
      <c r="I338" s="473">
        <f t="shared" si="588"/>
        <v>29000</v>
      </c>
      <c r="J338" s="116">
        <f t="shared" si="588"/>
        <v>0</v>
      </c>
      <c r="K338" s="116">
        <f t="shared" si="588"/>
        <v>0</v>
      </c>
      <c r="L338" s="117"/>
      <c r="M338" s="116">
        <f t="shared" si="588"/>
        <v>25000</v>
      </c>
      <c r="N338" s="116">
        <f t="shared" si="588"/>
        <v>25000</v>
      </c>
      <c r="O338" s="116">
        <f t="shared" si="588"/>
        <v>0</v>
      </c>
      <c r="P338" s="159"/>
      <c r="Q338" s="35"/>
      <c r="R338" s="35"/>
      <c r="S338" s="35"/>
    </row>
    <row r="339" spans="1:19" ht="18" customHeight="1" x14ac:dyDescent="0.2">
      <c r="A339" s="704" t="s">
        <v>77</v>
      </c>
      <c r="B339" s="704"/>
      <c r="C339" s="118">
        <f>SUM(C340,C343)</f>
        <v>65000</v>
      </c>
      <c r="D339" s="119"/>
      <c r="E339" s="119">
        <f t="shared" ref="E339:N339" si="589">SUM(E340,E343)</f>
        <v>25000</v>
      </c>
      <c r="F339" s="120">
        <f t="shared" si="589"/>
        <v>0</v>
      </c>
      <c r="G339" s="120">
        <f t="shared" si="589"/>
        <v>0</v>
      </c>
      <c r="H339" s="120">
        <f t="shared" si="589"/>
        <v>28000</v>
      </c>
      <c r="I339" s="120">
        <f t="shared" si="589"/>
        <v>29000</v>
      </c>
      <c r="J339" s="120">
        <f t="shared" si="589"/>
        <v>0</v>
      </c>
      <c r="K339" s="233">
        <f t="shared" si="589"/>
        <v>0</v>
      </c>
      <c r="L339" s="234"/>
      <c r="M339" s="233">
        <f t="shared" si="589"/>
        <v>25000</v>
      </c>
      <c r="N339" s="233">
        <f t="shared" si="589"/>
        <v>25000</v>
      </c>
      <c r="O339" s="233">
        <f t="shared" ref="O339" si="590">SUM(O340,O343)</f>
        <v>0</v>
      </c>
      <c r="P339" s="159"/>
      <c r="Q339" s="35"/>
      <c r="R339" s="35"/>
      <c r="S339" s="35"/>
    </row>
    <row r="340" spans="1:19" ht="18" customHeight="1" x14ac:dyDescent="0.2">
      <c r="A340" s="418" t="s">
        <v>322</v>
      </c>
      <c r="B340" s="414" t="s">
        <v>323</v>
      </c>
      <c r="C340" s="419">
        <f>SUM(C341)</f>
        <v>23000</v>
      </c>
      <c r="D340" s="420"/>
      <c r="E340" s="420">
        <f t="shared" ref="E340:N340" si="591">SUM(E341)</f>
        <v>6000</v>
      </c>
      <c r="F340" s="421">
        <f t="shared" si="591"/>
        <v>0</v>
      </c>
      <c r="G340" s="421">
        <f t="shared" si="591"/>
        <v>0</v>
      </c>
      <c r="H340" s="421">
        <f t="shared" si="591"/>
        <v>5000</v>
      </c>
      <c r="I340" s="421">
        <f t="shared" si="591"/>
        <v>5000</v>
      </c>
      <c r="J340" s="421">
        <f t="shared" si="591"/>
        <v>0</v>
      </c>
      <c r="K340" s="123">
        <f t="shared" si="591"/>
        <v>-1000</v>
      </c>
      <c r="L340" s="124"/>
      <c r="M340" s="123">
        <f t="shared" si="591"/>
        <v>5000</v>
      </c>
      <c r="N340" s="123">
        <f t="shared" si="591"/>
        <v>5000</v>
      </c>
      <c r="O340" s="123">
        <f t="shared" ref="O340" si="592">SUM(O341)</f>
        <v>0</v>
      </c>
      <c r="P340" s="159"/>
      <c r="Q340" s="35"/>
      <c r="R340" s="35"/>
      <c r="S340" s="35"/>
    </row>
    <row r="341" spans="1:19" x14ac:dyDescent="0.2">
      <c r="A341" s="125">
        <v>311</v>
      </c>
      <c r="B341" s="126" t="s">
        <v>4</v>
      </c>
      <c r="C341" s="97">
        <f t="shared" ref="C341:O341" si="593">SUM(C342)</f>
        <v>23000</v>
      </c>
      <c r="D341" s="98"/>
      <c r="E341" s="98">
        <f t="shared" si="593"/>
        <v>6000</v>
      </c>
      <c r="F341" s="127">
        <f t="shared" si="593"/>
        <v>0</v>
      </c>
      <c r="G341" s="127">
        <f t="shared" si="593"/>
        <v>0</v>
      </c>
      <c r="H341" s="127">
        <f t="shared" si="593"/>
        <v>5000</v>
      </c>
      <c r="I341" s="127">
        <f t="shared" si="593"/>
        <v>5000</v>
      </c>
      <c r="J341" s="127">
        <f t="shared" si="593"/>
        <v>0</v>
      </c>
      <c r="K341" s="127">
        <f t="shared" si="593"/>
        <v>-1000</v>
      </c>
      <c r="L341" s="100"/>
      <c r="M341" s="127">
        <f t="shared" si="593"/>
        <v>5000</v>
      </c>
      <c r="N341" s="127">
        <f t="shared" si="593"/>
        <v>5000</v>
      </c>
      <c r="O341" s="127">
        <f t="shared" si="593"/>
        <v>0</v>
      </c>
      <c r="P341" s="159"/>
      <c r="Q341" s="35"/>
      <c r="R341" s="35"/>
      <c r="S341" s="35"/>
    </row>
    <row r="342" spans="1:19" x14ac:dyDescent="0.2">
      <c r="A342" s="128">
        <v>3111</v>
      </c>
      <c r="B342" s="129" t="s">
        <v>5</v>
      </c>
      <c r="C342" s="103">
        <v>23000</v>
      </c>
      <c r="D342" s="104"/>
      <c r="E342" s="104">
        <v>6000</v>
      </c>
      <c r="F342" s="130"/>
      <c r="G342" s="130"/>
      <c r="H342" s="130">
        <v>5000</v>
      </c>
      <c r="I342" s="130">
        <v>5000</v>
      </c>
      <c r="J342" s="130"/>
      <c r="K342" s="105">
        <f t="shared" ref="K342" si="594">H342-E342</f>
        <v>-1000</v>
      </c>
      <c r="L342" s="104"/>
      <c r="M342" s="105">
        <f>H342-F342</f>
        <v>5000</v>
      </c>
      <c r="N342" s="105">
        <f>I342-G342</f>
        <v>5000</v>
      </c>
      <c r="O342" s="130"/>
      <c r="P342" s="159"/>
      <c r="Q342" s="35"/>
      <c r="R342" s="35"/>
      <c r="S342" s="35"/>
    </row>
    <row r="343" spans="1:19" ht="15" customHeight="1" x14ac:dyDescent="0.2">
      <c r="A343" s="418" t="s">
        <v>324</v>
      </c>
      <c r="B343" s="414" t="s">
        <v>325</v>
      </c>
      <c r="C343" s="419">
        <f t="shared" ref="C343:G343" si="595">SUM(C344,C346,C349,C356,C358)</f>
        <v>42000</v>
      </c>
      <c r="D343" s="420">
        <f t="shared" si="595"/>
        <v>0</v>
      </c>
      <c r="E343" s="420">
        <f t="shared" si="595"/>
        <v>19000</v>
      </c>
      <c r="F343" s="421">
        <f t="shared" si="595"/>
        <v>0</v>
      </c>
      <c r="G343" s="421">
        <f t="shared" si="595"/>
        <v>0</v>
      </c>
      <c r="H343" s="421">
        <f>SUM(H344,H346,H349,H356,H358)</f>
        <v>23000</v>
      </c>
      <c r="I343" s="421">
        <f t="shared" ref="I343:N343" si="596">SUM(I344,I346,I349,I356,I358)</f>
        <v>24000</v>
      </c>
      <c r="J343" s="421">
        <f t="shared" si="596"/>
        <v>0</v>
      </c>
      <c r="K343" s="123">
        <f t="shared" si="596"/>
        <v>1000</v>
      </c>
      <c r="L343" s="124">
        <f t="shared" si="596"/>
        <v>0</v>
      </c>
      <c r="M343" s="123">
        <f t="shared" si="596"/>
        <v>20000</v>
      </c>
      <c r="N343" s="123">
        <f t="shared" si="596"/>
        <v>20000</v>
      </c>
      <c r="O343" s="123">
        <f t="shared" ref="O343" si="597">SUM(O344,O349,O356)</f>
        <v>0</v>
      </c>
      <c r="P343" s="159"/>
      <c r="Q343" s="35"/>
      <c r="R343" s="35"/>
      <c r="S343" s="35"/>
    </row>
    <row r="344" spans="1:19" x14ac:dyDescent="0.2">
      <c r="A344" s="125">
        <v>321</v>
      </c>
      <c r="B344" s="126" t="s">
        <v>12</v>
      </c>
      <c r="C344" s="97">
        <f t="shared" ref="C344:O344" si="598">SUM(C345)</f>
        <v>16000</v>
      </c>
      <c r="D344" s="98"/>
      <c r="E344" s="98">
        <f t="shared" si="598"/>
        <v>2000</v>
      </c>
      <c r="F344" s="127">
        <f t="shared" si="598"/>
        <v>0</v>
      </c>
      <c r="G344" s="127">
        <f t="shared" si="598"/>
        <v>0</v>
      </c>
      <c r="H344" s="127">
        <f t="shared" si="598"/>
        <v>3000</v>
      </c>
      <c r="I344" s="127">
        <f t="shared" si="598"/>
        <v>2000</v>
      </c>
      <c r="J344" s="127">
        <f t="shared" si="598"/>
        <v>0</v>
      </c>
      <c r="K344" s="127">
        <f t="shared" si="598"/>
        <v>1000</v>
      </c>
      <c r="L344" s="100"/>
      <c r="M344" s="127">
        <f t="shared" si="598"/>
        <v>3000</v>
      </c>
      <c r="N344" s="127">
        <f t="shared" si="598"/>
        <v>2000</v>
      </c>
      <c r="O344" s="127">
        <f t="shared" si="598"/>
        <v>0</v>
      </c>
      <c r="P344" s="159"/>
      <c r="Q344" s="35"/>
      <c r="R344" s="35"/>
      <c r="S344" s="35"/>
    </row>
    <row r="345" spans="1:19" ht="15.75" customHeight="1" x14ac:dyDescent="0.2">
      <c r="A345" s="128">
        <v>3211</v>
      </c>
      <c r="B345" s="129" t="s">
        <v>13</v>
      </c>
      <c r="C345" s="103">
        <v>16000</v>
      </c>
      <c r="D345" s="104"/>
      <c r="E345" s="104">
        <v>2000</v>
      </c>
      <c r="F345" s="130"/>
      <c r="G345" s="130"/>
      <c r="H345" s="130">
        <v>3000</v>
      </c>
      <c r="I345" s="130">
        <v>2000</v>
      </c>
      <c r="J345" s="130"/>
      <c r="K345" s="105">
        <f t="shared" ref="K345" si="599">H345-E345</f>
        <v>1000</v>
      </c>
      <c r="L345" s="104"/>
      <c r="M345" s="105">
        <f>H345-F345</f>
        <v>3000</v>
      </c>
      <c r="N345" s="105">
        <f>I345-G345</f>
        <v>2000</v>
      </c>
      <c r="O345" s="130"/>
      <c r="P345" s="159"/>
      <c r="Q345" s="35"/>
      <c r="R345" s="35"/>
      <c r="S345" s="35"/>
    </row>
    <row r="346" spans="1:19" ht="13.5" customHeight="1" x14ac:dyDescent="0.2">
      <c r="A346" s="151">
        <v>322</v>
      </c>
      <c r="B346" s="126" t="s">
        <v>16</v>
      </c>
      <c r="C346" s="97">
        <f t="shared" ref="C346:G346" si="600">SUM(C347:C348)</f>
        <v>0</v>
      </c>
      <c r="D346" s="98"/>
      <c r="E346" s="98">
        <f t="shared" ref="E346" si="601">SUM(E347:E348)</f>
        <v>0</v>
      </c>
      <c r="F346" s="127">
        <f t="shared" si="600"/>
        <v>0</v>
      </c>
      <c r="G346" s="127">
        <f t="shared" si="600"/>
        <v>0</v>
      </c>
      <c r="H346" s="127">
        <f t="shared" ref="H346:I346" si="602">SUM(H347:H348)</f>
        <v>1000</v>
      </c>
      <c r="I346" s="127">
        <f t="shared" si="602"/>
        <v>0</v>
      </c>
      <c r="J346" s="127">
        <f t="shared" ref="J346:K346" si="603">SUM(J347:J348)</f>
        <v>0</v>
      </c>
      <c r="K346" s="127">
        <f t="shared" si="603"/>
        <v>1000</v>
      </c>
      <c r="L346" s="100"/>
      <c r="M346" s="127">
        <f t="shared" ref="M346:O346" si="604">SUM(M347:M348)</f>
        <v>1000</v>
      </c>
      <c r="N346" s="127">
        <f t="shared" ref="N346" si="605">SUM(N347:N348)</f>
        <v>0</v>
      </c>
      <c r="O346" s="127">
        <f t="shared" si="604"/>
        <v>0</v>
      </c>
      <c r="P346" s="159"/>
      <c r="Q346" s="35"/>
      <c r="R346" s="35"/>
      <c r="S346" s="35"/>
    </row>
    <row r="347" spans="1:19" ht="14.25" customHeight="1" x14ac:dyDescent="0.2">
      <c r="A347" s="235">
        <v>3221</v>
      </c>
      <c r="B347" s="236" t="s">
        <v>17</v>
      </c>
      <c r="C347" s="103"/>
      <c r="D347" s="104"/>
      <c r="E347" s="104"/>
      <c r="F347" s="237"/>
      <c r="G347" s="237"/>
      <c r="H347" s="237">
        <v>1000</v>
      </c>
      <c r="I347" s="237"/>
      <c r="J347" s="237"/>
      <c r="K347" s="105">
        <f t="shared" ref="K347" si="606">H347-E347</f>
        <v>1000</v>
      </c>
      <c r="L347" s="104"/>
      <c r="M347" s="105">
        <f t="shared" ref="M347" si="607">H347-F347</f>
        <v>1000</v>
      </c>
      <c r="N347" s="105">
        <f t="shared" ref="N347" si="608">I347-G347</f>
        <v>0</v>
      </c>
      <c r="O347" s="237"/>
      <c r="P347" s="159"/>
      <c r="Q347" s="35"/>
      <c r="R347" s="35"/>
      <c r="S347" s="35"/>
    </row>
    <row r="348" spans="1:19" ht="18" hidden="1" customHeight="1" x14ac:dyDescent="0.2">
      <c r="A348" s="185">
        <v>3224</v>
      </c>
      <c r="B348" s="168" t="s">
        <v>112</v>
      </c>
      <c r="C348" s="103"/>
      <c r="D348" s="104"/>
      <c r="E348" s="104"/>
      <c r="F348" s="148"/>
      <c r="G348" s="148"/>
      <c r="H348" s="148"/>
      <c r="I348" s="148"/>
      <c r="J348" s="148"/>
      <c r="K348" s="148"/>
      <c r="L348" s="111"/>
      <c r="M348" s="148"/>
      <c r="N348" s="148"/>
      <c r="O348" s="148"/>
      <c r="P348" s="159"/>
      <c r="Q348" s="35"/>
      <c r="R348" s="35"/>
      <c r="S348" s="35"/>
    </row>
    <row r="349" spans="1:19" x14ac:dyDescent="0.2">
      <c r="A349" s="151">
        <v>323</v>
      </c>
      <c r="B349" s="126" t="s">
        <v>23</v>
      </c>
      <c r="C349" s="97">
        <f>SUM(C350:C355)</f>
        <v>22000</v>
      </c>
      <c r="D349" s="98"/>
      <c r="E349" s="98">
        <f t="shared" ref="E349:N349" si="609">SUM(E350:E355)</f>
        <v>13000</v>
      </c>
      <c r="F349" s="127">
        <f t="shared" si="609"/>
        <v>0</v>
      </c>
      <c r="G349" s="127">
        <f t="shared" si="609"/>
        <v>0</v>
      </c>
      <c r="H349" s="127">
        <f t="shared" si="609"/>
        <v>14000</v>
      </c>
      <c r="I349" s="127">
        <f t="shared" si="609"/>
        <v>14000</v>
      </c>
      <c r="J349" s="127">
        <f t="shared" si="609"/>
        <v>0</v>
      </c>
      <c r="K349" s="127">
        <f t="shared" si="609"/>
        <v>1000</v>
      </c>
      <c r="L349" s="100"/>
      <c r="M349" s="127">
        <f t="shared" si="609"/>
        <v>14000</v>
      </c>
      <c r="N349" s="127">
        <f t="shared" si="609"/>
        <v>14000</v>
      </c>
      <c r="O349" s="127">
        <f t="shared" ref="O349" si="610">SUM(O350:O353)</f>
        <v>0</v>
      </c>
      <c r="P349" s="159"/>
      <c r="Q349" s="35"/>
      <c r="R349" s="35"/>
      <c r="S349" s="35"/>
    </row>
    <row r="350" spans="1:19" x14ac:dyDescent="0.2">
      <c r="A350" s="210">
        <v>3231</v>
      </c>
      <c r="B350" s="150" t="s">
        <v>24</v>
      </c>
      <c r="C350" s="103">
        <v>1000</v>
      </c>
      <c r="D350" s="104"/>
      <c r="E350" s="104">
        <v>1000</v>
      </c>
      <c r="F350" s="148"/>
      <c r="G350" s="148"/>
      <c r="H350" s="148"/>
      <c r="I350" s="148"/>
      <c r="J350" s="148"/>
      <c r="K350" s="105">
        <f t="shared" ref="K350:K355" si="611">H350-E350</f>
        <v>-1000</v>
      </c>
      <c r="L350" s="104"/>
      <c r="M350" s="105">
        <f t="shared" ref="M350:N355" si="612">H350-F350</f>
        <v>0</v>
      </c>
      <c r="N350" s="105">
        <f t="shared" si="612"/>
        <v>0</v>
      </c>
      <c r="O350" s="148"/>
      <c r="P350" s="159"/>
      <c r="Q350" s="35"/>
      <c r="R350" s="35"/>
      <c r="S350" s="35"/>
    </row>
    <row r="351" spans="1:19" x14ac:dyDescent="0.2">
      <c r="A351" s="235">
        <v>3233</v>
      </c>
      <c r="B351" s="236" t="s">
        <v>26</v>
      </c>
      <c r="C351" s="103"/>
      <c r="D351" s="104"/>
      <c r="E351" s="104">
        <v>4000</v>
      </c>
      <c r="F351" s="237"/>
      <c r="G351" s="237"/>
      <c r="H351" s="237">
        <v>3000</v>
      </c>
      <c r="I351" s="237">
        <v>6000</v>
      </c>
      <c r="J351" s="237"/>
      <c r="K351" s="105">
        <f t="shared" si="611"/>
        <v>-1000</v>
      </c>
      <c r="L351" s="104"/>
      <c r="M351" s="105">
        <f t="shared" si="612"/>
        <v>3000</v>
      </c>
      <c r="N351" s="105">
        <f t="shared" si="612"/>
        <v>6000</v>
      </c>
      <c r="O351" s="237"/>
      <c r="P351" s="159"/>
      <c r="Q351" s="35"/>
      <c r="R351" s="35"/>
      <c r="S351" s="35"/>
    </row>
    <row r="352" spans="1:19" x14ac:dyDescent="0.2">
      <c r="A352" s="210">
        <v>3235</v>
      </c>
      <c r="B352" s="150" t="s">
        <v>28</v>
      </c>
      <c r="C352" s="103">
        <v>1000</v>
      </c>
      <c r="D352" s="104"/>
      <c r="E352" s="104">
        <v>1000</v>
      </c>
      <c r="F352" s="148"/>
      <c r="G352" s="148"/>
      <c r="H352" s="148">
        <v>1000</v>
      </c>
      <c r="I352" s="148">
        <v>2000</v>
      </c>
      <c r="J352" s="148"/>
      <c r="K352" s="105">
        <f t="shared" si="611"/>
        <v>0</v>
      </c>
      <c r="L352" s="104"/>
      <c r="M352" s="105">
        <f t="shared" si="612"/>
        <v>1000</v>
      </c>
      <c r="N352" s="105">
        <f t="shared" si="612"/>
        <v>2000</v>
      </c>
      <c r="O352" s="148"/>
      <c r="P352" s="159"/>
      <c r="Q352" s="35"/>
      <c r="R352" s="35"/>
      <c r="S352" s="35"/>
    </row>
    <row r="353" spans="1:19" x14ac:dyDescent="0.2">
      <c r="A353" s="135">
        <v>3237</v>
      </c>
      <c r="B353" s="136" t="s">
        <v>30</v>
      </c>
      <c r="C353" s="141">
        <v>3000</v>
      </c>
      <c r="D353" s="142"/>
      <c r="E353" s="142">
        <v>0</v>
      </c>
      <c r="F353" s="143"/>
      <c r="G353" s="143"/>
      <c r="H353" s="143">
        <v>3000</v>
      </c>
      <c r="I353" s="143">
        <v>0</v>
      </c>
      <c r="J353" s="143"/>
      <c r="K353" s="105">
        <f t="shared" si="611"/>
        <v>3000</v>
      </c>
      <c r="L353" s="104"/>
      <c r="M353" s="105">
        <f t="shared" si="612"/>
        <v>3000</v>
      </c>
      <c r="N353" s="105">
        <f t="shared" si="612"/>
        <v>0</v>
      </c>
      <c r="O353" s="143"/>
      <c r="P353" s="159"/>
      <c r="Q353" s="35"/>
      <c r="R353" s="35"/>
      <c r="S353" s="35"/>
    </row>
    <row r="354" spans="1:19" x14ac:dyDescent="0.2">
      <c r="A354" s="238">
        <v>3238</v>
      </c>
      <c r="B354" s="239" t="s">
        <v>70</v>
      </c>
      <c r="C354" s="141"/>
      <c r="D354" s="142"/>
      <c r="E354" s="142"/>
      <c r="F354" s="145"/>
      <c r="G354" s="145"/>
      <c r="H354" s="145"/>
      <c r="I354" s="145">
        <v>6000</v>
      </c>
      <c r="J354" s="145"/>
      <c r="K354" s="105">
        <f t="shared" si="611"/>
        <v>0</v>
      </c>
      <c r="L354" s="104"/>
      <c r="M354" s="105">
        <f t="shared" si="612"/>
        <v>0</v>
      </c>
      <c r="N354" s="105">
        <f t="shared" si="612"/>
        <v>6000</v>
      </c>
      <c r="O354" s="145"/>
      <c r="P354" s="159"/>
      <c r="Q354" s="35"/>
      <c r="R354" s="35"/>
      <c r="S354" s="35"/>
    </row>
    <row r="355" spans="1:19" x14ac:dyDescent="0.2">
      <c r="A355" s="210">
        <v>3239</v>
      </c>
      <c r="B355" s="211" t="s">
        <v>31</v>
      </c>
      <c r="C355" s="141">
        <v>17000</v>
      </c>
      <c r="D355" s="142"/>
      <c r="E355" s="142">
        <v>7000</v>
      </c>
      <c r="F355" s="212"/>
      <c r="G355" s="212"/>
      <c r="H355" s="212">
        <v>7000</v>
      </c>
      <c r="I355" s="212">
        <v>0</v>
      </c>
      <c r="J355" s="212"/>
      <c r="K355" s="105">
        <f t="shared" si="611"/>
        <v>0</v>
      </c>
      <c r="L355" s="104"/>
      <c r="M355" s="105">
        <f t="shared" si="612"/>
        <v>7000</v>
      </c>
      <c r="N355" s="105">
        <f t="shared" si="612"/>
        <v>0</v>
      </c>
      <c r="O355" s="212"/>
      <c r="P355" s="159"/>
      <c r="Q355" s="35"/>
      <c r="R355" s="35"/>
      <c r="S355" s="35"/>
    </row>
    <row r="356" spans="1:19" x14ac:dyDescent="0.2">
      <c r="A356" s="216">
        <v>324</v>
      </c>
      <c r="B356" s="152" t="s">
        <v>32</v>
      </c>
      <c r="C356" s="97">
        <f t="shared" ref="C356:O356" si="613">SUM(C357)</f>
        <v>4000</v>
      </c>
      <c r="D356" s="98"/>
      <c r="E356" s="98">
        <f t="shared" si="613"/>
        <v>4000</v>
      </c>
      <c r="F356" s="127">
        <f t="shared" si="613"/>
        <v>0</v>
      </c>
      <c r="G356" s="127">
        <f t="shared" si="613"/>
        <v>0</v>
      </c>
      <c r="H356" s="127">
        <f t="shared" si="613"/>
        <v>2000</v>
      </c>
      <c r="I356" s="127">
        <f t="shared" si="613"/>
        <v>4000</v>
      </c>
      <c r="J356" s="127">
        <f t="shared" si="613"/>
        <v>0</v>
      </c>
      <c r="K356" s="127">
        <f t="shared" si="613"/>
        <v>-2000</v>
      </c>
      <c r="L356" s="100"/>
      <c r="M356" s="127">
        <f t="shared" si="613"/>
        <v>2000</v>
      </c>
      <c r="N356" s="127">
        <f t="shared" si="613"/>
        <v>4000</v>
      </c>
      <c r="O356" s="127">
        <f t="shared" si="613"/>
        <v>0</v>
      </c>
      <c r="P356" s="159"/>
      <c r="Q356" s="35"/>
      <c r="R356" s="35"/>
      <c r="S356" s="35"/>
    </row>
    <row r="357" spans="1:19" x14ac:dyDescent="0.2">
      <c r="A357" s="202">
        <v>3241</v>
      </c>
      <c r="B357" s="136" t="s">
        <v>32</v>
      </c>
      <c r="C357" s="141">
        <v>4000</v>
      </c>
      <c r="D357" s="142"/>
      <c r="E357" s="142">
        <v>4000</v>
      </c>
      <c r="F357" s="187"/>
      <c r="G357" s="187"/>
      <c r="H357" s="187">
        <v>2000</v>
      </c>
      <c r="I357" s="187">
        <v>4000</v>
      </c>
      <c r="J357" s="187"/>
      <c r="K357" s="105">
        <f t="shared" ref="K357" si="614">H357-E357</f>
        <v>-2000</v>
      </c>
      <c r="L357" s="104"/>
      <c r="M357" s="105">
        <f t="shared" ref="M357" si="615">H357-F357</f>
        <v>2000</v>
      </c>
      <c r="N357" s="105">
        <f>I357-G357</f>
        <v>4000</v>
      </c>
      <c r="O357" s="187"/>
      <c r="P357" s="159"/>
      <c r="Q357" s="35"/>
      <c r="R357" s="35"/>
      <c r="S357" s="35"/>
    </row>
    <row r="358" spans="1:19" x14ac:dyDescent="0.2">
      <c r="A358" s="151">
        <v>329</v>
      </c>
      <c r="B358" s="126" t="s">
        <v>33</v>
      </c>
      <c r="C358" s="97">
        <f t="shared" ref="C358:O358" si="616">SUM(C359)</f>
        <v>0</v>
      </c>
      <c r="D358" s="98"/>
      <c r="E358" s="98">
        <f t="shared" si="616"/>
        <v>0</v>
      </c>
      <c r="F358" s="127">
        <f t="shared" si="616"/>
        <v>0</v>
      </c>
      <c r="G358" s="127">
        <f t="shared" si="616"/>
        <v>0</v>
      </c>
      <c r="H358" s="127">
        <f t="shared" si="616"/>
        <v>3000</v>
      </c>
      <c r="I358" s="127">
        <f t="shared" si="616"/>
        <v>4000</v>
      </c>
      <c r="J358" s="127">
        <f t="shared" si="616"/>
        <v>0</v>
      </c>
      <c r="K358" s="127">
        <f t="shared" si="616"/>
        <v>0</v>
      </c>
      <c r="L358" s="100"/>
      <c r="M358" s="127">
        <f t="shared" si="616"/>
        <v>0</v>
      </c>
      <c r="N358" s="127">
        <f t="shared" si="616"/>
        <v>0</v>
      </c>
      <c r="O358" s="127">
        <f t="shared" si="616"/>
        <v>0</v>
      </c>
      <c r="P358" s="35"/>
      <c r="Q358" s="35"/>
      <c r="R358" s="35"/>
      <c r="S358" s="35"/>
    </row>
    <row r="359" spans="1:19" x14ac:dyDescent="0.2">
      <c r="A359" s="135">
        <v>3293</v>
      </c>
      <c r="B359" s="136" t="s">
        <v>36</v>
      </c>
      <c r="C359" s="103">
        <v>0</v>
      </c>
      <c r="D359" s="104"/>
      <c r="E359" s="104">
        <v>0</v>
      </c>
      <c r="F359" s="130"/>
      <c r="G359" s="130"/>
      <c r="H359" s="130">
        <v>3000</v>
      </c>
      <c r="I359" s="130">
        <v>4000</v>
      </c>
      <c r="J359" s="130"/>
      <c r="K359" s="130"/>
      <c r="L359" s="111"/>
      <c r="M359" s="130"/>
      <c r="N359" s="130"/>
      <c r="O359" s="130"/>
      <c r="P359" s="35"/>
      <c r="Q359" s="35"/>
      <c r="R359" s="35"/>
      <c r="S359" s="35"/>
    </row>
    <row r="360" spans="1:19" ht="12.75" customHeight="1" x14ac:dyDescent="0.2">
      <c r="A360" s="128">
        <v>3299</v>
      </c>
      <c r="B360" s="129" t="s">
        <v>33</v>
      </c>
      <c r="C360" s="103"/>
      <c r="D360" s="104"/>
      <c r="E360" s="104"/>
      <c r="F360" s="130"/>
      <c r="G360" s="130"/>
      <c r="H360" s="130"/>
      <c r="I360" s="130"/>
      <c r="J360" s="130"/>
      <c r="K360" s="130"/>
      <c r="L360" s="111"/>
      <c r="M360" s="130"/>
      <c r="N360" s="130"/>
      <c r="O360" s="130"/>
      <c r="P360" s="35"/>
      <c r="Q360" s="35"/>
      <c r="R360" s="35"/>
      <c r="S360" s="35"/>
    </row>
    <row r="361" spans="1:19" ht="55.5" customHeight="1" x14ac:dyDescent="0.2">
      <c r="A361" s="208" t="s">
        <v>218</v>
      </c>
      <c r="B361" s="113" t="s">
        <v>219</v>
      </c>
      <c r="C361" s="114">
        <f t="shared" ref="C361:O361" si="617">SUM(C362)</f>
        <v>0</v>
      </c>
      <c r="D361" s="115"/>
      <c r="E361" s="115">
        <f t="shared" si="617"/>
        <v>0</v>
      </c>
      <c r="F361" s="116">
        <f t="shared" si="617"/>
        <v>0</v>
      </c>
      <c r="G361" s="116">
        <f t="shared" si="617"/>
        <v>0</v>
      </c>
      <c r="H361" s="116">
        <f t="shared" si="617"/>
        <v>0</v>
      </c>
      <c r="I361" s="116">
        <f t="shared" si="617"/>
        <v>0</v>
      </c>
      <c r="J361" s="116">
        <f t="shared" si="617"/>
        <v>0</v>
      </c>
      <c r="K361" s="116">
        <f t="shared" si="617"/>
        <v>0</v>
      </c>
      <c r="L361" s="117"/>
      <c r="M361" s="116">
        <f t="shared" si="617"/>
        <v>0</v>
      </c>
      <c r="N361" s="116">
        <f t="shared" si="617"/>
        <v>0</v>
      </c>
      <c r="O361" s="116">
        <f t="shared" si="617"/>
        <v>0</v>
      </c>
      <c r="P361" s="35"/>
      <c r="Q361" s="35"/>
      <c r="R361" s="35"/>
      <c r="S361" s="35"/>
    </row>
    <row r="362" spans="1:19" ht="18" customHeight="1" x14ac:dyDescent="0.2">
      <c r="A362" s="704" t="s">
        <v>77</v>
      </c>
      <c r="B362" s="704"/>
      <c r="C362" s="118">
        <f>SUM(C363)</f>
        <v>0</v>
      </c>
      <c r="D362" s="119"/>
      <c r="E362" s="119">
        <f t="shared" ref="E362:K363" si="618">SUM(E363)</f>
        <v>0</v>
      </c>
      <c r="F362" s="120">
        <f t="shared" si="618"/>
        <v>0</v>
      </c>
      <c r="G362" s="120">
        <f t="shared" si="618"/>
        <v>0</v>
      </c>
      <c r="H362" s="120">
        <f t="shared" si="618"/>
        <v>0</v>
      </c>
      <c r="I362" s="120">
        <f t="shared" si="618"/>
        <v>0</v>
      </c>
      <c r="J362" s="120">
        <f t="shared" si="618"/>
        <v>0</v>
      </c>
      <c r="K362" s="233">
        <f t="shared" si="618"/>
        <v>0</v>
      </c>
      <c r="L362" s="234"/>
      <c r="M362" s="233">
        <f t="shared" ref="M362:O363" si="619">SUM(M363)</f>
        <v>0</v>
      </c>
      <c r="N362" s="233">
        <f t="shared" si="619"/>
        <v>0</v>
      </c>
      <c r="O362" s="233">
        <f t="shared" si="619"/>
        <v>0</v>
      </c>
      <c r="P362" s="35"/>
      <c r="Q362" s="35"/>
      <c r="R362" s="35"/>
      <c r="S362" s="35"/>
    </row>
    <row r="363" spans="1:19" x14ac:dyDescent="0.2">
      <c r="A363" s="151">
        <v>323</v>
      </c>
      <c r="B363" s="126" t="s">
        <v>23</v>
      </c>
      <c r="C363" s="97">
        <f>SUM(C364)</f>
        <v>0</v>
      </c>
      <c r="D363" s="98"/>
      <c r="E363" s="98">
        <f t="shared" si="618"/>
        <v>0</v>
      </c>
      <c r="F363" s="127">
        <f t="shared" si="618"/>
        <v>0</v>
      </c>
      <c r="G363" s="127">
        <f t="shared" si="618"/>
        <v>0</v>
      </c>
      <c r="H363" s="127">
        <f t="shared" si="618"/>
        <v>0</v>
      </c>
      <c r="I363" s="127">
        <f t="shared" si="618"/>
        <v>0</v>
      </c>
      <c r="J363" s="127">
        <f t="shared" si="618"/>
        <v>0</v>
      </c>
      <c r="K363" s="127">
        <f t="shared" si="618"/>
        <v>0</v>
      </c>
      <c r="L363" s="100"/>
      <c r="M363" s="127">
        <f t="shared" si="619"/>
        <v>0</v>
      </c>
      <c r="N363" s="127">
        <f t="shared" si="619"/>
        <v>0</v>
      </c>
      <c r="O363" s="127">
        <f t="shared" si="619"/>
        <v>0</v>
      </c>
      <c r="P363" s="35"/>
      <c r="Q363" s="35"/>
      <c r="R363" s="35"/>
      <c r="S363" s="35"/>
    </row>
    <row r="364" spans="1:19" x14ac:dyDescent="0.2">
      <c r="A364" s="135">
        <v>3237</v>
      </c>
      <c r="B364" s="136" t="s">
        <v>30</v>
      </c>
      <c r="C364" s="141"/>
      <c r="D364" s="142"/>
      <c r="E364" s="142"/>
      <c r="F364" s="143"/>
      <c r="G364" s="143"/>
      <c r="H364" s="143"/>
      <c r="I364" s="143"/>
      <c r="J364" s="143"/>
      <c r="K364" s="143"/>
      <c r="L364" s="145"/>
      <c r="M364" s="143"/>
      <c r="N364" s="143"/>
      <c r="O364" s="143"/>
      <c r="P364" s="35"/>
      <c r="Q364" s="35"/>
      <c r="R364" s="35"/>
      <c r="S364" s="35"/>
    </row>
    <row r="365" spans="1:19" ht="38.25" x14ac:dyDescent="0.2">
      <c r="A365" s="208" t="s">
        <v>276</v>
      </c>
      <c r="B365" s="113" t="s">
        <v>277</v>
      </c>
      <c r="C365" s="114">
        <f t="shared" ref="C365:O365" si="620">SUM(C366)</f>
        <v>156900</v>
      </c>
      <c r="D365" s="115"/>
      <c r="E365" s="115">
        <f t="shared" si="620"/>
        <v>0</v>
      </c>
      <c r="F365" s="116">
        <f t="shared" si="620"/>
        <v>0</v>
      </c>
      <c r="G365" s="116">
        <f t="shared" si="620"/>
        <v>0</v>
      </c>
      <c r="H365" s="116">
        <f t="shared" si="620"/>
        <v>0</v>
      </c>
      <c r="I365" s="116">
        <f t="shared" si="620"/>
        <v>0</v>
      </c>
      <c r="J365" s="116">
        <f t="shared" si="620"/>
        <v>0</v>
      </c>
      <c r="K365" s="116">
        <f t="shared" si="620"/>
        <v>0</v>
      </c>
      <c r="L365" s="117"/>
      <c r="M365" s="116">
        <f t="shared" si="620"/>
        <v>0</v>
      </c>
      <c r="N365" s="116">
        <f t="shared" si="620"/>
        <v>0</v>
      </c>
      <c r="O365" s="116">
        <f t="shared" si="620"/>
        <v>0</v>
      </c>
      <c r="P365" s="35"/>
      <c r="Q365" s="35"/>
      <c r="R365" s="35"/>
      <c r="S365" s="35"/>
    </row>
    <row r="366" spans="1:19" ht="18" customHeight="1" x14ac:dyDescent="0.2">
      <c r="A366" s="704" t="s">
        <v>77</v>
      </c>
      <c r="B366" s="704"/>
      <c r="C366" s="118">
        <f>SUM(C367,C384)</f>
        <v>156900</v>
      </c>
      <c r="D366" s="119"/>
      <c r="E366" s="119">
        <f>SUM(E376+E368+E370+E380+E385+E382)</f>
        <v>0</v>
      </c>
      <c r="F366" s="120">
        <f t="shared" ref="F366:G366" si="621">SUM(F376+F368+F370+F380+F385+F382)</f>
        <v>0</v>
      </c>
      <c r="G366" s="120">
        <f t="shared" si="621"/>
        <v>0</v>
      </c>
      <c r="H366" s="120">
        <f t="shared" ref="H366:I366" si="622">SUM(H376+H368+H370+H380+H385+H382)</f>
        <v>0</v>
      </c>
      <c r="I366" s="120">
        <f t="shared" si="622"/>
        <v>0</v>
      </c>
      <c r="J366" s="120">
        <f t="shared" ref="J366:K366" si="623">SUM(J376+J368+J370+J380+J385+J382)</f>
        <v>0</v>
      </c>
      <c r="K366" s="233">
        <f t="shared" si="623"/>
        <v>0</v>
      </c>
      <c r="L366" s="234"/>
      <c r="M366" s="233">
        <f t="shared" ref="M366:O366" si="624">SUM(M376+M368+M370+M380+M385+M382)</f>
        <v>0</v>
      </c>
      <c r="N366" s="233">
        <f t="shared" ref="N366" si="625">SUM(N376+N368+N370+N380+N385+N382)</f>
        <v>0</v>
      </c>
      <c r="O366" s="233">
        <f t="shared" si="624"/>
        <v>0</v>
      </c>
      <c r="P366" s="35"/>
      <c r="Q366" s="35"/>
      <c r="R366" s="35"/>
      <c r="S366" s="35"/>
    </row>
    <row r="367" spans="1:19" ht="18" customHeight="1" x14ac:dyDescent="0.2">
      <c r="A367" s="418" t="s">
        <v>324</v>
      </c>
      <c r="B367" s="414" t="s">
        <v>325</v>
      </c>
      <c r="C367" s="419">
        <f>SUM(C368,C370,C376,C380)</f>
        <v>156900</v>
      </c>
      <c r="D367" s="420"/>
      <c r="E367" s="420">
        <f t="shared" ref="E367:O367" si="626">SUM(E368,E370,E376,E380)</f>
        <v>0</v>
      </c>
      <c r="F367" s="421">
        <f t="shared" si="626"/>
        <v>0</v>
      </c>
      <c r="G367" s="421">
        <f t="shared" si="626"/>
        <v>0</v>
      </c>
      <c r="H367" s="421">
        <f t="shared" si="626"/>
        <v>0</v>
      </c>
      <c r="I367" s="421">
        <f t="shared" si="626"/>
        <v>0</v>
      </c>
      <c r="J367" s="421">
        <f t="shared" si="626"/>
        <v>0</v>
      </c>
      <c r="K367" s="123">
        <f t="shared" si="626"/>
        <v>0</v>
      </c>
      <c r="L367" s="124"/>
      <c r="M367" s="123">
        <f t="shared" si="626"/>
        <v>0</v>
      </c>
      <c r="N367" s="123">
        <f t="shared" si="626"/>
        <v>0</v>
      </c>
      <c r="O367" s="123">
        <f t="shared" si="626"/>
        <v>0</v>
      </c>
      <c r="P367" s="35"/>
      <c r="Q367" s="35"/>
      <c r="R367" s="35"/>
      <c r="S367" s="35"/>
    </row>
    <row r="368" spans="1:19" x14ac:dyDescent="0.2">
      <c r="A368" s="125">
        <v>321</v>
      </c>
      <c r="B368" s="126" t="s">
        <v>12</v>
      </c>
      <c r="C368" s="97">
        <f t="shared" ref="C368:O368" si="627">SUM(C369)</f>
        <v>10000</v>
      </c>
      <c r="D368" s="98"/>
      <c r="E368" s="98">
        <f t="shared" si="627"/>
        <v>0</v>
      </c>
      <c r="F368" s="127">
        <f t="shared" si="627"/>
        <v>0</v>
      </c>
      <c r="G368" s="127">
        <f t="shared" si="627"/>
        <v>0</v>
      </c>
      <c r="H368" s="127">
        <f t="shared" si="627"/>
        <v>0</v>
      </c>
      <c r="I368" s="127">
        <f t="shared" si="627"/>
        <v>0</v>
      </c>
      <c r="J368" s="127">
        <f t="shared" si="627"/>
        <v>0</v>
      </c>
      <c r="K368" s="127">
        <f t="shared" si="627"/>
        <v>0</v>
      </c>
      <c r="L368" s="100"/>
      <c r="M368" s="127">
        <f t="shared" si="627"/>
        <v>0</v>
      </c>
      <c r="N368" s="127">
        <f t="shared" si="627"/>
        <v>0</v>
      </c>
      <c r="O368" s="127">
        <f t="shared" si="627"/>
        <v>0</v>
      </c>
      <c r="P368" s="35"/>
      <c r="Q368" s="35"/>
      <c r="R368" s="35"/>
      <c r="S368" s="35"/>
    </row>
    <row r="369" spans="1:19" x14ac:dyDescent="0.2">
      <c r="A369" s="128">
        <v>3211</v>
      </c>
      <c r="B369" s="129" t="s">
        <v>13</v>
      </c>
      <c r="C369" s="103">
        <v>10000</v>
      </c>
      <c r="D369" s="104"/>
      <c r="E369" s="104">
        <v>0</v>
      </c>
      <c r="F369" s="130"/>
      <c r="G369" s="130"/>
      <c r="H369" s="130"/>
      <c r="I369" s="130"/>
      <c r="J369" s="130"/>
      <c r="K369" s="105">
        <f t="shared" ref="K369" si="628">H369-E369</f>
        <v>0</v>
      </c>
      <c r="L369" s="104"/>
      <c r="M369" s="105">
        <f>H369-F369</f>
        <v>0</v>
      </c>
      <c r="N369" s="105">
        <f>I369-G369</f>
        <v>0</v>
      </c>
      <c r="O369" s="130"/>
      <c r="P369" s="35"/>
      <c r="Q369" s="35"/>
      <c r="R369" s="35"/>
      <c r="S369" s="35"/>
    </row>
    <row r="370" spans="1:19" s="2" customFormat="1" x14ac:dyDescent="0.2">
      <c r="A370" s="160" t="s">
        <v>153</v>
      </c>
      <c r="B370" s="161" t="s">
        <v>16</v>
      </c>
      <c r="C370" s="162">
        <f t="shared" ref="C370:G370" si="629">SUM(C371:C375)</f>
        <v>70000</v>
      </c>
      <c r="D370" s="163"/>
      <c r="E370" s="163">
        <f t="shared" ref="E370" si="630">SUM(E371:E375)</f>
        <v>0</v>
      </c>
      <c r="F370" s="164">
        <f t="shared" si="629"/>
        <v>0</v>
      </c>
      <c r="G370" s="164">
        <f t="shared" si="629"/>
        <v>0</v>
      </c>
      <c r="H370" s="164">
        <f t="shared" ref="H370:I370" si="631">SUM(H371:H375)</f>
        <v>0</v>
      </c>
      <c r="I370" s="164">
        <f t="shared" si="631"/>
        <v>0</v>
      </c>
      <c r="J370" s="164">
        <f t="shared" ref="J370:K370" si="632">SUM(J371:J375)</f>
        <v>0</v>
      </c>
      <c r="K370" s="164">
        <f t="shared" si="632"/>
        <v>0</v>
      </c>
      <c r="L370" s="165"/>
      <c r="M370" s="164">
        <f t="shared" ref="M370:O370" si="633">SUM(M371:M375)</f>
        <v>0</v>
      </c>
      <c r="N370" s="164">
        <f t="shared" ref="N370" si="634">SUM(N371:N375)</f>
        <v>0</v>
      </c>
      <c r="O370" s="164">
        <f t="shared" si="633"/>
        <v>0</v>
      </c>
      <c r="P370" s="50"/>
      <c r="Q370" s="50"/>
      <c r="R370" s="50"/>
      <c r="S370" s="50"/>
    </row>
    <row r="371" spans="1:19" x14ac:dyDescent="0.2">
      <c r="A371" s="167" t="s">
        <v>154</v>
      </c>
      <c r="B371" s="168" t="s">
        <v>17</v>
      </c>
      <c r="C371" s="169">
        <v>3000</v>
      </c>
      <c r="D371" s="170"/>
      <c r="E371" s="170">
        <v>0</v>
      </c>
      <c r="F371" s="171"/>
      <c r="G371" s="171"/>
      <c r="H371" s="171"/>
      <c r="I371" s="171"/>
      <c r="J371" s="171"/>
      <c r="K371" s="105">
        <f t="shared" ref="K371:K375" si="635">H371-E371</f>
        <v>0</v>
      </c>
      <c r="L371" s="104"/>
      <c r="M371" s="105">
        <f>H371-F371</f>
        <v>0</v>
      </c>
      <c r="N371" s="105">
        <f>I371-G371</f>
        <v>0</v>
      </c>
      <c r="O371" s="171"/>
      <c r="P371" s="35"/>
      <c r="Q371" s="35"/>
      <c r="R371" s="35"/>
      <c r="S371" s="35"/>
    </row>
    <row r="372" spans="1:19" x14ac:dyDescent="0.2">
      <c r="A372" s="167" t="s">
        <v>155</v>
      </c>
      <c r="B372" s="168" t="s">
        <v>18</v>
      </c>
      <c r="C372" s="169">
        <v>14000</v>
      </c>
      <c r="D372" s="170"/>
      <c r="E372" s="170">
        <v>0</v>
      </c>
      <c r="F372" s="171"/>
      <c r="G372" s="171"/>
      <c r="H372" s="171"/>
      <c r="I372" s="171"/>
      <c r="J372" s="171"/>
      <c r="K372" s="105">
        <f t="shared" si="635"/>
        <v>0</v>
      </c>
      <c r="L372" s="104"/>
      <c r="M372" s="105">
        <f>H372-F372</f>
        <v>0</v>
      </c>
      <c r="N372" s="105">
        <f>I372-G372</f>
        <v>0</v>
      </c>
      <c r="O372" s="171"/>
      <c r="P372" s="35"/>
      <c r="Q372" s="35"/>
      <c r="R372" s="35"/>
      <c r="S372" s="35"/>
    </row>
    <row r="373" spans="1:19" ht="0.75" customHeight="1" x14ac:dyDescent="0.2">
      <c r="A373" s="167" t="s">
        <v>156</v>
      </c>
      <c r="B373" s="168" t="s">
        <v>19</v>
      </c>
      <c r="C373" s="169"/>
      <c r="D373" s="170"/>
      <c r="E373" s="170">
        <v>0</v>
      </c>
      <c r="F373" s="171"/>
      <c r="G373" s="171"/>
      <c r="H373" s="171"/>
      <c r="I373" s="171"/>
      <c r="J373" s="171"/>
      <c r="K373" s="105">
        <f t="shared" si="635"/>
        <v>0</v>
      </c>
      <c r="L373" s="104"/>
      <c r="M373" s="105">
        <f>H373-F373</f>
        <v>0</v>
      </c>
      <c r="N373" s="171"/>
      <c r="O373" s="171"/>
      <c r="P373" s="35"/>
      <c r="Q373" s="35"/>
      <c r="R373" s="35"/>
      <c r="S373" s="35"/>
    </row>
    <row r="374" spans="1:19" hidden="1" x14ac:dyDescent="0.2">
      <c r="A374" s="167" t="s">
        <v>158</v>
      </c>
      <c r="B374" s="168" t="s">
        <v>21</v>
      </c>
      <c r="C374" s="169"/>
      <c r="D374" s="170"/>
      <c r="E374" s="170"/>
      <c r="F374" s="171"/>
      <c r="G374" s="171"/>
      <c r="H374" s="171"/>
      <c r="I374" s="171"/>
      <c r="J374" s="171"/>
      <c r="K374" s="105">
        <f t="shared" si="635"/>
        <v>0</v>
      </c>
      <c r="L374" s="104"/>
      <c r="M374" s="105">
        <f>H374-F374</f>
        <v>0</v>
      </c>
      <c r="N374" s="171"/>
      <c r="O374" s="171"/>
      <c r="P374" s="35"/>
      <c r="Q374" s="35"/>
      <c r="R374" s="35"/>
      <c r="S374" s="35"/>
    </row>
    <row r="375" spans="1:19" x14ac:dyDescent="0.2">
      <c r="A375" s="167" t="s">
        <v>185</v>
      </c>
      <c r="B375" s="168" t="s">
        <v>22</v>
      </c>
      <c r="C375" s="169">
        <v>53000</v>
      </c>
      <c r="D375" s="170"/>
      <c r="E375" s="170">
        <v>0</v>
      </c>
      <c r="F375" s="171"/>
      <c r="G375" s="171"/>
      <c r="H375" s="171"/>
      <c r="I375" s="171"/>
      <c r="J375" s="171"/>
      <c r="K375" s="105">
        <f t="shared" si="635"/>
        <v>0</v>
      </c>
      <c r="L375" s="104"/>
      <c r="M375" s="105">
        <f>H375-F375</f>
        <v>0</v>
      </c>
      <c r="N375" s="105">
        <f>I375-G375</f>
        <v>0</v>
      </c>
      <c r="O375" s="171"/>
      <c r="P375" s="35"/>
      <c r="Q375" s="35"/>
      <c r="R375" s="35"/>
      <c r="S375" s="35"/>
    </row>
    <row r="376" spans="1:19" x14ac:dyDescent="0.2">
      <c r="A376" s="151">
        <v>323</v>
      </c>
      <c r="B376" s="126" t="s">
        <v>23</v>
      </c>
      <c r="C376" s="97">
        <f t="shared" ref="C376:F376" si="636">SUM(C377:C379)</f>
        <v>56900</v>
      </c>
      <c r="D376" s="98"/>
      <c r="E376" s="98">
        <f t="shared" ref="E376" si="637">SUM(E377:E379)</f>
        <v>0</v>
      </c>
      <c r="F376" s="127">
        <f t="shared" si="636"/>
        <v>0</v>
      </c>
      <c r="G376" s="127">
        <f t="shared" ref="G376:H376" si="638">SUM(G377:G379)</f>
        <v>0</v>
      </c>
      <c r="H376" s="127">
        <f t="shared" si="638"/>
        <v>0</v>
      </c>
      <c r="I376" s="127">
        <f t="shared" ref="I376:J376" si="639">SUM(I377:I379)</f>
        <v>0</v>
      </c>
      <c r="J376" s="127">
        <f t="shared" si="639"/>
        <v>0</v>
      </c>
      <c r="K376" s="127">
        <f t="shared" ref="K376" si="640">SUM(K377:K379)</f>
        <v>0</v>
      </c>
      <c r="L376" s="100"/>
      <c r="M376" s="127">
        <f t="shared" ref="M376:O376" si="641">SUM(M377:M379)</f>
        <v>0</v>
      </c>
      <c r="N376" s="127">
        <f t="shared" ref="N376" si="642">SUM(N377:N379)</f>
        <v>0</v>
      </c>
      <c r="O376" s="127">
        <f t="shared" si="641"/>
        <v>0</v>
      </c>
      <c r="P376" s="35"/>
      <c r="Q376" s="35"/>
      <c r="R376" s="35"/>
      <c r="S376" s="35"/>
    </row>
    <row r="377" spans="1:19" x14ac:dyDescent="0.2">
      <c r="A377" s="210">
        <v>3233</v>
      </c>
      <c r="B377" s="150" t="s">
        <v>26</v>
      </c>
      <c r="C377" s="103">
        <v>10000</v>
      </c>
      <c r="D377" s="104"/>
      <c r="E377" s="104">
        <v>0</v>
      </c>
      <c r="F377" s="148"/>
      <c r="G377" s="148"/>
      <c r="H377" s="148"/>
      <c r="I377" s="148"/>
      <c r="J377" s="148"/>
      <c r="K377" s="105">
        <f t="shared" ref="K377:K379" si="643">H377-E377</f>
        <v>0</v>
      </c>
      <c r="L377" s="104"/>
      <c r="M377" s="105">
        <f t="shared" ref="M377:M379" si="644">H377-F377</f>
        <v>0</v>
      </c>
      <c r="N377" s="105">
        <f>I377-G377</f>
        <v>0</v>
      </c>
      <c r="O377" s="148"/>
      <c r="P377" s="35"/>
      <c r="Q377" s="35"/>
      <c r="R377" s="35"/>
      <c r="S377" s="35"/>
    </row>
    <row r="378" spans="1:19" x14ac:dyDescent="0.2">
      <c r="A378" s="135">
        <v>3237</v>
      </c>
      <c r="B378" s="136" t="s">
        <v>30</v>
      </c>
      <c r="C378" s="141">
        <v>29000</v>
      </c>
      <c r="D378" s="142"/>
      <c r="E378" s="142">
        <v>0</v>
      </c>
      <c r="F378" s="143"/>
      <c r="G378" s="143"/>
      <c r="H378" s="143"/>
      <c r="I378" s="143"/>
      <c r="J378" s="143"/>
      <c r="K378" s="105">
        <f t="shared" si="643"/>
        <v>0</v>
      </c>
      <c r="L378" s="104"/>
      <c r="M378" s="105">
        <f t="shared" si="644"/>
        <v>0</v>
      </c>
      <c r="N378" s="105">
        <f>I378-G378</f>
        <v>0</v>
      </c>
      <c r="O378" s="143"/>
      <c r="P378" s="35"/>
      <c r="Q378" s="35"/>
      <c r="R378" s="35"/>
      <c r="S378" s="35"/>
    </row>
    <row r="379" spans="1:19" x14ac:dyDescent="0.2">
      <c r="A379" s="210">
        <v>3239</v>
      </c>
      <c r="B379" s="211" t="s">
        <v>31</v>
      </c>
      <c r="C379" s="141">
        <v>17900</v>
      </c>
      <c r="D379" s="142"/>
      <c r="E379" s="142">
        <v>0</v>
      </c>
      <c r="F379" s="212"/>
      <c r="G379" s="212"/>
      <c r="H379" s="212"/>
      <c r="I379" s="212"/>
      <c r="J379" s="212"/>
      <c r="K379" s="105">
        <f t="shared" si="643"/>
        <v>0</v>
      </c>
      <c r="L379" s="104"/>
      <c r="M379" s="105">
        <f t="shared" si="644"/>
        <v>0</v>
      </c>
      <c r="N379" s="105">
        <f>I379-G379</f>
        <v>0</v>
      </c>
      <c r="O379" s="212"/>
      <c r="P379" s="35"/>
      <c r="Q379" s="35"/>
      <c r="R379" s="35"/>
      <c r="S379" s="35"/>
    </row>
    <row r="380" spans="1:19" x14ac:dyDescent="0.2">
      <c r="A380" s="216">
        <v>324</v>
      </c>
      <c r="B380" s="152" t="s">
        <v>32</v>
      </c>
      <c r="C380" s="97">
        <f t="shared" ref="C380:O380" si="645">SUM(C381)</f>
        <v>20000</v>
      </c>
      <c r="D380" s="98"/>
      <c r="E380" s="98">
        <f t="shared" si="645"/>
        <v>0</v>
      </c>
      <c r="F380" s="127">
        <f t="shared" si="645"/>
        <v>0</v>
      </c>
      <c r="G380" s="127">
        <f t="shared" si="645"/>
        <v>0</v>
      </c>
      <c r="H380" s="127">
        <f t="shared" si="645"/>
        <v>0</v>
      </c>
      <c r="I380" s="127">
        <f t="shared" si="645"/>
        <v>0</v>
      </c>
      <c r="J380" s="127">
        <f t="shared" si="645"/>
        <v>0</v>
      </c>
      <c r="K380" s="127">
        <f t="shared" si="645"/>
        <v>0</v>
      </c>
      <c r="L380" s="100"/>
      <c r="M380" s="127">
        <f t="shared" si="645"/>
        <v>0</v>
      </c>
      <c r="N380" s="127">
        <f t="shared" si="645"/>
        <v>0</v>
      </c>
      <c r="O380" s="127">
        <f t="shared" si="645"/>
        <v>0</v>
      </c>
      <c r="P380" s="35"/>
      <c r="Q380" s="35"/>
      <c r="R380" s="35"/>
      <c r="S380" s="35"/>
    </row>
    <row r="381" spans="1:19" ht="24.75" customHeight="1" x14ac:dyDescent="0.2">
      <c r="A381" s="202">
        <v>3241</v>
      </c>
      <c r="B381" s="136" t="s">
        <v>32</v>
      </c>
      <c r="C381" s="141">
        <v>20000</v>
      </c>
      <c r="D381" s="142"/>
      <c r="E381" s="142">
        <v>0</v>
      </c>
      <c r="F381" s="187"/>
      <c r="G381" s="187"/>
      <c r="H381" s="187"/>
      <c r="I381" s="187"/>
      <c r="J381" s="187"/>
      <c r="K381" s="105">
        <f t="shared" ref="K381" si="646">H381-E381</f>
        <v>0</v>
      </c>
      <c r="L381" s="104"/>
      <c r="M381" s="105">
        <f t="shared" ref="M381" si="647">H381-F381</f>
        <v>0</v>
      </c>
      <c r="N381" s="105">
        <f>I381-G381</f>
        <v>0</v>
      </c>
      <c r="O381" s="187"/>
      <c r="P381" s="35"/>
      <c r="Q381" s="35"/>
      <c r="R381" s="35"/>
      <c r="S381" s="35"/>
    </row>
    <row r="382" spans="1:19" hidden="1" x14ac:dyDescent="0.2">
      <c r="A382" s="151">
        <v>426</v>
      </c>
      <c r="B382" s="152" t="s">
        <v>73</v>
      </c>
      <c r="C382" s="97">
        <f t="shared" ref="C382:O382" si="648">SUM(C383)</f>
        <v>0</v>
      </c>
      <c r="D382" s="98"/>
      <c r="E382" s="98">
        <f t="shared" si="648"/>
        <v>0</v>
      </c>
      <c r="F382" s="127">
        <f t="shared" si="648"/>
        <v>0</v>
      </c>
      <c r="G382" s="127">
        <f t="shared" si="648"/>
        <v>0</v>
      </c>
      <c r="H382" s="127">
        <f t="shared" si="648"/>
        <v>0</v>
      </c>
      <c r="I382" s="127">
        <f t="shared" si="648"/>
        <v>0</v>
      </c>
      <c r="J382" s="127">
        <f t="shared" si="648"/>
        <v>0</v>
      </c>
      <c r="K382" s="127">
        <f t="shared" si="648"/>
        <v>0</v>
      </c>
      <c r="L382" s="100"/>
      <c r="M382" s="127">
        <f t="shared" si="648"/>
        <v>0</v>
      </c>
      <c r="N382" s="127">
        <f t="shared" si="648"/>
        <v>0</v>
      </c>
      <c r="O382" s="127">
        <f t="shared" si="648"/>
        <v>0</v>
      </c>
      <c r="P382" s="35"/>
      <c r="Q382" s="35"/>
      <c r="R382" s="35"/>
      <c r="S382" s="35"/>
    </row>
    <row r="383" spans="1:19" hidden="1" x14ac:dyDescent="0.2">
      <c r="A383" s="135">
        <v>4262</v>
      </c>
      <c r="B383" s="136" t="s">
        <v>88</v>
      </c>
      <c r="C383" s="141"/>
      <c r="D383" s="142"/>
      <c r="E383" s="142"/>
      <c r="F383" s="143"/>
      <c r="G383" s="143"/>
      <c r="H383" s="143"/>
      <c r="I383" s="143"/>
      <c r="J383" s="143"/>
      <c r="K383" s="143"/>
      <c r="L383" s="145"/>
      <c r="M383" s="143"/>
      <c r="N383" s="143"/>
      <c r="O383" s="143"/>
      <c r="P383" s="35"/>
      <c r="Q383" s="35"/>
      <c r="R383" s="35"/>
      <c r="S383" s="35"/>
    </row>
    <row r="384" spans="1:19" ht="25.5" x14ac:dyDescent="0.2">
      <c r="A384" s="434" t="s">
        <v>330</v>
      </c>
      <c r="B384" s="435" t="s">
        <v>331</v>
      </c>
      <c r="C384" s="415">
        <f>SUM(C385)</f>
        <v>0</v>
      </c>
      <c r="D384" s="416"/>
      <c r="E384" s="416">
        <f t="shared" ref="E384:O384" si="649">SUM(E385)</f>
        <v>0</v>
      </c>
      <c r="F384" s="417">
        <f t="shared" si="649"/>
        <v>0</v>
      </c>
      <c r="G384" s="417">
        <f t="shared" si="649"/>
        <v>0</v>
      </c>
      <c r="H384" s="417">
        <f t="shared" si="649"/>
        <v>0</v>
      </c>
      <c r="I384" s="417">
        <f t="shared" si="649"/>
        <v>0</v>
      </c>
      <c r="J384" s="417">
        <f t="shared" si="649"/>
        <v>0</v>
      </c>
      <c r="K384" s="93">
        <f t="shared" si="649"/>
        <v>0</v>
      </c>
      <c r="L384" s="94"/>
      <c r="M384" s="93">
        <f t="shared" si="649"/>
        <v>0</v>
      </c>
      <c r="N384" s="93">
        <f t="shared" si="649"/>
        <v>0</v>
      </c>
      <c r="O384" s="93">
        <f t="shared" si="649"/>
        <v>0</v>
      </c>
      <c r="P384" s="35"/>
      <c r="Q384" s="35"/>
      <c r="R384" s="35"/>
      <c r="S384" s="35"/>
    </row>
    <row r="385" spans="1:19" ht="12.75" customHeight="1" x14ac:dyDescent="0.2">
      <c r="A385" s="151">
        <v>422</v>
      </c>
      <c r="B385" s="152" t="s">
        <v>53</v>
      </c>
      <c r="C385" s="97">
        <f>SUM(C386:C389)</f>
        <v>0</v>
      </c>
      <c r="D385" s="98"/>
      <c r="E385" s="98">
        <f>SUM(E386:E389)</f>
        <v>0</v>
      </c>
      <c r="F385" s="127">
        <f t="shared" ref="F385:G385" si="650">SUM(F386:F388)</f>
        <v>0</v>
      </c>
      <c r="G385" s="127">
        <f t="shared" si="650"/>
        <v>0</v>
      </c>
      <c r="H385" s="127">
        <f t="shared" ref="H385:I385" si="651">SUM(H386:H388)</f>
        <v>0</v>
      </c>
      <c r="I385" s="127">
        <f t="shared" si="651"/>
        <v>0</v>
      </c>
      <c r="J385" s="127">
        <f t="shared" ref="J385:K385" si="652">SUM(J386:J388)</f>
        <v>0</v>
      </c>
      <c r="K385" s="127">
        <f t="shared" si="652"/>
        <v>0</v>
      </c>
      <c r="L385" s="100"/>
      <c r="M385" s="127">
        <f t="shared" ref="M385:O385" si="653">SUM(M386:M388)</f>
        <v>0</v>
      </c>
      <c r="N385" s="127">
        <f t="shared" ref="N385" si="654">SUM(N386:N388)</f>
        <v>0</v>
      </c>
      <c r="O385" s="127">
        <f t="shared" si="653"/>
        <v>0</v>
      </c>
      <c r="P385" s="35"/>
      <c r="Q385" s="35"/>
      <c r="R385" s="35"/>
      <c r="S385" s="35"/>
    </row>
    <row r="386" spans="1:19" hidden="1" x14ac:dyDescent="0.2">
      <c r="A386" s="135">
        <v>4221</v>
      </c>
      <c r="B386" s="136" t="s">
        <v>54</v>
      </c>
      <c r="C386" s="141"/>
      <c r="D386" s="142"/>
      <c r="E386" s="142"/>
      <c r="F386" s="143"/>
      <c r="G386" s="143"/>
      <c r="H386" s="143"/>
      <c r="I386" s="143"/>
      <c r="J386" s="143"/>
      <c r="K386" s="143"/>
      <c r="L386" s="145"/>
      <c r="M386" s="143"/>
      <c r="N386" s="143"/>
      <c r="O386" s="143"/>
      <c r="P386" s="35"/>
      <c r="Q386" s="35"/>
      <c r="R386" s="35"/>
      <c r="S386" s="35"/>
    </row>
    <row r="387" spans="1:19" ht="13.5" customHeight="1" x14ac:dyDescent="0.2">
      <c r="A387" s="210">
        <v>4222</v>
      </c>
      <c r="B387" s="211" t="s">
        <v>58</v>
      </c>
      <c r="C387" s="141">
        <v>0</v>
      </c>
      <c r="D387" s="142"/>
      <c r="E387" s="142">
        <v>0</v>
      </c>
      <c r="F387" s="212"/>
      <c r="G387" s="212"/>
      <c r="H387" s="212"/>
      <c r="I387" s="212"/>
      <c r="J387" s="212"/>
      <c r="K387" s="105">
        <f t="shared" ref="K387:K389" si="655">H387-E387</f>
        <v>0</v>
      </c>
      <c r="L387" s="104"/>
      <c r="M387" s="105">
        <f t="shared" ref="M387:N389" si="656">H387-F387</f>
        <v>0</v>
      </c>
      <c r="N387" s="105">
        <f t="shared" si="656"/>
        <v>0</v>
      </c>
      <c r="O387" s="212"/>
      <c r="P387" s="35"/>
      <c r="Q387" s="35"/>
      <c r="R387" s="35"/>
      <c r="S387" s="35"/>
    </row>
    <row r="388" spans="1:19" x14ac:dyDescent="0.2">
      <c r="A388" s="210">
        <v>4223</v>
      </c>
      <c r="B388" s="211" t="s">
        <v>59</v>
      </c>
      <c r="C388" s="141">
        <v>0</v>
      </c>
      <c r="D388" s="142"/>
      <c r="E388" s="142">
        <v>0</v>
      </c>
      <c r="F388" s="212"/>
      <c r="G388" s="212"/>
      <c r="H388" s="212"/>
      <c r="I388" s="212"/>
      <c r="J388" s="212"/>
      <c r="K388" s="105">
        <f t="shared" si="655"/>
        <v>0</v>
      </c>
      <c r="L388" s="104"/>
      <c r="M388" s="105">
        <f t="shared" si="656"/>
        <v>0</v>
      </c>
      <c r="N388" s="105">
        <f t="shared" si="656"/>
        <v>0</v>
      </c>
      <c r="O388" s="212"/>
      <c r="P388" s="35"/>
      <c r="Q388" s="35"/>
      <c r="R388" s="35"/>
      <c r="S388" s="35"/>
    </row>
    <row r="389" spans="1:19" x14ac:dyDescent="0.2">
      <c r="A389" s="210">
        <v>4224</v>
      </c>
      <c r="B389" s="211" t="s">
        <v>285</v>
      </c>
      <c r="C389" s="141">
        <v>0</v>
      </c>
      <c r="D389" s="142"/>
      <c r="E389" s="142">
        <v>0</v>
      </c>
      <c r="F389" s="212"/>
      <c r="G389" s="212"/>
      <c r="H389" s="212"/>
      <c r="I389" s="212"/>
      <c r="J389" s="212"/>
      <c r="K389" s="105">
        <f t="shared" si="655"/>
        <v>0</v>
      </c>
      <c r="L389" s="104"/>
      <c r="M389" s="105">
        <f t="shared" si="656"/>
        <v>0</v>
      </c>
      <c r="N389" s="105">
        <f t="shared" si="656"/>
        <v>0</v>
      </c>
      <c r="O389" s="212"/>
      <c r="P389" s="35"/>
      <c r="Q389" s="35"/>
      <c r="R389" s="35"/>
      <c r="S389" s="35"/>
    </row>
    <row r="390" spans="1:19" s="2" customFormat="1" ht="25.5" x14ac:dyDescent="0.2">
      <c r="A390" s="223" t="s">
        <v>278</v>
      </c>
      <c r="B390" s="224" t="s">
        <v>279</v>
      </c>
      <c r="C390" s="225">
        <f t="shared" ref="C390:O390" si="657">C391</f>
        <v>136000</v>
      </c>
      <c r="D390" s="226"/>
      <c r="E390" s="226">
        <f t="shared" si="657"/>
        <v>69000</v>
      </c>
      <c r="F390" s="227">
        <f t="shared" si="657"/>
        <v>106000</v>
      </c>
      <c r="G390" s="227">
        <f t="shared" si="657"/>
        <v>18000</v>
      </c>
      <c r="H390" s="227">
        <f t="shared" si="657"/>
        <v>287000</v>
      </c>
      <c r="I390" s="227">
        <f t="shared" si="657"/>
        <v>10000</v>
      </c>
      <c r="J390" s="227">
        <f t="shared" si="657"/>
        <v>0</v>
      </c>
      <c r="K390" s="227">
        <f t="shared" si="657"/>
        <v>218000</v>
      </c>
      <c r="L390" s="228"/>
      <c r="M390" s="227">
        <f t="shared" si="657"/>
        <v>181000</v>
      </c>
      <c r="N390" s="227">
        <f t="shared" si="657"/>
        <v>-8000</v>
      </c>
      <c r="O390" s="227">
        <f t="shared" si="657"/>
        <v>0</v>
      </c>
      <c r="P390" s="50"/>
      <c r="Q390" s="50"/>
      <c r="R390" s="50"/>
      <c r="S390" s="50"/>
    </row>
    <row r="391" spans="1:19" s="2" customFormat="1" ht="18.75" customHeight="1" x14ac:dyDescent="0.2">
      <c r="A391" s="704" t="s">
        <v>77</v>
      </c>
      <c r="B391" s="704"/>
      <c r="C391" s="229">
        <f>SUM(C392,C400)</f>
        <v>136000</v>
      </c>
      <c r="D391" s="230"/>
      <c r="E391" s="230">
        <f t="shared" ref="E391:O391" si="658">SUM(E392,E400)</f>
        <v>69000</v>
      </c>
      <c r="F391" s="231">
        <f t="shared" si="658"/>
        <v>106000</v>
      </c>
      <c r="G391" s="231">
        <f t="shared" si="658"/>
        <v>18000</v>
      </c>
      <c r="H391" s="231">
        <f t="shared" si="658"/>
        <v>287000</v>
      </c>
      <c r="I391" s="231">
        <f t="shared" si="658"/>
        <v>10000</v>
      </c>
      <c r="J391" s="231">
        <f t="shared" si="658"/>
        <v>0</v>
      </c>
      <c r="K391" s="240">
        <f t="shared" si="658"/>
        <v>218000</v>
      </c>
      <c r="L391" s="241"/>
      <c r="M391" s="240">
        <f t="shared" si="658"/>
        <v>181000</v>
      </c>
      <c r="N391" s="240">
        <f t="shared" si="658"/>
        <v>-8000</v>
      </c>
      <c r="O391" s="240">
        <f t="shared" si="658"/>
        <v>0</v>
      </c>
      <c r="P391" s="50"/>
      <c r="Q391" s="50"/>
      <c r="R391" s="50"/>
      <c r="S391" s="50"/>
    </row>
    <row r="392" spans="1:19" s="2" customFormat="1" ht="18.75" customHeight="1" x14ac:dyDescent="0.2">
      <c r="A392" s="418" t="s">
        <v>322</v>
      </c>
      <c r="B392" s="414" t="s">
        <v>323</v>
      </c>
      <c r="C392" s="419">
        <f>SUM(C393)</f>
        <v>13000</v>
      </c>
      <c r="D392" s="420"/>
      <c r="E392" s="420">
        <f t="shared" ref="E392:O392" si="659">SUM(E393)</f>
        <v>8000</v>
      </c>
      <c r="F392" s="421">
        <f t="shared" si="659"/>
        <v>13000</v>
      </c>
      <c r="G392" s="421">
        <f t="shared" si="659"/>
        <v>2000</v>
      </c>
      <c r="H392" s="421">
        <f t="shared" si="659"/>
        <v>22000</v>
      </c>
      <c r="I392" s="421">
        <f t="shared" si="659"/>
        <v>3000</v>
      </c>
      <c r="J392" s="421">
        <f t="shared" si="659"/>
        <v>0</v>
      </c>
      <c r="K392" s="123">
        <f t="shared" si="659"/>
        <v>14000</v>
      </c>
      <c r="L392" s="124"/>
      <c r="M392" s="123">
        <f t="shared" si="659"/>
        <v>9000</v>
      </c>
      <c r="N392" s="123">
        <f t="shared" si="659"/>
        <v>1000</v>
      </c>
      <c r="O392" s="123">
        <f t="shared" si="659"/>
        <v>0</v>
      </c>
      <c r="P392" s="50"/>
      <c r="Q392" s="50"/>
      <c r="R392" s="50"/>
      <c r="S392" s="50"/>
    </row>
    <row r="393" spans="1:19" x14ac:dyDescent="0.2">
      <c r="A393" s="125">
        <v>311</v>
      </c>
      <c r="B393" s="126" t="s">
        <v>4</v>
      </c>
      <c r="C393" s="97">
        <f t="shared" ref="C393:F393" si="660">SUM(C394:C395)</f>
        <v>13000</v>
      </c>
      <c r="D393" s="98"/>
      <c r="E393" s="98">
        <f t="shared" ref="E393" si="661">SUM(E394:E395)</f>
        <v>8000</v>
      </c>
      <c r="F393" s="127">
        <f t="shared" si="660"/>
        <v>13000</v>
      </c>
      <c r="G393" s="127">
        <f t="shared" ref="G393:H393" si="662">SUM(G394:G395)</f>
        <v>2000</v>
      </c>
      <c r="H393" s="127">
        <f t="shared" si="662"/>
        <v>22000</v>
      </c>
      <c r="I393" s="127">
        <f t="shared" ref="I393:J393" si="663">SUM(I394:I395)</f>
        <v>3000</v>
      </c>
      <c r="J393" s="127">
        <f t="shared" si="663"/>
        <v>0</v>
      </c>
      <c r="K393" s="127">
        <f t="shared" ref="K393" si="664">SUM(K394:K395)</f>
        <v>14000</v>
      </c>
      <c r="L393" s="100"/>
      <c r="M393" s="127">
        <f t="shared" ref="M393:O393" si="665">SUM(M394:M395)</f>
        <v>9000</v>
      </c>
      <c r="N393" s="127">
        <f t="shared" ref="N393" si="666">SUM(N394:N395)</f>
        <v>1000</v>
      </c>
      <c r="O393" s="127">
        <f t="shared" si="665"/>
        <v>0</v>
      </c>
      <c r="P393" s="35"/>
      <c r="Q393" s="35"/>
      <c r="R393" s="35"/>
      <c r="S393" s="35"/>
    </row>
    <row r="394" spans="1:19" x14ac:dyDescent="0.2">
      <c r="A394" s="128">
        <v>3111</v>
      </c>
      <c r="B394" s="129" t="s">
        <v>5</v>
      </c>
      <c r="C394" s="103">
        <v>13000</v>
      </c>
      <c r="D394" s="104"/>
      <c r="E394" s="104">
        <v>8000</v>
      </c>
      <c r="F394" s="130">
        <v>13000</v>
      </c>
      <c r="G394" s="130">
        <v>2000</v>
      </c>
      <c r="H394" s="130">
        <v>22000</v>
      </c>
      <c r="I394" s="130">
        <v>3000</v>
      </c>
      <c r="J394" s="130"/>
      <c r="K394" s="105">
        <f t="shared" ref="K394" si="667">H394-E394</f>
        <v>14000</v>
      </c>
      <c r="L394" s="104"/>
      <c r="M394" s="105">
        <f>H394-F394</f>
        <v>9000</v>
      </c>
      <c r="N394" s="105">
        <f>I394-G394</f>
        <v>1000</v>
      </c>
      <c r="O394" s="130"/>
      <c r="P394" s="35"/>
      <c r="Q394" s="35"/>
      <c r="R394" s="35"/>
      <c r="S394" s="35"/>
    </row>
    <row r="395" spans="1:19" hidden="1" x14ac:dyDescent="0.2">
      <c r="A395" s="128">
        <v>3113</v>
      </c>
      <c r="B395" s="129" t="s">
        <v>6</v>
      </c>
      <c r="C395" s="103"/>
      <c r="D395" s="104"/>
      <c r="E395" s="104"/>
      <c r="F395" s="130"/>
      <c r="G395" s="130"/>
      <c r="H395" s="130"/>
      <c r="I395" s="130"/>
      <c r="J395" s="130"/>
      <c r="K395" s="130"/>
      <c r="L395" s="111"/>
      <c r="M395" s="130"/>
      <c r="N395" s="130"/>
      <c r="O395" s="130"/>
      <c r="P395" s="35"/>
      <c r="Q395" s="35"/>
      <c r="R395" s="35"/>
      <c r="S395" s="35"/>
    </row>
    <row r="396" spans="1:19" hidden="1" x14ac:dyDescent="0.2">
      <c r="A396" s="125">
        <v>313</v>
      </c>
      <c r="B396" s="126" t="s">
        <v>8</v>
      </c>
      <c r="C396" s="97">
        <f t="shared" ref="C396:F396" si="668">SUM(C397:C399)</f>
        <v>0</v>
      </c>
      <c r="D396" s="98"/>
      <c r="E396" s="98">
        <f t="shared" ref="E396" si="669">SUM(E397:E399)</f>
        <v>0</v>
      </c>
      <c r="F396" s="127">
        <f t="shared" si="668"/>
        <v>0</v>
      </c>
      <c r="G396" s="127">
        <f t="shared" ref="G396:H396" si="670">SUM(G397:G399)</f>
        <v>0</v>
      </c>
      <c r="H396" s="127">
        <f t="shared" si="670"/>
        <v>0</v>
      </c>
      <c r="I396" s="127">
        <f t="shared" ref="I396:J396" si="671">SUM(I397:I399)</f>
        <v>0</v>
      </c>
      <c r="J396" s="127">
        <f t="shared" si="671"/>
        <v>0</v>
      </c>
      <c r="K396" s="127">
        <f t="shared" ref="K396" si="672">SUM(K397:K399)</f>
        <v>0</v>
      </c>
      <c r="L396" s="100"/>
      <c r="M396" s="127">
        <f t="shared" ref="M396:O396" si="673">SUM(M397:M399)</f>
        <v>0</v>
      </c>
      <c r="N396" s="127">
        <f t="shared" ref="N396" si="674">SUM(N397:N399)</f>
        <v>0</v>
      </c>
      <c r="O396" s="127">
        <f t="shared" si="673"/>
        <v>0</v>
      </c>
      <c r="P396" s="35"/>
      <c r="Q396" s="35"/>
      <c r="R396" s="35"/>
      <c r="S396" s="35"/>
    </row>
    <row r="397" spans="1:19" hidden="1" x14ac:dyDescent="0.2">
      <c r="A397" s="128">
        <v>3131</v>
      </c>
      <c r="B397" s="129" t="s">
        <v>9</v>
      </c>
      <c r="C397" s="103"/>
      <c r="D397" s="104"/>
      <c r="E397" s="104"/>
      <c r="F397" s="130"/>
      <c r="G397" s="130"/>
      <c r="H397" s="130"/>
      <c r="I397" s="130"/>
      <c r="J397" s="130"/>
      <c r="K397" s="130"/>
      <c r="L397" s="111"/>
      <c r="M397" s="130"/>
      <c r="N397" s="130"/>
      <c r="O397" s="130"/>
      <c r="P397" s="35"/>
      <c r="Q397" s="35"/>
      <c r="R397" s="35"/>
      <c r="S397" s="35"/>
    </row>
    <row r="398" spans="1:19" hidden="1" x14ac:dyDescent="0.2">
      <c r="A398" s="128">
        <v>3132</v>
      </c>
      <c r="B398" s="129" t="s">
        <v>10</v>
      </c>
      <c r="C398" s="103"/>
      <c r="D398" s="104"/>
      <c r="E398" s="104"/>
      <c r="F398" s="130"/>
      <c r="G398" s="130"/>
      <c r="H398" s="130"/>
      <c r="I398" s="130"/>
      <c r="J398" s="130"/>
      <c r="K398" s="130"/>
      <c r="L398" s="111"/>
      <c r="M398" s="130"/>
      <c r="N398" s="130"/>
      <c r="O398" s="130"/>
      <c r="P398" s="35"/>
      <c r="Q398" s="35"/>
      <c r="R398" s="35"/>
      <c r="S398" s="35"/>
    </row>
    <row r="399" spans="1:19" hidden="1" x14ac:dyDescent="0.2">
      <c r="A399" s="128">
        <v>3133</v>
      </c>
      <c r="B399" s="129" t="s">
        <v>11</v>
      </c>
      <c r="C399" s="103"/>
      <c r="D399" s="104"/>
      <c r="E399" s="104"/>
      <c r="F399" s="130"/>
      <c r="G399" s="130"/>
      <c r="H399" s="130"/>
      <c r="I399" s="130"/>
      <c r="J399" s="130"/>
      <c r="K399" s="130"/>
      <c r="L399" s="111"/>
      <c r="M399" s="130"/>
      <c r="N399" s="130"/>
      <c r="O399" s="130"/>
      <c r="P399" s="35"/>
      <c r="Q399" s="35"/>
      <c r="R399" s="35"/>
      <c r="S399" s="35"/>
    </row>
    <row r="400" spans="1:19" ht="17.25" customHeight="1" x14ac:dyDescent="0.2">
      <c r="A400" s="418" t="s">
        <v>324</v>
      </c>
      <c r="B400" s="414" t="s">
        <v>325</v>
      </c>
      <c r="C400" s="419">
        <f>SUM(C401,C410,C416,C418)</f>
        <v>123000</v>
      </c>
      <c r="D400" s="420"/>
      <c r="E400" s="420">
        <f t="shared" ref="E400:N400" si="675">SUM(E401,E410,E416,E418)</f>
        <v>61000</v>
      </c>
      <c r="F400" s="421">
        <f t="shared" si="675"/>
        <v>93000</v>
      </c>
      <c r="G400" s="421">
        <f t="shared" si="675"/>
        <v>16000</v>
      </c>
      <c r="H400" s="421">
        <f t="shared" si="675"/>
        <v>265000</v>
      </c>
      <c r="I400" s="421">
        <f t="shared" si="675"/>
        <v>7000</v>
      </c>
      <c r="J400" s="421">
        <f t="shared" si="675"/>
        <v>0</v>
      </c>
      <c r="K400" s="123">
        <f t="shared" si="675"/>
        <v>204000</v>
      </c>
      <c r="L400" s="124"/>
      <c r="M400" s="123">
        <f t="shared" si="675"/>
        <v>172000</v>
      </c>
      <c r="N400" s="123">
        <f t="shared" si="675"/>
        <v>-9000</v>
      </c>
      <c r="O400" s="123">
        <f t="shared" ref="O400" si="676">SUM(O401,O410,O416)</f>
        <v>0</v>
      </c>
      <c r="P400" s="35"/>
      <c r="Q400" s="35"/>
      <c r="R400" s="35"/>
      <c r="S400" s="35"/>
    </row>
    <row r="401" spans="1:19" x14ac:dyDescent="0.2">
      <c r="A401" s="125">
        <v>321</v>
      </c>
      <c r="B401" s="126" t="s">
        <v>12</v>
      </c>
      <c r="C401" s="97">
        <f t="shared" ref="C401:F401" si="677">SUM(C402:C403)</f>
        <v>12000</v>
      </c>
      <c r="D401" s="98"/>
      <c r="E401" s="98">
        <f t="shared" ref="E401" si="678">SUM(E402:E403)</f>
        <v>3000</v>
      </c>
      <c r="F401" s="127">
        <f t="shared" si="677"/>
        <v>9000</v>
      </c>
      <c r="G401" s="127">
        <f t="shared" ref="G401:H401" si="679">SUM(G402:G403)</f>
        <v>2000</v>
      </c>
      <c r="H401" s="127">
        <f t="shared" si="679"/>
        <v>12000</v>
      </c>
      <c r="I401" s="127">
        <f t="shared" ref="I401:J401" si="680">SUM(I402:I403)</f>
        <v>1000</v>
      </c>
      <c r="J401" s="127">
        <f t="shared" si="680"/>
        <v>0</v>
      </c>
      <c r="K401" s="127">
        <f t="shared" ref="K401" si="681">SUM(K402:K403)</f>
        <v>9000</v>
      </c>
      <c r="L401" s="100"/>
      <c r="M401" s="127">
        <f t="shared" ref="M401:O401" si="682">SUM(M402:M403)</f>
        <v>3000</v>
      </c>
      <c r="N401" s="127">
        <f t="shared" ref="N401" si="683">SUM(N402:N403)</f>
        <v>-1000</v>
      </c>
      <c r="O401" s="127">
        <f t="shared" si="682"/>
        <v>0</v>
      </c>
      <c r="P401" s="35"/>
      <c r="Q401" s="35"/>
      <c r="R401" s="35"/>
      <c r="S401" s="35"/>
    </row>
    <row r="402" spans="1:19" x14ac:dyDescent="0.2">
      <c r="A402" s="128">
        <v>3211</v>
      </c>
      <c r="B402" s="129" t="s">
        <v>13</v>
      </c>
      <c r="C402" s="103">
        <v>5000</v>
      </c>
      <c r="D402" s="104"/>
      <c r="E402" s="104">
        <v>2000</v>
      </c>
      <c r="F402" s="148">
        <v>4000</v>
      </c>
      <c r="G402" s="148">
        <v>1000</v>
      </c>
      <c r="H402" s="148">
        <v>5000</v>
      </c>
      <c r="I402" s="148">
        <v>1000</v>
      </c>
      <c r="J402" s="148"/>
      <c r="K402" s="105">
        <f t="shared" ref="K402:K403" si="684">H402-E402</f>
        <v>3000</v>
      </c>
      <c r="L402" s="104"/>
      <c r="M402" s="105">
        <f>H402-F402</f>
        <v>1000</v>
      </c>
      <c r="N402" s="105">
        <f>I402-G402</f>
        <v>0</v>
      </c>
      <c r="O402" s="148"/>
      <c r="P402" s="35"/>
      <c r="Q402" s="35"/>
      <c r="R402" s="35"/>
      <c r="S402" s="35"/>
    </row>
    <row r="403" spans="1:19" ht="12" customHeight="1" x14ac:dyDescent="0.2">
      <c r="A403" s="128">
        <v>3213</v>
      </c>
      <c r="B403" s="129" t="s">
        <v>15</v>
      </c>
      <c r="C403" s="103">
        <v>7000</v>
      </c>
      <c r="D403" s="104"/>
      <c r="E403" s="104">
        <v>1000</v>
      </c>
      <c r="F403" s="130">
        <v>5000</v>
      </c>
      <c r="G403" s="130">
        <v>1000</v>
      </c>
      <c r="H403" s="130">
        <v>7000</v>
      </c>
      <c r="I403" s="130"/>
      <c r="J403" s="130"/>
      <c r="K403" s="105">
        <f t="shared" si="684"/>
        <v>6000</v>
      </c>
      <c r="L403" s="104"/>
      <c r="M403" s="105">
        <f>H403-F403</f>
        <v>2000</v>
      </c>
      <c r="N403" s="105">
        <f>I403-G403</f>
        <v>-1000</v>
      </c>
      <c r="O403" s="130"/>
      <c r="P403" s="35"/>
      <c r="Q403" s="35"/>
      <c r="R403" s="35"/>
      <c r="S403" s="35"/>
    </row>
    <row r="404" spans="1:19" s="2" customFormat="1" hidden="1" x14ac:dyDescent="0.2">
      <c r="A404" s="160" t="s">
        <v>153</v>
      </c>
      <c r="B404" s="161" t="s">
        <v>16</v>
      </c>
      <c r="C404" s="162">
        <f t="shared" ref="C404:G404" si="685">SUM(C405:C409)</f>
        <v>0</v>
      </c>
      <c r="D404" s="163"/>
      <c r="E404" s="163">
        <f t="shared" ref="E404" si="686">SUM(E405:E409)</f>
        <v>0</v>
      </c>
      <c r="F404" s="164">
        <f t="shared" si="685"/>
        <v>0</v>
      </c>
      <c r="G404" s="164">
        <f t="shared" si="685"/>
        <v>0</v>
      </c>
      <c r="H404" s="164">
        <f t="shared" ref="H404:I404" si="687">SUM(H405:H409)</f>
        <v>0</v>
      </c>
      <c r="I404" s="164">
        <f t="shared" si="687"/>
        <v>0</v>
      </c>
      <c r="J404" s="164">
        <f t="shared" ref="J404:K404" si="688">SUM(J405:J409)</f>
        <v>0</v>
      </c>
      <c r="K404" s="164">
        <f t="shared" si="688"/>
        <v>0</v>
      </c>
      <c r="L404" s="165"/>
      <c r="M404" s="164">
        <f t="shared" ref="M404:O404" si="689">SUM(M405:M409)</f>
        <v>0</v>
      </c>
      <c r="N404" s="164">
        <f t="shared" ref="N404" si="690">SUM(N405:N409)</f>
        <v>0</v>
      </c>
      <c r="O404" s="164">
        <f t="shared" si="689"/>
        <v>0</v>
      </c>
      <c r="P404" s="50"/>
      <c r="Q404" s="50"/>
      <c r="R404" s="50"/>
      <c r="S404" s="50"/>
    </row>
    <row r="405" spans="1:19" hidden="1" x14ac:dyDescent="0.2">
      <c r="A405" s="167" t="s">
        <v>154</v>
      </c>
      <c r="B405" s="168" t="s">
        <v>17</v>
      </c>
      <c r="C405" s="169"/>
      <c r="D405" s="170"/>
      <c r="E405" s="170"/>
      <c r="F405" s="171"/>
      <c r="G405" s="171"/>
      <c r="H405" s="171"/>
      <c r="I405" s="171"/>
      <c r="J405" s="171"/>
      <c r="K405" s="171"/>
      <c r="L405" s="172"/>
      <c r="M405" s="171"/>
      <c r="N405" s="171"/>
      <c r="O405" s="171"/>
      <c r="P405" s="35"/>
      <c r="Q405" s="35"/>
      <c r="R405" s="35"/>
      <c r="S405" s="35"/>
    </row>
    <row r="406" spans="1:19" hidden="1" x14ac:dyDescent="0.2">
      <c r="A406" s="167" t="s">
        <v>155</v>
      </c>
      <c r="B406" s="168" t="s">
        <v>18</v>
      </c>
      <c r="C406" s="169"/>
      <c r="D406" s="170"/>
      <c r="E406" s="170"/>
      <c r="F406" s="171"/>
      <c r="G406" s="171"/>
      <c r="H406" s="171"/>
      <c r="I406" s="171"/>
      <c r="J406" s="171"/>
      <c r="K406" s="171"/>
      <c r="L406" s="172"/>
      <c r="M406" s="171"/>
      <c r="N406" s="171"/>
      <c r="O406" s="171"/>
      <c r="P406" s="35"/>
      <c r="Q406" s="35"/>
      <c r="R406" s="35"/>
      <c r="S406" s="35"/>
    </row>
    <row r="407" spans="1:19" hidden="1" x14ac:dyDescent="0.2">
      <c r="A407" s="167" t="s">
        <v>156</v>
      </c>
      <c r="B407" s="168" t="s">
        <v>19</v>
      </c>
      <c r="C407" s="169"/>
      <c r="D407" s="170"/>
      <c r="E407" s="170"/>
      <c r="F407" s="171"/>
      <c r="G407" s="171"/>
      <c r="H407" s="171"/>
      <c r="I407" s="171"/>
      <c r="J407" s="171"/>
      <c r="K407" s="171"/>
      <c r="L407" s="172"/>
      <c r="M407" s="171"/>
      <c r="N407" s="171"/>
      <c r="O407" s="171"/>
      <c r="P407" s="35"/>
      <c r="Q407" s="35"/>
      <c r="R407" s="35"/>
      <c r="S407" s="35"/>
    </row>
    <row r="408" spans="1:19" hidden="1" x14ac:dyDescent="0.2">
      <c r="A408" s="167" t="s">
        <v>158</v>
      </c>
      <c r="B408" s="168" t="s">
        <v>21</v>
      </c>
      <c r="C408" s="169"/>
      <c r="D408" s="170"/>
      <c r="E408" s="170"/>
      <c r="F408" s="171"/>
      <c r="G408" s="171"/>
      <c r="H408" s="171"/>
      <c r="I408" s="171"/>
      <c r="J408" s="171"/>
      <c r="K408" s="171"/>
      <c r="L408" s="172"/>
      <c r="M408" s="171"/>
      <c r="N408" s="171"/>
      <c r="O408" s="171"/>
      <c r="P408" s="35"/>
      <c r="Q408" s="35"/>
      <c r="R408" s="35"/>
      <c r="S408" s="35"/>
    </row>
    <row r="409" spans="1:19" hidden="1" x14ac:dyDescent="0.2">
      <c r="A409" s="167" t="s">
        <v>185</v>
      </c>
      <c r="B409" s="168" t="s">
        <v>22</v>
      </c>
      <c r="C409" s="169"/>
      <c r="D409" s="170"/>
      <c r="E409" s="170"/>
      <c r="F409" s="171"/>
      <c r="G409" s="171"/>
      <c r="H409" s="171"/>
      <c r="I409" s="171"/>
      <c r="J409" s="171"/>
      <c r="K409" s="171"/>
      <c r="L409" s="172"/>
      <c r="M409" s="171"/>
      <c r="N409" s="171"/>
      <c r="O409" s="171"/>
      <c r="P409" s="35"/>
      <c r="Q409" s="35"/>
      <c r="R409" s="35"/>
      <c r="S409" s="35"/>
    </row>
    <row r="410" spans="1:19" s="2" customFormat="1" x14ac:dyDescent="0.2">
      <c r="A410" s="242" t="s">
        <v>159</v>
      </c>
      <c r="B410" s="161" t="s">
        <v>123</v>
      </c>
      <c r="C410" s="162">
        <f>SUM(C413:C415)</f>
        <v>108000</v>
      </c>
      <c r="D410" s="163"/>
      <c r="E410" s="163">
        <f>SUM(E413:E415)</f>
        <v>55000</v>
      </c>
      <c r="F410" s="164">
        <f t="shared" ref="F410:G410" si="691">SUM(F413:F415)</f>
        <v>82000</v>
      </c>
      <c r="G410" s="164">
        <f t="shared" si="691"/>
        <v>13000</v>
      </c>
      <c r="H410" s="164">
        <f t="shared" ref="H410:I410" si="692">SUM(H413:H415)</f>
        <v>249000</v>
      </c>
      <c r="I410" s="164">
        <f t="shared" si="692"/>
        <v>6000</v>
      </c>
      <c r="J410" s="164">
        <f t="shared" ref="J410:K410" si="693">SUM(J413:J415)</f>
        <v>0</v>
      </c>
      <c r="K410" s="164">
        <f t="shared" si="693"/>
        <v>194000</v>
      </c>
      <c r="L410" s="165"/>
      <c r="M410" s="164">
        <f t="shared" ref="M410:O410" si="694">SUM(M413:M415)</f>
        <v>167000</v>
      </c>
      <c r="N410" s="164">
        <f t="shared" ref="N410" si="695">SUM(N413:N415)</f>
        <v>-7000</v>
      </c>
      <c r="O410" s="164">
        <f t="shared" si="694"/>
        <v>0</v>
      </c>
      <c r="P410" s="50"/>
      <c r="Q410" s="50"/>
      <c r="R410" s="50"/>
      <c r="S410" s="50"/>
    </row>
    <row r="411" spans="1:19" ht="13.5" hidden="1" customHeight="1" x14ac:dyDescent="0.2">
      <c r="A411" s="210">
        <v>3233</v>
      </c>
      <c r="B411" s="150" t="s">
        <v>26</v>
      </c>
      <c r="C411" s="103"/>
      <c r="D411" s="104"/>
      <c r="E411" s="104"/>
      <c r="F411" s="148"/>
      <c r="G411" s="148"/>
      <c r="H411" s="148"/>
      <c r="I411" s="148"/>
      <c r="J411" s="148"/>
      <c r="K411" s="148"/>
      <c r="L411" s="111"/>
      <c r="M411" s="148"/>
      <c r="N411" s="148"/>
      <c r="O411" s="148"/>
      <c r="P411" s="35"/>
      <c r="Q411" s="35"/>
      <c r="R411" s="35"/>
      <c r="S411" s="35"/>
    </row>
    <row r="412" spans="1:19" hidden="1" x14ac:dyDescent="0.2">
      <c r="A412" s="135">
        <v>3235</v>
      </c>
      <c r="B412" s="136" t="s">
        <v>28</v>
      </c>
      <c r="C412" s="141"/>
      <c r="D412" s="142"/>
      <c r="E412" s="142"/>
      <c r="F412" s="143"/>
      <c r="G412" s="143"/>
      <c r="H412" s="143"/>
      <c r="I412" s="143"/>
      <c r="J412" s="143"/>
      <c r="K412" s="143"/>
      <c r="L412" s="145"/>
      <c r="M412" s="143"/>
      <c r="N412" s="143"/>
      <c r="O412" s="143"/>
      <c r="P412" s="35"/>
      <c r="Q412" s="35"/>
      <c r="R412" s="35"/>
      <c r="S412" s="35"/>
    </row>
    <row r="413" spans="1:19" x14ac:dyDescent="0.2">
      <c r="A413" s="210">
        <v>3235</v>
      </c>
      <c r="B413" s="211" t="s">
        <v>28</v>
      </c>
      <c r="C413" s="141">
        <v>3000</v>
      </c>
      <c r="D413" s="142"/>
      <c r="E413" s="142">
        <v>0</v>
      </c>
      <c r="F413" s="212">
        <v>2000</v>
      </c>
      <c r="G413" s="212">
        <v>1000</v>
      </c>
      <c r="H413" s="212">
        <v>7000</v>
      </c>
      <c r="I413" s="212">
        <v>1000</v>
      </c>
      <c r="J413" s="212"/>
      <c r="K413" s="105">
        <f t="shared" ref="K413:K415" si="696">H413-E413</f>
        <v>7000</v>
      </c>
      <c r="L413" s="104"/>
      <c r="M413" s="105">
        <f t="shared" ref="M413:N415" si="697">H413-F413</f>
        <v>5000</v>
      </c>
      <c r="N413" s="105">
        <f t="shared" si="697"/>
        <v>0</v>
      </c>
      <c r="O413" s="212"/>
      <c r="P413" s="35"/>
      <c r="Q413" s="35"/>
      <c r="R413" s="35"/>
      <c r="S413" s="35"/>
    </row>
    <row r="414" spans="1:19" x14ac:dyDescent="0.2">
      <c r="A414" s="167" t="s">
        <v>166</v>
      </c>
      <c r="B414" s="168" t="s">
        <v>30</v>
      </c>
      <c r="C414" s="169">
        <v>102000</v>
      </c>
      <c r="D414" s="170"/>
      <c r="E414" s="170">
        <v>52000</v>
      </c>
      <c r="F414" s="171">
        <v>78000</v>
      </c>
      <c r="G414" s="171">
        <v>11000</v>
      </c>
      <c r="H414" s="171">
        <v>237000</v>
      </c>
      <c r="I414" s="171">
        <v>5000</v>
      </c>
      <c r="J414" s="171"/>
      <c r="K414" s="105">
        <f t="shared" si="696"/>
        <v>185000</v>
      </c>
      <c r="L414" s="104"/>
      <c r="M414" s="105">
        <f t="shared" si="697"/>
        <v>159000</v>
      </c>
      <c r="N414" s="105">
        <f t="shared" si="697"/>
        <v>-6000</v>
      </c>
      <c r="O414" s="171"/>
      <c r="P414" s="35"/>
      <c r="Q414" s="35"/>
      <c r="R414" s="35"/>
      <c r="S414" s="35"/>
    </row>
    <row r="415" spans="1:19" x14ac:dyDescent="0.2">
      <c r="A415" s="179">
        <v>3239</v>
      </c>
      <c r="B415" s="211" t="s">
        <v>31</v>
      </c>
      <c r="C415" s="169">
        <v>3000</v>
      </c>
      <c r="D415" s="170"/>
      <c r="E415" s="170">
        <v>3000</v>
      </c>
      <c r="F415" s="215">
        <v>2000</v>
      </c>
      <c r="G415" s="215">
        <v>1000</v>
      </c>
      <c r="H415" s="215">
        <v>5000</v>
      </c>
      <c r="I415" s="215"/>
      <c r="J415" s="215"/>
      <c r="K415" s="105">
        <f t="shared" si="696"/>
        <v>2000</v>
      </c>
      <c r="L415" s="104"/>
      <c r="M415" s="105">
        <f t="shared" si="697"/>
        <v>3000</v>
      </c>
      <c r="N415" s="105">
        <f t="shared" si="697"/>
        <v>-1000</v>
      </c>
      <c r="O415" s="215"/>
      <c r="P415" s="35"/>
      <c r="Q415" s="35"/>
      <c r="R415" s="35"/>
      <c r="S415" s="35"/>
    </row>
    <row r="416" spans="1:19" x14ac:dyDescent="0.2">
      <c r="A416" s="216">
        <v>324</v>
      </c>
      <c r="B416" s="152" t="s">
        <v>32</v>
      </c>
      <c r="C416" s="97">
        <f t="shared" ref="C416:O416" si="698">SUM(C417)</f>
        <v>3000</v>
      </c>
      <c r="D416" s="98"/>
      <c r="E416" s="98">
        <f t="shared" si="698"/>
        <v>3000</v>
      </c>
      <c r="F416" s="127">
        <f t="shared" si="698"/>
        <v>2000</v>
      </c>
      <c r="G416" s="127">
        <f t="shared" si="698"/>
        <v>1000</v>
      </c>
      <c r="H416" s="127">
        <f t="shared" si="698"/>
        <v>3000</v>
      </c>
      <c r="I416" s="127">
        <f t="shared" si="698"/>
        <v>0</v>
      </c>
      <c r="J416" s="127">
        <f t="shared" si="698"/>
        <v>0</v>
      </c>
      <c r="K416" s="127">
        <f t="shared" si="698"/>
        <v>0</v>
      </c>
      <c r="L416" s="100"/>
      <c r="M416" s="127">
        <f t="shared" si="698"/>
        <v>1000</v>
      </c>
      <c r="N416" s="127">
        <f t="shared" si="698"/>
        <v>-1000</v>
      </c>
      <c r="O416" s="127">
        <f t="shared" si="698"/>
        <v>0</v>
      </c>
      <c r="P416" s="35"/>
      <c r="Q416" s="35"/>
      <c r="R416" s="35"/>
      <c r="S416" s="35"/>
    </row>
    <row r="417" spans="1:19" x14ac:dyDescent="0.2">
      <c r="A417" s="202">
        <v>3241</v>
      </c>
      <c r="B417" s="136" t="s">
        <v>32</v>
      </c>
      <c r="C417" s="141">
        <v>3000</v>
      </c>
      <c r="D417" s="142"/>
      <c r="E417" s="142">
        <v>3000</v>
      </c>
      <c r="F417" s="187">
        <v>2000</v>
      </c>
      <c r="G417" s="187">
        <v>1000</v>
      </c>
      <c r="H417" s="187">
        <v>3000</v>
      </c>
      <c r="I417" s="187"/>
      <c r="J417" s="187"/>
      <c r="K417" s="105">
        <f t="shared" ref="K417:K419" si="699">H417-E417</f>
        <v>0</v>
      </c>
      <c r="L417" s="104"/>
      <c r="M417" s="105">
        <f t="shared" ref="M417" si="700">H417-F417</f>
        <v>1000</v>
      </c>
      <c r="N417" s="105">
        <f>I417-G417</f>
        <v>-1000</v>
      </c>
      <c r="O417" s="187"/>
      <c r="P417" s="35"/>
      <c r="Q417" s="35"/>
      <c r="R417" s="35"/>
      <c r="S417" s="35"/>
    </row>
    <row r="418" spans="1:19" ht="23.25" customHeight="1" x14ac:dyDescent="0.2">
      <c r="A418" s="151">
        <v>329</v>
      </c>
      <c r="B418" s="126" t="s">
        <v>33</v>
      </c>
      <c r="C418" s="97">
        <f t="shared" ref="C418:O418" si="701">SUM(C419)</f>
        <v>0</v>
      </c>
      <c r="D418" s="98"/>
      <c r="E418" s="98">
        <f t="shared" si="701"/>
        <v>0</v>
      </c>
      <c r="F418" s="127">
        <f t="shared" si="701"/>
        <v>0</v>
      </c>
      <c r="G418" s="127">
        <f t="shared" si="701"/>
        <v>0</v>
      </c>
      <c r="H418" s="127">
        <f t="shared" si="701"/>
        <v>1000</v>
      </c>
      <c r="I418" s="127">
        <f t="shared" si="701"/>
        <v>0</v>
      </c>
      <c r="J418" s="127">
        <f t="shared" si="701"/>
        <v>0</v>
      </c>
      <c r="K418" s="127">
        <f t="shared" si="701"/>
        <v>1000</v>
      </c>
      <c r="L418" s="100"/>
      <c r="M418" s="127">
        <f t="shared" si="701"/>
        <v>1000</v>
      </c>
      <c r="N418" s="127">
        <f t="shared" si="701"/>
        <v>0</v>
      </c>
      <c r="O418" s="127">
        <f t="shared" si="701"/>
        <v>0</v>
      </c>
      <c r="P418" s="35"/>
      <c r="Q418" s="35"/>
      <c r="R418" s="35"/>
      <c r="S418" s="35"/>
    </row>
    <row r="419" spans="1:19" x14ac:dyDescent="0.2">
      <c r="A419" s="135">
        <v>3299</v>
      </c>
      <c r="B419" s="136" t="s">
        <v>33</v>
      </c>
      <c r="C419" s="103"/>
      <c r="D419" s="104"/>
      <c r="E419" s="104"/>
      <c r="F419" s="130"/>
      <c r="G419" s="130"/>
      <c r="H419" s="130">
        <v>1000</v>
      </c>
      <c r="I419" s="130"/>
      <c r="J419" s="130"/>
      <c r="K419" s="105">
        <f t="shared" si="699"/>
        <v>1000</v>
      </c>
      <c r="L419" s="104"/>
      <c r="M419" s="105">
        <f t="shared" ref="M419" si="702">H419-F419</f>
        <v>1000</v>
      </c>
      <c r="N419" s="105">
        <f t="shared" ref="N419" si="703">I419-G419</f>
        <v>0</v>
      </c>
      <c r="O419" s="130"/>
      <c r="P419" s="35"/>
      <c r="Q419" s="35"/>
      <c r="R419" s="35"/>
      <c r="S419" s="35"/>
    </row>
    <row r="420" spans="1:19" ht="51" x14ac:dyDescent="0.2">
      <c r="A420" s="208" t="s">
        <v>83</v>
      </c>
      <c r="B420" s="113" t="s">
        <v>368</v>
      </c>
      <c r="C420" s="114">
        <f t="shared" ref="C420:O420" si="704">SUM(C421)</f>
        <v>827000</v>
      </c>
      <c r="D420" s="115"/>
      <c r="E420" s="115">
        <f t="shared" si="704"/>
        <v>184000</v>
      </c>
      <c r="F420" s="116">
        <f t="shared" si="704"/>
        <v>106000</v>
      </c>
      <c r="G420" s="116">
        <f t="shared" si="704"/>
        <v>0</v>
      </c>
      <c r="H420" s="116">
        <f t="shared" si="704"/>
        <v>200000</v>
      </c>
      <c r="I420" s="116">
        <f t="shared" si="704"/>
        <v>0</v>
      </c>
      <c r="J420" s="116">
        <f t="shared" si="704"/>
        <v>0</v>
      </c>
      <c r="K420" s="116">
        <f t="shared" si="704"/>
        <v>16000</v>
      </c>
      <c r="L420" s="117"/>
      <c r="M420" s="116">
        <f t="shared" si="704"/>
        <v>94000</v>
      </c>
      <c r="N420" s="116">
        <f t="shared" si="704"/>
        <v>0</v>
      </c>
      <c r="O420" s="116">
        <f t="shared" si="704"/>
        <v>0</v>
      </c>
      <c r="P420" s="35"/>
      <c r="Q420" s="35"/>
      <c r="R420" s="35"/>
      <c r="S420" s="35"/>
    </row>
    <row r="421" spans="1:19" ht="16.5" customHeight="1" x14ac:dyDescent="0.2">
      <c r="A421" s="704" t="s">
        <v>77</v>
      </c>
      <c r="B421" s="704"/>
      <c r="C421" s="229">
        <f>SUM(C422,C439,C442)</f>
        <v>827000</v>
      </c>
      <c r="D421" s="230"/>
      <c r="E421" s="230">
        <f t="shared" ref="E421:O421" si="705">SUM(E422,E439,E442)</f>
        <v>184000</v>
      </c>
      <c r="F421" s="231">
        <f t="shared" si="705"/>
        <v>106000</v>
      </c>
      <c r="G421" s="231">
        <f t="shared" si="705"/>
        <v>0</v>
      </c>
      <c r="H421" s="231">
        <f t="shared" si="705"/>
        <v>200000</v>
      </c>
      <c r="I421" s="231">
        <f t="shared" si="705"/>
        <v>0</v>
      </c>
      <c r="J421" s="231">
        <f t="shared" si="705"/>
        <v>0</v>
      </c>
      <c r="K421" s="240">
        <f t="shared" si="705"/>
        <v>16000</v>
      </c>
      <c r="L421" s="241"/>
      <c r="M421" s="240">
        <f t="shared" si="705"/>
        <v>94000</v>
      </c>
      <c r="N421" s="240">
        <f t="shared" si="705"/>
        <v>0</v>
      </c>
      <c r="O421" s="240">
        <f t="shared" si="705"/>
        <v>0</v>
      </c>
      <c r="P421" s="35"/>
      <c r="Q421" s="35"/>
      <c r="R421" s="35"/>
      <c r="S421" s="35"/>
    </row>
    <row r="422" spans="1:19" ht="16.5" customHeight="1" x14ac:dyDescent="0.2">
      <c r="A422" s="418" t="s">
        <v>324</v>
      </c>
      <c r="B422" s="414" t="s">
        <v>325</v>
      </c>
      <c r="C422" s="419">
        <f t="shared" ref="C422:O422" si="706">SUM(C423,C430,C437)</f>
        <v>97000</v>
      </c>
      <c r="D422" s="420"/>
      <c r="E422" s="420">
        <f t="shared" si="706"/>
        <v>101000</v>
      </c>
      <c r="F422" s="421">
        <f t="shared" si="706"/>
        <v>106000</v>
      </c>
      <c r="G422" s="421">
        <f t="shared" si="706"/>
        <v>0</v>
      </c>
      <c r="H422" s="421">
        <f t="shared" si="706"/>
        <v>0</v>
      </c>
      <c r="I422" s="421">
        <f t="shared" si="706"/>
        <v>0</v>
      </c>
      <c r="J422" s="421">
        <f t="shared" si="706"/>
        <v>0</v>
      </c>
      <c r="K422" s="123">
        <f t="shared" si="706"/>
        <v>-101000</v>
      </c>
      <c r="L422" s="124"/>
      <c r="M422" s="123">
        <f t="shared" si="706"/>
        <v>-106000</v>
      </c>
      <c r="N422" s="123">
        <f t="shared" si="706"/>
        <v>0</v>
      </c>
      <c r="O422" s="123">
        <f t="shared" si="706"/>
        <v>0</v>
      </c>
      <c r="P422" s="35"/>
      <c r="Q422" s="35"/>
      <c r="R422" s="35"/>
      <c r="S422" s="35"/>
    </row>
    <row r="423" spans="1:19" s="2" customFormat="1" x14ac:dyDescent="0.2">
      <c r="A423" s="160" t="s">
        <v>149</v>
      </c>
      <c r="B423" s="161" t="s">
        <v>12</v>
      </c>
      <c r="C423" s="162">
        <f t="shared" ref="C423:F423" si="707">SUM(C424:C425)</f>
        <v>27000</v>
      </c>
      <c r="D423" s="163"/>
      <c r="E423" s="163">
        <f t="shared" ref="E423" si="708">SUM(E424:E425)</f>
        <v>0</v>
      </c>
      <c r="F423" s="164">
        <f t="shared" si="707"/>
        <v>0</v>
      </c>
      <c r="G423" s="164">
        <f t="shared" ref="G423:H423" si="709">SUM(G424:G425)</f>
        <v>0</v>
      </c>
      <c r="H423" s="164">
        <f t="shared" si="709"/>
        <v>0</v>
      </c>
      <c r="I423" s="164">
        <f t="shared" ref="I423:J423" si="710">SUM(I424:I425)</f>
        <v>0</v>
      </c>
      <c r="J423" s="164">
        <f t="shared" si="710"/>
        <v>0</v>
      </c>
      <c r="K423" s="164">
        <f t="shared" ref="K423" si="711">SUM(K424:K425)</f>
        <v>0</v>
      </c>
      <c r="L423" s="165"/>
      <c r="M423" s="164">
        <f t="shared" ref="M423:O423" si="712">SUM(M424:M425)</f>
        <v>0</v>
      </c>
      <c r="N423" s="164">
        <f t="shared" ref="N423" si="713">SUM(N424:N425)</f>
        <v>0</v>
      </c>
      <c r="O423" s="164">
        <f t="shared" si="712"/>
        <v>0</v>
      </c>
      <c r="P423" s="50"/>
      <c r="Q423" s="50"/>
      <c r="R423" s="50"/>
      <c r="S423" s="50"/>
    </row>
    <row r="424" spans="1:19" x14ac:dyDescent="0.2">
      <c r="A424" s="167" t="s">
        <v>150</v>
      </c>
      <c r="B424" s="168" t="s">
        <v>13</v>
      </c>
      <c r="C424" s="169">
        <v>7000</v>
      </c>
      <c r="D424" s="170"/>
      <c r="E424" s="170">
        <v>0</v>
      </c>
      <c r="F424" s="171"/>
      <c r="G424" s="171"/>
      <c r="H424" s="171"/>
      <c r="I424" s="171"/>
      <c r="J424" s="171"/>
      <c r="K424" s="105">
        <f t="shared" ref="K424:K425" si="714">H424-E424</f>
        <v>0</v>
      </c>
      <c r="L424" s="104"/>
      <c r="M424" s="105">
        <f>H424-F424</f>
        <v>0</v>
      </c>
      <c r="N424" s="105">
        <f>I424-G424</f>
        <v>0</v>
      </c>
      <c r="O424" s="171"/>
      <c r="P424" s="35"/>
      <c r="Q424" s="35"/>
      <c r="R424" s="35"/>
      <c r="S424" s="35"/>
    </row>
    <row r="425" spans="1:19" x14ac:dyDescent="0.2">
      <c r="A425" s="167" t="s">
        <v>152</v>
      </c>
      <c r="B425" s="168" t="s">
        <v>15</v>
      </c>
      <c r="C425" s="169">
        <v>20000</v>
      </c>
      <c r="D425" s="170"/>
      <c r="E425" s="170">
        <v>0</v>
      </c>
      <c r="F425" s="171"/>
      <c r="G425" s="171"/>
      <c r="H425" s="171"/>
      <c r="I425" s="171"/>
      <c r="J425" s="171"/>
      <c r="K425" s="105">
        <f t="shared" si="714"/>
        <v>0</v>
      </c>
      <c r="L425" s="104"/>
      <c r="M425" s="105">
        <f>H425-F425</f>
        <v>0</v>
      </c>
      <c r="N425" s="105">
        <f>I425-G425</f>
        <v>0</v>
      </c>
      <c r="O425" s="171"/>
      <c r="P425" s="35"/>
      <c r="Q425" s="35"/>
      <c r="R425" s="35"/>
      <c r="S425" s="35"/>
    </row>
    <row r="426" spans="1:19" s="2" customFormat="1" ht="15" hidden="1" customHeight="1" x14ac:dyDescent="0.2">
      <c r="A426" s="160" t="s">
        <v>153</v>
      </c>
      <c r="B426" s="161" t="s">
        <v>16</v>
      </c>
      <c r="C426" s="162">
        <f t="shared" ref="C426:F426" si="715">SUM(C427:C429)</f>
        <v>0</v>
      </c>
      <c r="D426" s="163"/>
      <c r="E426" s="163">
        <f t="shared" ref="E426" si="716">SUM(E427:E429)</f>
        <v>0</v>
      </c>
      <c r="F426" s="164">
        <f t="shared" si="715"/>
        <v>0</v>
      </c>
      <c r="G426" s="164">
        <f t="shared" ref="G426:H426" si="717">SUM(G427:G429)</f>
        <v>0</v>
      </c>
      <c r="H426" s="164">
        <f t="shared" si="717"/>
        <v>0</v>
      </c>
      <c r="I426" s="164">
        <f t="shared" ref="I426:J426" si="718">SUM(I427:I429)</f>
        <v>0</v>
      </c>
      <c r="J426" s="164">
        <f t="shared" si="718"/>
        <v>0</v>
      </c>
      <c r="K426" s="164">
        <f t="shared" ref="K426" si="719">SUM(K427:K429)</f>
        <v>0</v>
      </c>
      <c r="L426" s="165"/>
      <c r="M426" s="164">
        <f t="shared" ref="M426:O426" si="720">SUM(M427:M429)</f>
        <v>0</v>
      </c>
      <c r="N426" s="164">
        <f t="shared" ref="N426" si="721">SUM(N427:N429)</f>
        <v>0</v>
      </c>
      <c r="O426" s="164">
        <f t="shared" si="720"/>
        <v>0</v>
      </c>
      <c r="P426" s="50"/>
      <c r="Q426" s="50"/>
      <c r="R426" s="50"/>
      <c r="S426" s="50"/>
    </row>
    <row r="427" spans="1:19" hidden="1" x14ac:dyDescent="0.2">
      <c r="A427" s="167" t="s">
        <v>155</v>
      </c>
      <c r="B427" s="168" t="s">
        <v>18</v>
      </c>
      <c r="C427" s="169"/>
      <c r="D427" s="170"/>
      <c r="E427" s="170"/>
      <c r="F427" s="171"/>
      <c r="G427" s="171"/>
      <c r="H427" s="171"/>
      <c r="I427" s="171"/>
      <c r="J427" s="171"/>
      <c r="K427" s="171"/>
      <c r="L427" s="172"/>
      <c r="M427" s="171"/>
      <c r="N427" s="171"/>
      <c r="O427" s="171"/>
      <c r="P427" s="35"/>
      <c r="Q427" s="35"/>
      <c r="R427" s="35"/>
      <c r="S427" s="35"/>
    </row>
    <row r="428" spans="1:19" hidden="1" x14ac:dyDescent="0.2">
      <c r="A428" s="167">
        <v>3223</v>
      </c>
      <c r="B428" s="168" t="s">
        <v>19</v>
      </c>
      <c r="C428" s="169"/>
      <c r="D428" s="170"/>
      <c r="E428" s="170"/>
      <c r="F428" s="171"/>
      <c r="G428" s="171"/>
      <c r="H428" s="171"/>
      <c r="I428" s="171"/>
      <c r="J428" s="171"/>
      <c r="K428" s="171"/>
      <c r="L428" s="172"/>
      <c r="M428" s="171"/>
      <c r="N428" s="171"/>
      <c r="O428" s="171"/>
      <c r="P428" s="35"/>
      <c r="Q428" s="35"/>
      <c r="R428" s="35"/>
      <c r="S428" s="35"/>
    </row>
    <row r="429" spans="1:19" hidden="1" x14ac:dyDescent="0.2">
      <c r="A429" s="167" t="s">
        <v>158</v>
      </c>
      <c r="B429" s="168" t="s">
        <v>21</v>
      </c>
      <c r="C429" s="169"/>
      <c r="D429" s="170"/>
      <c r="E429" s="170"/>
      <c r="F429" s="215"/>
      <c r="G429" s="215"/>
      <c r="H429" s="215"/>
      <c r="I429" s="215"/>
      <c r="J429" s="215"/>
      <c r="K429" s="215"/>
      <c r="L429" s="172"/>
      <c r="M429" s="215"/>
      <c r="N429" s="215"/>
      <c r="O429" s="215"/>
      <c r="P429" s="35"/>
      <c r="Q429" s="35"/>
      <c r="R429" s="35"/>
      <c r="S429" s="35"/>
    </row>
    <row r="430" spans="1:19" s="2" customFormat="1" x14ac:dyDescent="0.2">
      <c r="A430" s="160" t="s">
        <v>159</v>
      </c>
      <c r="B430" s="161" t="s">
        <v>123</v>
      </c>
      <c r="C430" s="162">
        <f t="shared" ref="C430:F430" si="722">SUM(C431:C436)</f>
        <v>70000</v>
      </c>
      <c r="D430" s="163"/>
      <c r="E430" s="163">
        <f t="shared" ref="E430" si="723">SUM(E431:E436)</f>
        <v>101000</v>
      </c>
      <c r="F430" s="164">
        <f t="shared" si="722"/>
        <v>106000</v>
      </c>
      <c r="G430" s="164">
        <f t="shared" ref="G430:H430" si="724">SUM(G431:G436)</f>
        <v>0</v>
      </c>
      <c r="H430" s="164">
        <f t="shared" si="724"/>
        <v>0</v>
      </c>
      <c r="I430" s="164">
        <f t="shared" ref="I430:J430" si="725">SUM(I431:I436)</f>
        <v>0</v>
      </c>
      <c r="J430" s="164">
        <f t="shared" si="725"/>
        <v>0</v>
      </c>
      <c r="K430" s="164">
        <f t="shared" ref="K430" si="726">SUM(K431:K436)</f>
        <v>-101000</v>
      </c>
      <c r="L430" s="165"/>
      <c r="M430" s="164">
        <f t="shared" ref="M430:O430" si="727">SUM(M431:M436)</f>
        <v>-106000</v>
      </c>
      <c r="N430" s="164">
        <f t="shared" ref="N430" si="728">SUM(N431:N436)</f>
        <v>0</v>
      </c>
      <c r="O430" s="164">
        <f t="shared" si="727"/>
        <v>0</v>
      </c>
      <c r="P430" s="50"/>
      <c r="Q430" s="50"/>
      <c r="R430" s="50"/>
      <c r="S430" s="50"/>
    </row>
    <row r="431" spans="1:19" ht="12.75" customHeight="1" x14ac:dyDescent="0.2">
      <c r="A431" s="167" t="s">
        <v>160</v>
      </c>
      <c r="B431" s="168" t="s">
        <v>24</v>
      </c>
      <c r="C431" s="169"/>
      <c r="D431" s="170"/>
      <c r="E431" s="170"/>
      <c r="F431" s="171"/>
      <c r="G431" s="171"/>
      <c r="H431" s="171"/>
      <c r="I431" s="171"/>
      <c r="J431" s="171"/>
      <c r="K431" s="105">
        <f t="shared" ref="K431:K436" si="729">H431-E431</f>
        <v>0</v>
      </c>
      <c r="L431" s="104"/>
      <c r="M431" s="105">
        <f t="shared" ref="M431:N436" si="730">H431-F431</f>
        <v>0</v>
      </c>
      <c r="N431" s="105">
        <f t="shared" si="730"/>
        <v>0</v>
      </c>
      <c r="O431" s="171"/>
      <c r="P431" s="35"/>
      <c r="Q431" s="35"/>
      <c r="R431" s="35"/>
      <c r="S431" s="35"/>
    </row>
    <row r="432" spans="1:19" x14ac:dyDescent="0.2">
      <c r="A432" s="179">
        <v>3232</v>
      </c>
      <c r="B432" s="180" t="s">
        <v>25</v>
      </c>
      <c r="C432" s="169">
        <v>20000</v>
      </c>
      <c r="D432" s="170"/>
      <c r="E432" s="170">
        <v>40000</v>
      </c>
      <c r="F432" s="215"/>
      <c r="G432" s="215"/>
      <c r="H432" s="215"/>
      <c r="I432" s="215"/>
      <c r="J432" s="215"/>
      <c r="K432" s="105">
        <f t="shared" si="729"/>
        <v>-40000</v>
      </c>
      <c r="L432" s="104"/>
      <c r="M432" s="105">
        <f t="shared" si="730"/>
        <v>0</v>
      </c>
      <c r="N432" s="105">
        <f t="shared" si="730"/>
        <v>0</v>
      </c>
      <c r="O432" s="215"/>
      <c r="P432" s="35"/>
      <c r="Q432" s="35"/>
      <c r="R432" s="35"/>
      <c r="S432" s="35"/>
    </row>
    <row r="433" spans="1:19" x14ac:dyDescent="0.2">
      <c r="A433" s="167" t="s">
        <v>162</v>
      </c>
      <c r="B433" s="168" t="s">
        <v>26</v>
      </c>
      <c r="C433" s="169"/>
      <c r="D433" s="170"/>
      <c r="E433" s="170"/>
      <c r="F433" s="171"/>
      <c r="G433" s="171"/>
      <c r="H433" s="171"/>
      <c r="I433" s="171"/>
      <c r="J433" s="171"/>
      <c r="K433" s="105">
        <f t="shared" si="729"/>
        <v>0</v>
      </c>
      <c r="L433" s="104"/>
      <c r="M433" s="105">
        <f t="shared" si="730"/>
        <v>0</v>
      </c>
      <c r="N433" s="105">
        <f t="shared" si="730"/>
        <v>0</v>
      </c>
      <c r="O433" s="171"/>
      <c r="P433" s="35"/>
      <c r="Q433" s="35"/>
      <c r="R433" s="35"/>
      <c r="S433" s="35"/>
    </row>
    <row r="434" spans="1:19" x14ac:dyDescent="0.2">
      <c r="A434" s="167" t="s">
        <v>166</v>
      </c>
      <c r="B434" s="168" t="s">
        <v>30</v>
      </c>
      <c r="C434" s="169"/>
      <c r="D434" s="170"/>
      <c r="E434" s="170"/>
      <c r="F434" s="171"/>
      <c r="G434" s="171"/>
      <c r="H434" s="171"/>
      <c r="I434" s="171"/>
      <c r="J434" s="171"/>
      <c r="K434" s="105">
        <f t="shared" si="729"/>
        <v>0</v>
      </c>
      <c r="L434" s="104"/>
      <c r="M434" s="105">
        <f t="shared" si="730"/>
        <v>0</v>
      </c>
      <c r="N434" s="105">
        <f t="shared" si="730"/>
        <v>0</v>
      </c>
      <c r="O434" s="171"/>
      <c r="P434" s="35"/>
      <c r="Q434" s="35"/>
      <c r="R434" s="35"/>
      <c r="S434" s="35"/>
    </row>
    <row r="435" spans="1:19" x14ac:dyDescent="0.2">
      <c r="A435" s="179">
        <v>3238</v>
      </c>
      <c r="B435" s="180" t="s">
        <v>70</v>
      </c>
      <c r="C435" s="169">
        <v>50000</v>
      </c>
      <c r="D435" s="170"/>
      <c r="E435" s="170">
        <v>61000</v>
      </c>
      <c r="F435" s="215"/>
      <c r="G435" s="215"/>
      <c r="H435" s="215"/>
      <c r="I435" s="215"/>
      <c r="J435" s="215"/>
      <c r="K435" s="105">
        <f t="shared" si="729"/>
        <v>-61000</v>
      </c>
      <c r="L435" s="104"/>
      <c r="M435" s="105">
        <f t="shared" si="730"/>
        <v>0</v>
      </c>
      <c r="N435" s="105">
        <f t="shared" si="730"/>
        <v>0</v>
      </c>
      <c r="O435" s="215"/>
      <c r="P435" s="35"/>
      <c r="Q435" s="35"/>
      <c r="R435" s="35"/>
      <c r="S435" s="35"/>
    </row>
    <row r="436" spans="1:19" x14ac:dyDescent="0.2">
      <c r="A436" s="167" t="s">
        <v>167</v>
      </c>
      <c r="B436" s="168" t="s">
        <v>31</v>
      </c>
      <c r="C436" s="169"/>
      <c r="D436" s="170"/>
      <c r="E436" s="170"/>
      <c r="F436" s="171">
        <v>106000</v>
      </c>
      <c r="G436" s="171"/>
      <c r="H436" s="171"/>
      <c r="I436" s="171"/>
      <c r="J436" s="171"/>
      <c r="K436" s="105">
        <f t="shared" si="729"/>
        <v>0</v>
      </c>
      <c r="L436" s="104"/>
      <c r="M436" s="105">
        <f t="shared" si="730"/>
        <v>-106000</v>
      </c>
      <c r="N436" s="105">
        <f t="shared" si="730"/>
        <v>0</v>
      </c>
      <c r="O436" s="171"/>
      <c r="P436" s="35"/>
      <c r="Q436" s="35"/>
      <c r="R436" s="35"/>
      <c r="S436" s="35"/>
    </row>
    <row r="437" spans="1:19" x14ac:dyDescent="0.2">
      <c r="A437" s="151">
        <v>329</v>
      </c>
      <c r="B437" s="126" t="s">
        <v>33</v>
      </c>
      <c r="C437" s="97">
        <f t="shared" ref="C437:O437" si="731">SUM(C438)</f>
        <v>0</v>
      </c>
      <c r="D437" s="98"/>
      <c r="E437" s="98">
        <f t="shared" si="731"/>
        <v>0</v>
      </c>
      <c r="F437" s="127">
        <f t="shared" si="731"/>
        <v>0</v>
      </c>
      <c r="G437" s="127">
        <f t="shared" si="731"/>
        <v>0</v>
      </c>
      <c r="H437" s="127">
        <f t="shared" si="731"/>
        <v>0</v>
      </c>
      <c r="I437" s="127">
        <f t="shared" si="731"/>
        <v>0</v>
      </c>
      <c r="J437" s="127">
        <f t="shared" si="731"/>
        <v>0</v>
      </c>
      <c r="K437" s="127">
        <f t="shared" si="731"/>
        <v>0</v>
      </c>
      <c r="L437" s="100"/>
      <c r="M437" s="127">
        <f t="shared" si="731"/>
        <v>0</v>
      </c>
      <c r="N437" s="127">
        <f t="shared" si="731"/>
        <v>0</v>
      </c>
      <c r="O437" s="127">
        <f t="shared" si="731"/>
        <v>0</v>
      </c>
      <c r="P437" s="35"/>
      <c r="Q437" s="35"/>
      <c r="R437" s="35"/>
      <c r="S437" s="35"/>
    </row>
    <row r="438" spans="1:19" x14ac:dyDescent="0.2">
      <c r="A438" s="135">
        <v>3294</v>
      </c>
      <c r="B438" s="136" t="s">
        <v>37</v>
      </c>
      <c r="C438" s="103"/>
      <c r="D438" s="104"/>
      <c r="E438" s="104"/>
      <c r="F438" s="130"/>
      <c r="G438" s="130"/>
      <c r="H438" s="130"/>
      <c r="I438" s="130"/>
      <c r="J438" s="130"/>
      <c r="K438" s="105">
        <f t="shared" ref="K438" si="732">H438-E438</f>
        <v>0</v>
      </c>
      <c r="L438" s="104"/>
      <c r="M438" s="105">
        <f t="shared" ref="M438" si="733">H438-F438</f>
        <v>0</v>
      </c>
      <c r="N438" s="105">
        <f>I438-G438</f>
        <v>0</v>
      </c>
      <c r="O438" s="130"/>
      <c r="P438" s="35"/>
      <c r="Q438" s="35"/>
      <c r="R438" s="35"/>
      <c r="S438" s="35"/>
    </row>
    <row r="439" spans="1:19" ht="25.5" x14ac:dyDescent="0.2">
      <c r="A439" s="434" t="s">
        <v>334</v>
      </c>
      <c r="B439" s="435" t="s">
        <v>335</v>
      </c>
      <c r="C439" s="415">
        <f>SUM(C440)</f>
        <v>0</v>
      </c>
      <c r="D439" s="416"/>
      <c r="E439" s="416">
        <f t="shared" ref="E439:O439" si="734">SUM(E440)</f>
        <v>0</v>
      </c>
      <c r="F439" s="437">
        <f t="shared" si="734"/>
        <v>0</v>
      </c>
      <c r="G439" s="437">
        <f t="shared" si="734"/>
        <v>0</v>
      </c>
      <c r="H439" s="437">
        <f t="shared" si="734"/>
        <v>0</v>
      </c>
      <c r="I439" s="437">
        <f t="shared" si="734"/>
        <v>0</v>
      </c>
      <c r="J439" s="437">
        <f t="shared" si="734"/>
        <v>0</v>
      </c>
      <c r="K439" s="94">
        <f t="shared" si="734"/>
        <v>0</v>
      </c>
      <c r="L439" s="94"/>
      <c r="M439" s="94">
        <f t="shared" si="734"/>
        <v>0</v>
      </c>
      <c r="N439" s="94">
        <f t="shared" si="734"/>
        <v>0</v>
      </c>
      <c r="O439" s="94">
        <f t="shared" si="734"/>
        <v>0</v>
      </c>
      <c r="P439" s="35"/>
      <c r="Q439" s="35"/>
      <c r="R439" s="35"/>
      <c r="S439" s="35"/>
    </row>
    <row r="440" spans="1:19" x14ac:dyDescent="0.2">
      <c r="A440" s="243">
        <v>412</v>
      </c>
      <c r="B440" s="244" t="s">
        <v>67</v>
      </c>
      <c r="C440" s="162">
        <f t="shared" ref="C440:O440" si="735">SUM(C441)</f>
        <v>0</v>
      </c>
      <c r="D440" s="163"/>
      <c r="E440" s="163">
        <f t="shared" si="735"/>
        <v>0</v>
      </c>
      <c r="F440" s="164">
        <f t="shared" si="735"/>
        <v>0</v>
      </c>
      <c r="G440" s="164">
        <f t="shared" si="735"/>
        <v>0</v>
      </c>
      <c r="H440" s="164">
        <f t="shared" si="735"/>
        <v>0</v>
      </c>
      <c r="I440" s="164">
        <f t="shared" si="735"/>
        <v>0</v>
      </c>
      <c r="J440" s="164">
        <f t="shared" si="735"/>
        <v>0</v>
      </c>
      <c r="K440" s="164">
        <f t="shared" si="735"/>
        <v>0</v>
      </c>
      <c r="L440" s="165"/>
      <c r="M440" s="164">
        <f t="shared" si="735"/>
        <v>0</v>
      </c>
      <c r="N440" s="164">
        <f t="shared" si="735"/>
        <v>0</v>
      </c>
      <c r="O440" s="164">
        <f t="shared" si="735"/>
        <v>0</v>
      </c>
      <c r="P440" s="35"/>
      <c r="Q440" s="35"/>
      <c r="R440" s="35"/>
      <c r="S440" s="35"/>
    </row>
    <row r="441" spans="1:19" x14ac:dyDescent="0.2">
      <c r="A441" s="179">
        <v>4123</v>
      </c>
      <c r="B441" s="180" t="s">
        <v>68</v>
      </c>
      <c r="C441" s="169"/>
      <c r="D441" s="170"/>
      <c r="E441" s="170"/>
      <c r="F441" s="215"/>
      <c r="G441" s="215"/>
      <c r="H441" s="215"/>
      <c r="I441" s="215"/>
      <c r="J441" s="215"/>
      <c r="K441" s="105">
        <f t="shared" ref="K441" si="736">H441-E441</f>
        <v>0</v>
      </c>
      <c r="L441" s="104"/>
      <c r="M441" s="105">
        <f>H441-F441</f>
        <v>0</v>
      </c>
      <c r="N441" s="105">
        <f>I441-G441</f>
        <v>0</v>
      </c>
      <c r="O441" s="215"/>
      <c r="P441" s="35"/>
      <c r="Q441" s="35"/>
      <c r="R441" s="35"/>
      <c r="S441" s="35"/>
    </row>
    <row r="442" spans="1:19" ht="25.5" x14ac:dyDescent="0.2">
      <c r="A442" s="434" t="s">
        <v>330</v>
      </c>
      <c r="B442" s="435" t="s">
        <v>331</v>
      </c>
      <c r="C442" s="415">
        <f>SUM(C443,C450)</f>
        <v>730000</v>
      </c>
      <c r="D442" s="416"/>
      <c r="E442" s="416">
        <f t="shared" ref="E442:O442" si="737">SUM(E443,E450)</f>
        <v>83000</v>
      </c>
      <c r="F442" s="417">
        <f t="shared" si="737"/>
        <v>0</v>
      </c>
      <c r="G442" s="417">
        <f t="shared" si="737"/>
        <v>0</v>
      </c>
      <c r="H442" s="417">
        <f t="shared" si="737"/>
        <v>200000</v>
      </c>
      <c r="I442" s="417">
        <f t="shared" si="737"/>
        <v>0</v>
      </c>
      <c r="J442" s="417">
        <f t="shared" si="737"/>
        <v>0</v>
      </c>
      <c r="K442" s="93">
        <f t="shared" si="737"/>
        <v>117000</v>
      </c>
      <c r="L442" s="94"/>
      <c r="M442" s="93">
        <f t="shared" si="737"/>
        <v>200000</v>
      </c>
      <c r="N442" s="93">
        <f t="shared" si="737"/>
        <v>0</v>
      </c>
      <c r="O442" s="93">
        <f t="shared" si="737"/>
        <v>0</v>
      </c>
      <c r="P442" s="35"/>
      <c r="Q442" s="35"/>
      <c r="R442" s="35"/>
      <c r="S442" s="35"/>
    </row>
    <row r="443" spans="1:19" s="2" customFormat="1" x14ac:dyDescent="0.2">
      <c r="A443" s="160" t="s">
        <v>177</v>
      </c>
      <c r="B443" s="161" t="s">
        <v>129</v>
      </c>
      <c r="C443" s="162">
        <f t="shared" ref="C443:F443" si="738">SUM(C444:C447)</f>
        <v>650000</v>
      </c>
      <c r="D443" s="163"/>
      <c r="E443" s="163">
        <f t="shared" ref="E443" si="739">SUM(E444:E447)</f>
        <v>83000</v>
      </c>
      <c r="F443" s="164">
        <f t="shared" si="738"/>
        <v>0</v>
      </c>
      <c r="G443" s="164">
        <f t="shared" ref="G443:H443" si="740">SUM(G444:G447)</f>
        <v>0</v>
      </c>
      <c r="H443" s="164">
        <f t="shared" si="740"/>
        <v>160000</v>
      </c>
      <c r="I443" s="164">
        <f t="shared" ref="I443:J443" si="741">SUM(I444:I447)</f>
        <v>0</v>
      </c>
      <c r="J443" s="164">
        <f t="shared" si="741"/>
        <v>0</v>
      </c>
      <c r="K443" s="164">
        <f t="shared" ref="K443" si="742">SUM(K444:K447)</f>
        <v>77000</v>
      </c>
      <c r="L443" s="165"/>
      <c r="M443" s="164">
        <f t="shared" ref="M443:O443" si="743">SUM(M444:M447)</f>
        <v>160000</v>
      </c>
      <c r="N443" s="164">
        <f t="shared" ref="N443" si="744">SUM(N444:N447)</f>
        <v>0</v>
      </c>
      <c r="O443" s="164">
        <f t="shared" si="743"/>
        <v>0</v>
      </c>
      <c r="P443" s="50"/>
      <c r="Q443" s="50"/>
      <c r="R443" s="50"/>
      <c r="S443" s="50"/>
    </row>
    <row r="444" spans="1:19" x14ac:dyDescent="0.2">
      <c r="A444" s="167" t="s">
        <v>178</v>
      </c>
      <c r="B444" s="168" t="s">
        <v>54</v>
      </c>
      <c r="C444" s="169">
        <v>53000</v>
      </c>
      <c r="D444" s="170"/>
      <c r="E444" s="170">
        <v>0</v>
      </c>
      <c r="F444" s="171"/>
      <c r="G444" s="171"/>
      <c r="H444" s="171"/>
      <c r="I444" s="171"/>
      <c r="J444" s="171"/>
      <c r="K444" s="105">
        <f t="shared" ref="K444:K446" si="745">H444-E444</f>
        <v>0</v>
      </c>
      <c r="L444" s="104"/>
      <c r="M444" s="105">
        <f t="shared" ref="M444:N446" si="746">H444-F444</f>
        <v>0</v>
      </c>
      <c r="N444" s="105">
        <f t="shared" si="746"/>
        <v>0</v>
      </c>
      <c r="O444" s="171"/>
      <c r="P444" s="35"/>
      <c r="Q444" s="35"/>
      <c r="R444" s="35"/>
      <c r="S444" s="35"/>
    </row>
    <row r="445" spans="1:19" x14ac:dyDescent="0.2">
      <c r="A445" s="167" t="s">
        <v>186</v>
      </c>
      <c r="B445" s="168" t="s">
        <v>58</v>
      </c>
      <c r="C445" s="169">
        <v>199000</v>
      </c>
      <c r="D445" s="170"/>
      <c r="E445" s="170">
        <v>35000</v>
      </c>
      <c r="F445" s="171"/>
      <c r="G445" s="171"/>
      <c r="H445" s="171">
        <v>150000</v>
      </c>
      <c r="I445" s="171"/>
      <c r="J445" s="171"/>
      <c r="K445" s="105">
        <f t="shared" si="745"/>
        <v>115000</v>
      </c>
      <c r="L445" s="104"/>
      <c r="M445" s="105">
        <f t="shared" si="746"/>
        <v>150000</v>
      </c>
      <c r="N445" s="105">
        <f t="shared" si="746"/>
        <v>0</v>
      </c>
      <c r="O445" s="171"/>
      <c r="P445" s="35"/>
      <c r="Q445" s="35"/>
      <c r="R445" s="35"/>
      <c r="S445" s="35"/>
    </row>
    <row r="446" spans="1:19" x14ac:dyDescent="0.2">
      <c r="A446" s="167" t="s">
        <v>179</v>
      </c>
      <c r="B446" s="168" t="s">
        <v>59</v>
      </c>
      <c r="C446" s="169">
        <v>398000</v>
      </c>
      <c r="D446" s="170"/>
      <c r="E446" s="170">
        <v>48000</v>
      </c>
      <c r="F446" s="171"/>
      <c r="G446" s="171"/>
      <c r="H446" s="171">
        <v>10000</v>
      </c>
      <c r="I446" s="171"/>
      <c r="J446" s="171"/>
      <c r="K446" s="105">
        <f t="shared" si="745"/>
        <v>-38000</v>
      </c>
      <c r="L446" s="104"/>
      <c r="M446" s="105">
        <f t="shared" si="746"/>
        <v>10000</v>
      </c>
      <c r="N446" s="105">
        <f t="shared" si="746"/>
        <v>0</v>
      </c>
      <c r="O446" s="171"/>
      <c r="P446" s="35"/>
      <c r="Q446" s="35"/>
      <c r="R446" s="35"/>
      <c r="S446" s="35"/>
    </row>
    <row r="447" spans="1:19" hidden="1" x14ac:dyDescent="0.2">
      <c r="A447" s="167" t="s">
        <v>180</v>
      </c>
      <c r="B447" s="168" t="s">
        <v>60</v>
      </c>
      <c r="C447" s="245"/>
      <c r="D447" s="246"/>
      <c r="E447" s="246"/>
      <c r="F447" s="247"/>
      <c r="G447" s="247"/>
      <c r="H447" s="247"/>
      <c r="I447" s="247"/>
      <c r="J447" s="247"/>
      <c r="K447" s="247"/>
      <c r="L447" s="248"/>
      <c r="M447" s="247"/>
      <c r="N447" s="247"/>
      <c r="O447" s="247"/>
      <c r="P447" s="35"/>
      <c r="Q447" s="35"/>
      <c r="R447" s="35"/>
      <c r="S447" s="35"/>
    </row>
    <row r="448" spans="1:19" s="2" customFormat="1" hidden="1" x14ac:dyDescent="0.2">
      <c r="A448" s="160" t="s">
        <v>181</v>
      </c>
      <c r="B448" s="161" t="s">
        <v>61</v>
      </c>
      <c r="C448" s="162">
        <f t="shared" ref="C448:O448" si="747">SUM(C449)</f>
        <v>0</v>
      </c>
      <c r="D448" s="163"/>
      <c r="E448" s="163">
        <f t="shared" si="747"/>
        <v>0</v>
      </c>
      <c r="F448" s="164">
        <f t="shared" si="747"/>
        <v>0</v>
      </c>
      <c r="G448" s="164">
        <f t="shared" si="747"/>
        <v>0</v>
      </c>
      <c r="H448" s="164">
        <f t="shared" si="747"/>
        <v>0</v>
      </c>
      <c r="I448" s="164">
        <f t="shared" si="747"/>
        <v>0</v>
      </c>
      <c r="J448" s="164">
        <f t="shared" si="747"/>
        <v>0</v>
      </c>
      <c r="K448" s="164">
        <f t="shared" si="747"/>
        <v>0</v>
      </c>
      <c r="L448" s="165"/>
      <c r="M448" s="164">
        <f t="shared" si="747"/>
        <v>0</v>
      </c>
      <c r="N448" s="164">
        <f t="shared" si="747"/>
        <v>0</v>
      </c>
      <c r="O448" s="164">
        <f t="shared" si="747"/>
        <v>0</v>
      </c>
      <c r="P448" s="50"/>
      <c r="Q448" s="50"/>
      <c r="R448" s="50"/>
      <c r="S448" s="50"/>
    </row>
    <row r="449" spans="1:19" hidden="1" x14ac:dyDescent="0.2">
      <c r="A449" s="167" t="s">
        <v>182</v>
      </c>
      <c r="B449" s="168" t="s">
        <v>62</v>
      </c>
      <c r="C449" s="169"/>
      <c r="D449" s="170"/>
      <c r="E449" s="170"/>
      <c r="F449" s="171"/>
      <c r="G449" s="171"/>
      <c r="H449" s="171"/>
      <c r="I449" s="171"/>
      <c r="J449" s="171"/>
      <c r="K449" s="171"/>
      <c r="L449" s="172"/>
      <c r="M449" s="171"/>
      <c r="N449" s="171"/>
      <c r="O449" s="171"/>
      <c r="P449" s="35"/>
      <c r="Q449" s="35"/>
      <c r="R449" s="35"/>
      <c r="S449" s="35"/>
    </row>
    <row r="450" spans="1:19" s="2" customFormat="1" x14ac:dyDescent="0.2">
      <c r="A450" s="160" t="s">
        <v>193</v>
      </c>
      <c r="B450" s="161" t="s">
        <v>73</v>
      </c>
      <c r="C450" s="162">
        <f t="shared" ref="C450:O450" si="748">SUM(C451)</f>
        <v>80000</v>
      </c>
      <c r="D450" s="163"/>
      <c r="E450" s="163">
        <f t="shared" si="748"/>
        <v>0</v>
      </c>
      <c r="F450" s="164">
        <f t="shared" si="748"/>
        <v>0</v>
      </c>
      <c r="G450" s="164">
        <f t="shared" si="748"/>
        <v>0</v>
      </c>
      <c r="H450" s="164">
        <f t="shared" si="748"/>
        <v>40000</v>
      </c>
      <c r="I450" s="164">
        <f t="shared" si="748"/>
        <v>0</v>
      </c>
      <c r="J450" s="164">
        <f t="shared" si="748"/>
        <v>0</v>
      </c>
      <c r="K450" s="164">
        <f t="shared" si="748"/>
        <v>40000</v>
      </c>
      <c r="L450" s="165"/>
      <c r="M450" s="164">
        <f t="shared" si="748"/>
        <v>40000</v>
      </c>
      <c r="N450" s="164">
        <f t="shared" si="748"/>
        <v>0</v>
      </c>
      <c r="O450" s="164">
        <f t="shared" si="748"/>
        <v>0</v>
      </c>
      <c r="P450" s="50"/>
      <c r="Q450" s="50"/>
      <c r="R450" s="50"/>
      <c r="S450" s="50"/>
    </row>
    <row r="451" spans="1:19" x14ac:dyDescent="0.2">
      <c r="A451" s="167" t="s">
        <v>194</v>
      </c>
      <c r="B451" s="168" t="s">
        <v>88</v>
      </c>
      <c r="C451" s="169">
        <v>80000</v>
      </c>
      <c r="D451" s="170"/>
      <c r="E451" s="170">
        <v>0</v>
      </c>
      <c r="F451" s="171"/>
      <c r="G451" s="171"/>
      <c r="H451" s="171">
        <v>40000</v>
      </c>
      <c r="I451" s="171"/>
      <c r="J451" s="171"/>
      <c r="K451" s="105">
        <f t="shared" ref="K451" si="749">H451-E451</f>
        <v>40000</v>
      </c>
      <c r="L451" s="104"/>
      <c r="M451" s="105">
        <f>H451-F451</f>
        <v>40000</v>
      </c>
      <c r="N451" s="105">
        <f>I451-G451</f>
        <v>0</v>
      </c>
      <c r="O451" s="171"/>
      <c r="P451" s="35"/>
      <c r="Q451" s="35"/>
      <c r="R451" s="35"/>
      <c r="S451" s="35"/>
    </row>
    <row r="452" spans="1:19" s="2" customFormat="1" hidden="1" x14ac:dyDescent="0.2">
      <c r="A452" s="160" t="s">
        <v>183</v>
      </c>
      <c r="B452" s="161" t="s">
        <v>55</v>
      </c>
      <c r="C452" s="162">
        <f t="shared" ref="C452:O452" si="750">SUM(C453)</f>
        <v>0</v>
      </c>
      <c r="D452" s="163"/>
      <c r="E452" s="163">
        <f t="shared" si="750"/>
        <v>0</v>
      </c>
      <c r="F452" s="164">
        <f t="shared" si="750"/>
        <v>0</v>
      </c>
      <c r="G452" s="164">
        <f t="shared" si="750"/>
        <v>0</v>
      </c>
      <c r="H452" s="164">
        <f t="shared" si="750"/>
        <v>0</v>
      </c>
      <c r="I452" s="164">
        <f t="shared" si="750"/>
        <v>0</v>
      </c>
      <c r="J452" s="164">
        <f t="shared" si="750"/>
        <v>0</v>
      </c>
      <c r="K452" s="164">
        <f t="shared" si="750"/>
        <v>0</v>
      </c>
      <c r="L452" s="165"/>
      <c r="M452" s="164">
        <f t="shared" si="750"/>
        <v>0</v>
      </c>
      <c r="N452" s="164">
        <f t="shared" si="750"/>
        <v>0</v>
      </c>
      <c r="O452" s="164">
        <f t="shared" si="750"/>
        <v>0</v>
      </c>
      <c r="P452" s="50"/>
      <c r="Q452" s="50"/>
      <c r="R452" s="50"/>
      <c r="S452" s="50"/>
    </row>
    <row r="453" spans="1:19" hidden="1" x14ac:dyDescent="0.2">
      <c r="A453" s="167" t="s">
        <v>184</v>
      </c>
      <c r="B453" s="168" t="s">
        <v>55</v>
      </c>
      <c r="C453" s="169"/>
      <c r="D453" s="170"/>
      <c r="E453" s="170"/>
      <c r="F453" s="171"/>
      <c r="G453" s="171"/>
      <c r="H453" s="171"/>
      <c r="I453" s="171"/>
      <c r="J453" s="171"/>
      <c r="K453" s="171"/>
      <c r="L453" s="172"/>
      <c r="M453" s="171"/>
      <c r="N453" s="171"/>
      <c r="O453" s="171"/>
      <c r="P453" s="35"/>
      <c r="Q453" s="35"/>
      <c r="R453" s="35"/>
      <c r="S453" s="35"/>
    </row>
    <row r="454" spans="1:19" ht="24.95" customHeight="1" x14ac:dyDescent="0.2">
      <c r="A454" s="249" t="s">
        <v>86</v>
      </c>
      <c r="B454" s="250" t="s">
        <v>87</v>
      </c>
      <c r="C454" s="114">
        <f t="shared" ref="C454:O454" si="751">SUM(C455)</f>
        <v>1713000</v>
      </c>
      <c r="D454" s="115"/>
      <c r="E454" s="115">
        <f t="shared" si="751"/>
        <v>764000</v>
      </c>
      <c r="F454" s="251">
        <f t="shared" si="751"/>
        <v>185000</v>
      </c>
      <c r="G454" s="251">
        <f t="shared" si="751"/>
        <v>0</v>
      </c>
      <c r="H454" s="251">
        <f t="shared" si="751"/>
        <v>20000</v>
      </c>
      <c r="I454" s="251">
        <f t="shared" si="751"/>
        <v>0</v>
      </c>
      <c r="J454" s="251">
        <f t="shared" si="751"/>
        <v>0</v>
      </c>
      <c r="K454" s="251">
        <f t="shared" si="751"/>
        <v>-744000</v>
      </c>
      <c r="L454" s="117"/>
      <c r="M454" s="251">
        <f t="shared" si="751"/>
        <v>-165000</v>
      </c>
      <c r="N454" s="251">
        <f t="shared" si="751"/>
        <v>0</v>
      </c>
      <c r="O454" s="251">
        <f t="shared" si="751"/>
        <v>0</v>
      </c>
      <c r="P454" s="35"/>
      <c r="Q454" s="35"/>
      <c r="R454" s="35"/>
      <c r="S454" s="35"/>
    </row>
    <row r="455" spans="1:19" ht="19.5" customHeight="1" x14ac:dyDescent="0.2">
      <c r="A455" s="703" t="s">
        <v>77</v>
      </c>
      <c r="B455" s="703"/>
      <c r="C455" s="229">
        <f>SUM(C456,C469)</f>
        <v>1713000</v>
      </c>
      <c r="D455" s="230"/>
      <c r="E455" s="230">
        <f t="shared" ref="E455:O455" si="752">SUM(E456,E469)</f>
        <v>764000</v>
      </c>
      <c r="F455" s="231">
        <f t="shared" si="752"/>
        <v>185000</v>
      </c>
      <c r="G455" s="231">
        <f t="shared" si="752"/>
        <v>0</v>
      </c>
      <c r="H455" s="231">
        <f t="shared" si="752"/>
        <v>20000</v>
      </c>
      <c r="I455" s="231">
        <f t="shared" si="752"/>
        <v>0</v>
      </c>
      <c r="J455" s="231">
        <f t="shared" si="752"/>
        <v>0</v>
      </c>
      <c r="K455" s="240">
        <f t="shared" si="752"/>
        <v>-744000</v>
      </c>
      <c r="L455" s="241"/>
      <c r="M455" s="240">
        <f t="shared" si="752"/>
        <v>-165000</v>
      </c>
      <c r="N455" s="240">
        <f t="shared" si="752"/>
        <v>0</v>
      </c>
      <c r="O455" s="240">
        <f t="shared" si="752"/>
        <v>0</v>
      </c>
      <c r="P455" s="35"/>
      <c r="Q455" s="35"/>
      <c r="R455" s="35"/>
      <c r="S455" s="35"/>
    </row>
    <row r="456" spans="1:19" ht="19.5" customHeight="1" x14ac:dyDescent="0.2">
      <c r="A456" s="418" t="s">
        <v>324</v>
      </c>
      <c r="B456" s="414" t="s">
        <v>325</v>
      </c>
      <c r="C456" s="419">
        <f>SUM(C457,C464)</f>
        <v>674000</v>
      </c>
      <c r="D456" s="420"/>
      <c r="E456" s="420">
        <f t="shared" ref="E456:O456" si="753">SUM(E457,E464)</f>
        <v>406000</v>
      </c>
      <c r="F456" s="421">
        <f t="shared" si="753"/>
        <v>56000</v>
      </c>
      <c r="G456" s="421">
        <f t="shared" si="753"/>
        <v>0</v>
      </c>
      <c r="H456" s="421">
        <f t="shared" si="753"/>
        <v>0</v>
      </c>
      <c r="I456" s="421">
        <f t="shared" si="753"/>
        <v>0</v>
      </c>
      <c r="J456" s="421">
        <f t="shared" si="753"/>
        <v>0</v>
      </c>
      <c r="K456" s="123">
        <f t="shared" si="753"/>
        <v>-406000</v>
      </c>
      <c r="L456" s="124"/>
      <c r="M456" s="123">
        <f t="shared" si="753"/>
        <v>-56000</v>
      </c>
      <c r="N456" s="123">
        <f t="shared" si="753"/>
        <v>0</v>
      </c>
      <c r="O456" s="123">
        <f t="shared" si="753"/>
        <v>0</v>
      </c>
      <c r="P456" s="35"/>
      <c r="Q456" s="35"/>
      <c r="R456" s="35"/>
      <c r="S456" s="35"/>
    </row>
    <row r="457" spans="1:19" ht="15" customHeight="1" x14ac:dyDescent="0.2">
      <c r="A457" s="252">
        <v>321</v>
      </c>
      <c r="B457" s="161" t="s">
        <v>12</v>
      </c>
      <c r="C457" s="162">
        <f t="shared" ref="C457:G457" si="754">SUM(C458:C459)</f>
        <v>40000</v>
      </c>
      <c r="D457" s="163"/>
      <c r="E457" s="163">
        <f t="shared" ref="E457" si="755">SUM(E458:E459)</f>
        <v>0</v>
      </c>
      <c r="F457" s="164">
        <f t="shared" si="754"/>
        <v>0</v>
      </c>
      <c r="G457" s="164">
        <f t="shared" si="754"/>
        <v>0</v>
      </c>
      <c r="H457" s="164">
        <f t="shared" ref="H457:I457" si="756">SUM(H458:H459)</f>
        <v>0</v>
      </c>
      <c r="I457" s="164">
        <f t="shared" si="756"/>
        <v>0</v>
      </c>
      <c r="J457" s="164">
        <f t="shared" ref="J457:K457" si="757">SUM(J458:J459)</f>
        <v>0</v>
      </c>
      <c r="K457" s="164">
        <f t="shared" si="757"/>
        <v>0</v>
      </c>
      <c r="L457" s="165"/>
      <c r="M457" s="164">
        <f t="shared" ref="M457:O457" si="758">SUM(M458:M459)</f>
        <v>0</v>
      </c>
      <c r="N457" s="164">
        <f t="shared" ref="N457" si="759">SUM(N458:N459)</f>
        <v>0</v>
      </c>
      <c r="O457" s="164">
        <f t="shared" si="758"/>
        <v>0</v>
      </c>
      <c r="P457" s="35"/>
      <c r="Q457" s="35"/>
      <c r="R457" s="35"/>
      <c r="S457" s="35"/>
    </row>
    <row r="458" spans="1:19" s="4" customFormat="1" ht="15" hidden="1" customHeight="1" x14ac:dyDescent="0.2">
      <c r="A458" s="253">
        <v>3211</v>
      </c>
      <c r="B458" s="254" t="s">
        <v>13</v>
      </c>
      <c r="C458" s="255"/>
      <c r="D458" s="256"/>
      <c r="E458" s="256"/>
      <c r="F458" s="257"/>
      <c r="G458" s="257"/>
      <c r="H458" s="257"/>
      <c r="I458" s="257"/>
      <c r="J458" s="257"/>
      <c r="K458" s="257"/>
      <c r="L458" s="258"/>
      <c r="M458" s="257"/>
      <c r="N458" s="257"/>
      <c r="O458" s="257"/>
      <c r="P458" s="35"/>
      <c r="Q458" s="35"/>
      <c r="R458" s="35"/>
      <c r="S458" s="35"/>
    </row>
    <row r="459" spans="1:19" ht="15" customHeight="1" x14ac:dyDescent="0.2">
      <c r="A459" s="219">
        <v>3213</v>
      </c>
      <c r="B459" s="168" t="s">
        <v>15</v>
      </c>
      <c r="C459" s="255">
        <v>40000</v>
      </c>
      <c r="D459" s="256"/>
      <c r="E459" s="256">
        <v>0</v>
      </c>
      <c r="F459" s="259"/>
      <c r="G459" s="259"/>
      <c r="H459" s="259"/>
      <c r="I459" s="259"/>
      <c r="J459" s="259"/>
      <c r="K459" s="105">
        <f t="shared" ref="K459" si="760">H459-E459</f>
        <v>0</v>
      </c>
      <c r="L459" s="104"/>
      <c r="M459" s="105">
        <f>H459-F459</f>
        <v>0</v>
      </c>
      <c r="N459" s="105">
        <f>I459-G459</f>
        <v>0</v>
      </c>
      <c r="O459" s="259"/>
      <c r="P459" s="35"/>
      <c r="Q459" s="35"/>
      <c r="R459" s="35"/>
      <c r="S459" s="35"/>
    </row>
    <row r="460" spans="1:19" s="2" customFormat="1" hidden="1" x14ac:dyDescent="0.2">
      <c r="A460" s="160" t="s">
        <v>153</v>
      </c>
      <c r="B460" s="161" t="s">
        <v>16</v>
      </c>
      <c r="C460" s="260">
        <f t="shared" ref="C460:G460" si="761">SUM(C461:C463)</f>
        <v>0</v>
      </c>
      <c r="D460" s="261"/>
      <c r="E460" s="261">
        <f t="shared" ref="E460" si="762">SUM(E461:E463)</f>
        <v>0</v>
      </c>
      <c r="F460" s="262">
        <f t="shared" si="761"/>
        <v>0</v>
      </c>
      <c r="G460" s="262">
        <f t="shared" si="761"/>
        <v>0</v>
      </c>
      <c r="H460" s="262">
        <f t="shared" ref="H460:I460" si="763">SUM(H461:H463)</f>
        <v>0</v>
      </c>
      <c r="I460" s="262">
        <f t="shared" si="763"/>
        <v>0</v>
      </c>
      <c r="J460" s="262">
        <f t="shared" ref="J460:K460" si="764">SUM(J461:J463)</f>
        <v>0</v>
      </c>
      <c r="K460" s="262">
        <f t="shared" si="764"/>
        <v>0</v>
      </c>
      <c r="L460" s="263"/>
      <c r="M460" s="262">
        <f t="shared" ref="M460:O460" si="765">SUM(M461:M463)</f>
        <v>0</v>
      </c>
      <c r="N460" s="262">
        <f t="shared" ref="N460" si="766">SUM(N461:N463)</f>
        <v>0</v>
      </c>
      <c r="O460" s="262">
        <f t="shared" si="765"/>
        <v>0</v>
      </c>
      <c r="P460" s="50"/>
      <c r="Q460" s="50"/>
      <c r="R460" s="50"/>
      <c r="S460" s="50"/>
    </row>
    <row r="461" spans="1:19" hidden="1" x14ac:dyDescent="0.2">
      <c r="A461" s="167" t="s">
        <v>154</v>
      </c>
      <c r="B461" s="168" t="s">
        <v>17</v>
      </c>
      <c r="C461" s="169"/>
      <c r="D461" s="170"/>
      <c r="E461" s="170"/>
      <c r="F461" s="171"/>
      <c r="G461" s="171"/>
      <c r="H461" s="171"/>
      <c r="I461" s="171"/>
      <c r="J461" s="171"/>
      <c r="K461" s="171"/>
      <c r="L461" s="172"/>
      <c r="M461" s="171"/>
      <c r="N461" s="171"/>
      <c r="O461" s="171"/>
      <c r="P461" s="35"/>
      <c r="Q461" s="35"/>
      <c r="R461" s="35"/>
      <c r="S461" s="35"/>
    </row>
    <row r="462" spans="1:19" hidden="1" x14ac:dyDescent="0.2">
      <c r="A462" s="167" t="s">
        <v>155</v>
      </c>
      <c r="B462" s="168" t="s">
        <v>18</v>
      </c>
      <c r="C462" s="245"/>
      <c r="D462" s="246"/>
      <c r="E462" s="246"/>
      <c r="F462" s="247"/>
      <c r="G462" s="247"/>
      <c r="H462" s="247"/>
      <c r="I462" s="247"/>
      <c r="J462" s="247"/>
      <c r="K462" s="247"/>
      <c r="L462" s="248"/>
      <c r="M462" s="247"/>
      <c r="N462" s="247"/>
      <c r="O462" s="247"/>
      <c r="P462" s="35"/>
      <c r="Q462" s="35"/>
      <c r="R462" s="35"/>
      <c r="S462" s="35"/>
    </row>
    <row r="463" spans="1:19" hidden="1" x14ac:dyDescent="0.2">
      <c r="A463" s="167">
        <v>3223</v>
      </c>
      <c r="B463" s="168" t="s">
        <v>19</v>
      </c>
      <c r="C463" s="245"/>
      <c r="D463" s="246"/>
      <c r="E463" s="246"/>
      <c r="F463" s="247"/>
      <c r="G463" s="247"/>
      <c r="H463" s="247"/>
      <c r="I463" s="247"/>
      <c r="J463" s="247"/>
      <c r="K463" s="247"/>
      <c r="L463" s="248"/>
      <c r="M463" s="247"/>
      <c r="N463" s="247"/>
      <c r="O463" s="247"/>
      <c r="P463" s="35"/>
      <c r="Q463" s="35"/>
      <c r="R463" s="35"/>
      <c r="S463" s="35"/>
    </row>
    <row r="464" spans="1:19" x14ac:dyDescent="0.2">
      <c r="A464" s="242">
        <v>323</v>
      </c>
      <c r="B464" s="161" t="s">
        <v>123</v>
      </c>
      <c r="C464" s="162">
        <f>SUM(C465:C468)</f>
        <v>634000</v>
      </c>
      <c r="D464" s="163"/>
      <c r="E464" s="163">
        <f>SUM(E465:E468)</f>
        <v>406000</v>
      </c>
      <c r="F464" s="164">
        <f t="shared" ref="F464:G464" si="767">SUM(F465:F468)</f>
        <v>56000</v>
      </c>
      <c r="G464" s="164">
        <f t="shared" si="767"/>
        <v>0</v>
      </c>
      <c r="H464" s="164">
        <f t="shared" ref="H464:I464" si="768">SUM(H465:H468)</f>
        <v>0</v>
      </c>
      <c r="I464" s="164">
        <f t="shared" si="768"/>
        <v>0</v>
      </c>
      <c r="J464" s="164">
        <f t="shared" ref="J464:K464" si="769">SUM(J465:J468)</f>
        <v>0</v>
      </c>
      <c r="K464" s="164">
        <f t="shared" si="769"/>
        <v>-406000</v>
      </c>
      <c r="L464" s="165"/>
      <c r="M464" s="164">
        <f t="shared" ref="M464:O464" si="770">SUM(M465:M468)</f>
        <v>-56000</v>
      </c>
      <c r="N464" s="164">
        <f t="shared" ref="N464" si="771">SUM(N465:N468)</f>
        <v>0</v>
      </c>
      <c r="O464" s="164">
        <f t="shared" si="770"/>
        <v>0</v>
      </c>
      <c r="P464" s="35"/>
      <c r="Q464" s="35"/>
      <c r="R464" s="35"/>
      <c r="S464" s="35"/>
    </row>
    <row r="465" spans="1:19" x14ac:dyDescent="0.2">
      <c r="A465" s="167">
        <v>3232</v>
      </c>
      <c r="B465" s="168" t="s">
        <v>25</v>
      </c>
      <c r="C465" s="245">
        <v>406000</v>
      </c>
      <c r="D465" s="246"/>
      <c r="E465" s="246">
        <v>406000</v>
      </c>
      <c r="F465" s="247">
        <v>27000</v>
      </c>
      <c r="G465" s="247"/>
      <c r="H465" s="247"/>
      <c r="I465" s="247"/>
      <c r="J465" s="247"/>
      <c r="K465" s="105">
        <f t="shared" ref="K465:K468" si="772">H465-E465</f>
        <v>-406000</v>
      </c>
      <c r="L465" s="104"/>
      <c r="M465" s="105">
        <f t="shared" ref="M465:N468" si="773">H465-F465</f>
        <v>-27000</v>
      </c>
      <c r="N465" s="105">
        <f t="shared" si="773"/>
        <v>0</v>
      </c>
      <c r="O465" s="247"/>
      <c r="P465" s="35"/>
      <c r="Q465" s="35"/>
      <c r="R465" s="35"/>
      <c r="S465" s="35"/>
    </row>
    <row r="466" spans="1:19" x14ac:dyDescent="0.2">
      <c r="A466" s="179">
        <v>3237</v>
      </c>
      <c r="B466" s="180" t="s">
        <v>30</v>
      </c>
      <c r="C466" s="245">
        <v>55000</v>
      </c>
      <c r="D466" s="246"/>
      <c r="E466" s="246">
        <v>0</v>
      </c>
      <c r="F466" s="264">
        <v>14000</v>
      </c>
      <c r="G466" s="264"/>
      <c r="H466" s="264"/>
      <c r="I466" s="264"/>
      <c r="J466" s="264"/>
      <c r="K466" s="105">
        <f t="shared" si="772"/>
        <v>0</v>
      </c>
      <c r="L466" s="104"/>
      <c r="M466" s="105">
        <f t="shared" si="773"/>
        <v>-14000</v>
      </c>
      <c r="N466" s="105">
        <f t="shared" si="773"/>
        <v>0</v>
      </c>
      <c r="O466" s="264"/>
      <c r="P466" s="35"/>
      <c r="Q466" s="35"/>
      <c r="R466" s="35"/>
      <c r="S466" s="35"/>
    </row>
    <row r="467" spans="1:19" x14ac:dyDescent="0.2">
      <c r="A467" s="179">
        <v>3238</v>
      </c>
      <c r="B467" s="180" t="s">
        <v>70</v>
      </c>
      <c r="C467" s="245">
        <v>133000</v>
      </c>
      <c r="D467" s="246"/>
      <c r="E467" s="246">
        <v>0</v>
      </c>
      <c r="F467" s="264"/>
      <c r="G467" s="264"/>
      <c r="H467" s="264"/>
      <c r="I467" s="264"/>
      <c r="J467" s="264"/>
      <c r="K467" s="105">
        <f t="shared" si="772"/>
        <v>0</v>
      </c>
      <c r="L467" s="104"/>
      <c r="M467" s="105">
        <f t="shared" si="773"/>
        <v>0</v>
      </c>
      <c r="N467" s="105">
        <f t="shared" si="773"/>
        <v>0</v>
      </c>
      <c r="O467" s="264"/>
      <c r="P467" s="35"/>
      <c r="Q467" s="35"/>
      <c r="R467" s="35"/>
      <c r="S467" s="35"/>
    </row>
    <row r="468" spans="1:19" x14ac:dyDescent="0.2">
      <c r="A468" s="179">
        <v>3239</v>
      </c>
      <c r="B468" s="180" t="s">
        <v>31</v>
      </c>
      <c r="C468" s="245">
        <v>40000</v>
      </c>
      <c r="D468" s="246"/>
      <c r="E468" s="246">
        <v>0</v>
      </c>
      <c r="F468" s="264">
        <v>15000</v>
      </c>
      <c r="G468" s="264"/>
      <c r="H468" s="264"/>
      <c r="I468" s="264"/>
      <c r="J468" s="264"/>
      <c r="K468" s="105">
        <f t="shared" si="772"/>
        <v>0</v>
      </c>
      <c r="L468" s="104"/>
      <c r="M468" s="105">
        <f t="shared" si="773"/>
        <v>-15000</v>
      </c>
      <c r="N468" s="105">
        <f t="shared" si="773"/>
        <v>0</v>
      </c>
      <c r="O468" s="264"/>
      <c r="P468" s="35"/>
      <c r="Q468" s="35"/>
      <c r="R468" s="35"/>
      <c r="S468" s="35"/>
    </row>
    <row r="469" spans="1:19" ht="25.5" x14ac:dyDescent="0.2">
      <c r="A469" s="434" t="s">
        <v>330</v>
      </c>
      <c r="B469" s="435" t="s">
        <v>331</v>
      </c>
      <c r="C469" s="415">
        <f>SUM(C470,C475,C480)</f>
        <v>1039000</v>
      </c>
      <c r="D469" s="416"/>
      <c r="E469" s="416">
        <f t="shared" ref="E469:O469" si="774">SUM(E470,E475,E480)</f>
        <v>358000</v>
      </c>
      <c r="F469" s="417">
        <f t="shared" si="774"/>
        <v>129000</v>
      </c>
      <c r="G469" s="417">
        <f t="shared" si="774"/>
        <v>0</v>
      </c>
      <c r="H469" s="417">
        <f t="shared" si="774"/>
        <v>20000</v>
      </c>
      <c r="I469" s="417">
        <f t="shared" si="774"/>
        <v>0</v>
      </c>
      <c r="J469" s="417">
        <f t="shared" si="774"/>
        <v>0</v>
      </c>
      <c r="K469" s="93">
        <f t="shared" si="774"/>
        <v>-338000</v>
      </c>
      <c r="L469" s="94"/>
      <c r="M469" s="93">
        <f t="shared" si="774"/>
        <v>-109000</v>
      </c>
      <c r="N469" s="93">
        <f t="shared" si="774"/>
        <v>0</v>
      </c>
      <c r="O469" s="93">
        <f t="shared" si="774"/>
        <v>0</v>
      </c>
      <c r="P469" s="35"/>
      <c r="Q469" s="35"/>
      <c r="R469" s="35"/>
      <c r="S469" s="35"/>
    </row>
    <row r="470" spans="1:19" s="2" customFormat="1" x14ac:dyDescent="0.2">
      <c r="A470" s="160" t="s">
        <v>177</v>
      </c>
      <c r="B470" s="161" t="s">
        <v>129</v>
      </c>
      <c r="C470" s="162">
        <f t="shared" ref="C470:F470" si="775">SUM(C471:C474)</f>
        <v>604000</v>
      </c>
      <c r="D470" s="163"/>
      <c r="E470" s="163">
        <f t="shared" ref="E470" si="776">SUM(E471:E474)</f>
        <v>218000</v>
      </c>
      <c r="F470" s="164">
        <f t="shared" si="775"/>
        <v>59000</v>
      </c>
      <c r="G470" s="164">
        <f t="shared" ref="G470:H470" si="777">SUM(G471:G474)</f>
        <v>0</v>
      </c>
      <c r="H470" s="164">
        <f t="shared" si="777"/>
        <v>20000</v>
      </c>
      <c r="I470" s="164">
        <f t="shared" ref="I470:J470" si="778">SUM(I471:I474)</f>
        <v>0</v>
      </c>
      <c r="J470" s="164">
        <f t="shared" si="778"/>
        <v>0</v>
      </c>
      <c r="K470" s="164">
        <f t="shared" ref="K470" si="779">SUM(K471:K474)</f>
        <v>-198000</v>
      </c>
      <c r="L470" s="165"/>
      <c r="M470" s="164">
        <f t="shared" ref="M470:O470" si="780">SUM(M471:M474)</f>
        <v>-39000</v>
      </c>
      <c r="N470" s="164">
        <f t="shared" ref="N470" si="781">SUM(N471:N474)</f>
        <v>0</v>
      </c>
      <c r="O470" s="164">
        <f t="shared" si="780"/>
        <v>0</v>
      </c>
      <c r="P470" s="50"/>
      <c r="Q470" s="50"/>
      <c r="R470" s="50"/>
      <c r="S470" s="50"/>
    </row>
    <row r="471" spans="1:19" x14ac:dyDescent="0.2">
      <c r="A471" s="167" t="s">
        <v>178</v>
      </c>
      <c r="B471" s="168" t="s">
        <v>54</v>
      </c>
      <c r="C471" s="169">
        <v>40000</v>
      </c>
      <c r="D471" s="170"/>
      <c r="E471" s="170">
        <v>140000</v>
      </c>
      <c r="F471" s="171">
        <v>15000</v>
      </c>
      <c r="G471" s="171"/>
      <c r="H471" s="171"/>
      <c r="I471" s="171"/>
      <c r="J471" s="171"/>
      <c r="K471" s="105">
        <f t="shared" ref="K471:K474" si="782">H471-E471</f>
        <v>-140000</v>
      </c>
      <c r="L471" s="104"/>
      <c r="M471" s="105">
        <f t="shared" ref="M471:N474" si="783">H471-F471</f>
        <v>-15000</v>
      </c>
      <c r="N471" s="105">
        <f t="shared" si="783"/>
        <v>0</v>
      </c>
      <c r="O471" s="171"/>
      <c r="P471" s="35"/>
      <c r="Q471" s="35"/>
      <c r="R471" s="35"/>
      <c r="S471" s="35"/>
    </row>
    <row r="472" spans="1:19" x14ac:dyDescent="0.2">
      <c r="A472" s="179">
        <v>4222</v>
      </c>
      <c r="B472" s="180" t="s">
        <v>58</v>
      </c>
      <c r="C472" s="169">
        <v>133000</v>
      </c>
      <c r="D472" s="170"/>
      <c r="E472" s="170">
        <v>0</v>
      </c>
      <c r="F472" s="215"/>
      <c r="G472" s="215"/>
      <c r="H472" s="215">
        <v>10000</v>
      </c>
      <c r="I472" s="215"/>
      <c r="J472" s="215"/>
      <c r="K472" s="105">
        <f t="shared" si="782"/>
        <v>10000</v>
      </c>
      <c r="L472" s="104"/>
      <c r="M472" s="105">
        <f t="shared" si="783"/>
        <v>10000</v>
      </c>
      <c r="N472" s="105">
        <f t="shared" si="783"/>
        <v>0</v>
      </c>
      <c r="O472" s="215"/>
      <c r="P472" s="35"/>
      <c r="Q472" s="35"/>
      <c r="R472" s="35"/>
      <c r="S472" s="35"/>
    </row>
    <row r="473" spans="1:19" x14ac:dyDescent="0.2">
      <c r="A473" s="167" t="s">
        <v>179</v>
      </c>
      <c r="B473" s="168" t="s">
        <v>59</v>
      </c>
      <c r="C473" s="169">
        <v>378000</v>
      </c>
      <c r="D473" s="170"/>
      <c r="E473" s="170">
        <v>78000</v>
      </c>
      <c r="F473" s="171">
        <v>29000</v>
      </c>
      <c r="G473" s="171"/>
      <c r="H473" s="171">
        <v>10000</v>
      </c>
      <c r="I473" s="171"/>
      <c r="J473" s="171"/>
      <c r="K473" s="105">
        <f t="shared" si="782"/>
        <v>-68000</v>
      </c>
      <c r="L473" s="104"/>
      <c r="M473" s="105">
        <f t="shared" si="783"/>
        <v>-19000</v>
      </c>
      <c r="N473" s="105">
        <f t="shared" si="783"/>
        <v>0</v>
      </c>
      <c r="O473" s="171"/>
      <c r="P473" s="35"/>
      <c r="Q473" s="35"/>
      <c r="R473" s="35"/>
      <c r="S473" s="35"/>
    </row>
    <row r="474" spans="1:19" x14ac:dyDescent="0.2">
      <c r="A474" s="179">
        <v>4227</v>
      </c>
      <c r="B474" s="180" t="s">
        <v>60</v>
      </c>
      <c r="C474" s="169">
        <v>53000</v>
      </c>
      <c r="D474" s="170"/>
      <c r="E474" s="170">
        <v>0</v>
      </c>
      <c r="F474" s="215">
        <v>15000</v>
      </c>
      <c r="G474" s="215"/>
      <c r="H474" s="215"/>
      <c r="I474" s="215"/>
      <c r="J474" s="215"/>
      <c r="K474" s="105">
        <f t="shared" si="782"/>
        <v>0</v>
      </c>
      <c r="L474" s="104"/>
      <c r="M474" s="105">
        <f t="shared" si="783"/>
        <v>-15000</v>
      </c>
      <c r="N474" s="105">
        <f t="shared" si="783"/>
        <v>0</v>
      </c>
      <c r="O474" s="215"/>
      <c r="P474" s="35"/>
      <c r="Q474" s="35"/>
      <c r="R474" s="35"/>
      <c r="S474" s="35"/>
    </row>
    <row r="475" spans="1:19" s="2" customFormat="1" x14ac:dyDescent="0.2">
      <c r="A475" s="160" t="s">
        <v>181</v>
      </c>
      <c r="B475" s="161" t="s">
        <v>61</v>
      </c>
      <c r="C475" s="162">
        <f t="shared" ref="C475:F475" si="784">SUM(C476:C477)</f>
        <v>266000</v>
      </c>
      <c r="D475" s="163"/>
      <c r="E475" s="163">
        <f t="shared" ref="E475" si="785">SUM(E476:E477)</f>
        <v>130000</v>
      </c>
      <c r="F475" s="164">
        <f t="shared" si="784"/>
        <v>0</v>
      </c>
      <c r="G475" s="164">
        <f t="shared" ref="G475:H475" si="786">SUM(G476:G477)</f>
        <v>0</v>
      </c>
      <c r="H475" s="164">
        <f t="shared" si="786"/>
        <v>0</v>
      </c>
      <c r="I475" s="164">
        <f t="shared" ref="I475:J475" si="787">SUM(I476:I477)</f>
        <v>0</v>
      </c>
      <c r="J475" s="164">
        <f t="shared" si="787"/>
        <v>0</v>
      </c>
      <c r="K475" s="164">
        <f t="shared" ref="K475" si="788">SUM(K476:K477)</f>
        <v>-130000</v>
      </c>
      <c r="L475" s="165"/>
      <c r="M475" s="164">
        <f t="shared" ref="M475:O475" si="789">SUM(M476:M477)</f>
        <v>0</v>
      </c>
      <c r="N475" s="164">
        <f t="shared" ref="N475" si="790">SUM(N476:N477)</f>
        <v>0</v>
      </c>
      <c r="O475" s="164">
        <f t="shared" si="789"/>
        <v>0</v>
      </c>
      <c r="P475" s="50"/>
      <c r="Q475" s="50"/>
      <c r="R475" s="50"/>
      <c r="S475" s="50"/>
    </row>
    <row r="476" spans="1:19" x14ac:dyDescent="0.2">
      <c r="A476" s="167" t="s">
        <v>182</v>
      </c>
      <c r="B476" s="168" t="s">
        <v>62</v>
      </c>
      <c r="C476" s="169">
        <v>266000</v>
      </c>
      <c r="D476" s="170"/>
      <c r="E476" s="170">
        <v>130000</v>
      </c>
      <c r="F476" s="171"/>
      <c r="G476" s="171"/>
      <c r="H476" s="171"/>
      <c r="I476" s="171"/>
      <c r="J476" s="171"/>
      <c r="K476" s="105">
        <f t="shared" ref="K476" si="791">H476-E476</f>
        <v>-130000</v>
      </c>
      <c r="L476" s="104"/>
      <c r="M476" s="105">
        <f t="shared" ref="M476" si="792">H476-F476</f>
        <v>0</v>
      </c>
      <c r="N476" s="105">
        <f>I476-G476</f>
        <v>0</v>
      </c>
      <c r="O476" s="171"/>
      <c r="P476" s="35"/>
      <c r="Q476" s="35"/>
      <c r="R476" s="35"/>
      <c r="S476" s="35"/>
    </row>
    <row r="477" spans="1:19" hidden="1" x14ac:dyDescent="0.2">
      <c r="A477" s="179">
        <v>4233</v>
      </c>
      <c r="B477" s="180" t="s">
        <v>227</v>
      </c>
      <c r="C477" s="169"/>
      <c r="D477" s="170"/>
      <c r="E477" s="170"/>
      <c r="F477" s="215"/>
      <c r="G477" s="215"/>
      <c r="H477" s="215"/>
      <c r="I477" s="215"/>
      <c r="J477" s="215"/>
      <c r="K477" s="215"/>
      <c r="L477" s="172"/>
      <c r="M477" s="215"/>
      <c r="N477" s="215"/>
      <c r="O477" s="215"/>
      <c r="P477" s="35"/>
      <c r="Q477" s="35"/>
      <c r="R477" s="35"/>
      <c r="S477" s="35"/>
    </row>
    <row r="478" spans="1:19" hidden="1" x14ac:dyDescent="0.2">
      <c r="A478" s="243">
        <v>425</v>
      </c>
      <c r="B478" s="244" t="s">
        <v>313</v>
      </c>
      <c r="C478" s="97">
        <f t="shared" ref="C478:O478" si="793">SUM(C479)</f>
        <v>0</v>
      </c>
      <c r="D478" s="98"/>
      <c r="E478" s="98">
        <f t="shared" si="793"/>
        <v>0</v>
      </c>
      <c r="F478" s="265">
        <f t="shared" si="793"/>
        <v>0</v>
      </c>
      <c r="G478" s="265">
        <f t="shared" si="793"/>
        <v>0</v>
      </c>
      <c r="H478" s="265">
        <f t="shared" si="793"/>
        <v>0</v>
      </c>
      <c r="I478" s="265">
        <f t="shared" si="793"/>
        <v>0</v>
      </c>
      <c r="J478" s="265">
        <f t="shared" si="793"/>
        <v>0</v>
      </c>
      <c r="K478" s="265">
        <f t="shared" si="793"/>
        <v>0</v>
      </c>
      <c r="L478" s="100"/>
      <c r="M478" s="265">
        <f t="shared" si="793"/>
        <v>0</v>
      </c>
      <c r="N478" s="265">
        <f t="shared" si="793"/>
        <v>0</v>
      </c>
      <c r="O478" s="265">
        <f t="shared" si="793"/>
        <v>0</v>
      </c>
      <c r="P478" s="35"/>
      <c r="Q478" s="35"/>
      <c r="R478" s="35"/>
      <c r="S478" s="35"/>
    </row>
    <row r="479" spans="1:19" hidden="1" x14ac:dyDescent="0.2">
      <c r="A479" s="179">
        <v>4252</v>
      </c>
      <c r="B479" s="180" t="s">
        <v>63</v>
      </c>
      <c r="C479" s="169"/>
      <c r="D479" s="170"/>
      <c r="E479" s="170"/>
      <c r="F479" s="215"/>
      <c r="G479" s="215"/>
      <c r="H479" s="215"/>
      <c r="I479" s="215"/>
      <c r="J479" s="215"/>
      <c r="K479" s="215"/>
      <c r="L479" s="172"/>
      <c r="M479" s="215"/>
      <c r="N479" s="215"/>
      <c r="O479" s="215"/>
      <c r="P479" s="35"/>
      <c r="Q479" s="35"/>
      <c r="R479" s="35"/>
      <c r="S479" s="35"/>
    </row>
    <row r="480" spans="1:19" x14ac:dyDescent="0.2">
      <c r="A480" s="242">
        <v>426</v>
      </c>
      <c r="B480" s="161" t="s">
        <v>73</v>
      </c>
      <c r="C480" s="162">
        <f t="shared" ref="C480:O480" si="794">C481</f>
        <v>169000</v>
      </c>
      <c r="D480" s="163"/>
      <c r="E480" s="163">
        <f t="shared" si="794"/>
        <v>10000</v>
      </c>
      <c r="F480" s="164">
        <f t="shared" si="794"/>
        <v>70000</v>
      </c>
      <c r="G480" s="164">
        <f t="shared" si="794"/>
        <v>0</v>
      </c>
      <c r="H480" s="164">
        <f t="shared" si="794"/>
        <v>0</v>
      </c>
      <c r="I480" s="164">
        <f t="shared" si="794"/>
        <v>0</v>
      </c>
      <c r="J480" s="164">
        <f t="shared" si="794"/>
        <v>0</v>
      </c>
      <c r="K480" s="164">
        <f t="shared" si="794"/>
        <v>-10000</v>
      </c>
      <c r="L480" s="165"/>
      <c r="M480" s="164">
        <f t="shared" si="794"/>
        <v>-70000</v>
      </c>
      <c r="N480" s="164">
        <f t="shared" si="794"/>
        <v>0</v>
      </c>
      <c r="O480" s="164">
        <f t="shared" si="794"/>
        <v>0</v>
      </c>
      <c r="P480" s="35"/>
      <c r="Q480" s="35"/>
      <c r="R480" s="35"/>
      <c r="S480" s="35"/>
    </row>
    <row r="481" spans="1:19" x14ac:dyDescent="0.2">
      <c r="A481" s="167">
        <v>4262</v>
      </c>
      <c r="B481" s="168" t="s">
        <v>274</v>
      </c>
      <c r="C481" s="169">
        <v>169000</v>
      </c>
      <c r="D481" s="170"/>
      <c r="E481" s="170">
        <v>10000</v>
      </c>
      <c r="F481" s="171">
        <v>70000</v>
      </c>
      <c r="G481" s="171"/>
      <c r="H481" s="171"/>
      <c r="I481" s="171"/>
      <c r="J481" s="171"/>
      <c r="K481" s="105">
        <f t="shared" ref="K481" si="795">H481-E481</f>
        <v>-10000</v>
      </c>
      <c r="L481" s="104"/>
      <c r="M481" s="105">
        <f>H481-F481</f>
        <v>-70000</v>
      </c>
      <c r="N481" s="105">
        <f>I481-G481</f>
        <v>0</v>
      </c>
      <c r="O481" s="171"/>
      <c r="P481" s="35"/>
      <c r="Q481" s="35"/>
      <c r="R481" s="35"/>
      <c r="S481" s="35"/>
    </row>
    <row r="482" spans="1:19" ht="24.95" customHeight="1" x14ac:dyDescent="0.2">
      <c r="A482" s="208" t="s">
        <v>81</v>
      </c>
      <c r="B482" s="113" t="s">
        <v>82</v>
      </c>
      <c r="C482" s="114">
        <f t="shared" ref="C482:O482" si="796">SUM(C483)</f>
        <v>780000</v>
      </c>
      <c r="D482" s="115"/>
      <c r="E482" s="115">
        <f t="shared" si="796"/>
        <v>449000</v>
      </c>
      <c r="F482" s="116">
        <f t="shared" si="796"/>
        <v>88100</v>
      </c>
      <c r="G482" s="116">
        <f t="shared" si="796"/>
        <v>0</v>
      </c>
      <c r="H482" s="116">
        <f t="shared" si="796"/>
        <v>470000</v>
      </c>
      <c r="I482" s="116">
        <f t="shared" si="796"/>
        <v>0</v>
      </c>
      <c r="J482" s="116">
        <f t="shared" si="796"/>
        <v>0</v>
      </c>
      <c r="K482" s="116">
        <f t="shared" si="796"/>
        <v>21000</v>
      </c>
      <c r="L482" s="117"/>
      <c r="M482" s="116">
        <f t="shared" si="796"/>
        <v>381900</v>
      </c>
      <c r="N482" s="116">
        <f t="shared" si="796"/>
        <v>0</v>
      </c>
      <c r="O482" s="116">
        <f t="shared" si="796"/>
        <v>0</v>
      </c>
      <c r="P482" s="35"/>
      <c r="Q482" s="35"/>
      <c r="R482" s="35"/>
      <c r="S482" s="35"/>
    </row>
    <row r="483" spans="1:19" s="6" customFormat="1" ht="15" x14ac:dyDescent="0.25">
      <c r="A483" s="703" t="s">
        <v>77</v>
      </c>
      <c r="B483" s="703"/>
      <c r="C483" s="229">
        <f>SUM(C484,C504,C507,C520)</f>
        <v>780000</v>
      </c>
      <c r="D483" s="230"/>
      <c r="E483" s="230">
        <f t="shared" ref="E483:O483" si="797">SUM(E484,E504,E507,E520)</f>
        <v>449000</v>
      </c>
      <c r="F483" s="231">
        <f t="shared" si="797"/>
        <v>88100</v>
      </c>
      <c r="G483" s="231">
        <f t="shared" si="797"/>
        <v>0</v>
      </c>
      <c r="H483" s="231">
        <f t="shared" si="797"/>
        <v>470000</v>
      </c>
      <c r="I483" s="231">
        <f t="shared" si="797"/>
        <v>0</v>
      </c>
      <c r="J483" s="231">
        <f t="shared" si="797"/>
        <v>0</v>
      </c>
      <c r="K483" s="240">
        <f t="shared" si="797"/>
        <v>21000</v>
      </c>
      <c r="L483" s="241"/>
      <c r="M483" s="240">
        <f t="shared" si="797"/>
        <v>381900</v>
      </c>
      <c r="N483" s="240">
        <f t="shared" si="797"/>
        <v>0</v>
      </c>
      <c r="O483" s="240">
        <f t="shared" si="797"/>
        <v>0</v>
      </c>
      <c r="P483" s="213"/>
      <c r="Q483" s="213"/>
      <c r="R483" s="213"/>
      <c r="S483" s="213"/>
    </row>
    <row r="484" spans="1:19" s="6" customFormat="1" ht="15" x14ac:dyDescent="0.25">
      <c r="A484" s="418" t="s">
        <v>324</v>
      </c>
      <c r="B484" s="414" t="s">
        <v>325</v>
      </c>
      <c r="C484" s="419">
        <f>SUM(C485,C489,C495)</f>
        <v>324000</v>
      </c>
      <c r="D484" s="420"/>
      <c r="E484" s="420">
        <f t="shared" ref="E484:O484" si="798">SUM(E485,E489,E495)</f>
        <v>135000</v>
      </c>
      <c r="F484" s="421">
        <f t="shared" si="798"/>
        <v>71000</v>
      </c>
      <c r="G484" s="421">
        <f t="shared" si="798"/>
        <v>0</v>
      </c>
      <c r="H484" s="421">
        <f t="shared" si="798"/>
        <v>70000</v>
      </c>
      <c r="I484" s="421">
        <f t="shared" si="798"/>
        <v>0</v>
      </c>
      <c r="J484" s="421">
        <f t="shared" si="798"/>
        <v>0</v>
      </c>
      <c r="K484" s="123">
        <f t="shared" si="798"/>
        <v>-65000</v>
      </c>
      <c r="L484" s="124"/>
      <c r="M484" s="123">
        <f t="shared" si="798"/>
        <v>-1000</v>
      </c>
      <c r="N484" s="123">
        <f t="shared" si="798"/>
        <v>0</v>
      </c>
      <c r="O484" s="123">
        <f t="shared" si="798"/>
        <v>0</v>
      </c>
      <c r="P484" s="213"/>
      <c r="Q484" s="213"/>
      <c r="R484" s="213"/>
      <c r="S484" s="213"/>
    </row>
    <row r="485" spans="1:19" s="6" customFormat="1" ht="15" x14ac:dyDescent="0.25">
      <c r="A485" s="160" t="s">
        <v>149</v>
      </c>
      <c r="B485" s="161" t="s">
        <v>12</v>
      </c>
      <c r="C485" s="162">
        <f t="shared" ref="C485:F485" si="799">SUM(C486:C488)</f>
        <v>17000</v>
      </c>
      <c r="D485" s="163"/>
      <c r="E485" s="163">
        <f t="shared" ref="E485" si="800">SUM(E486:E488)</f>
        <v>0</v>
      </c>
      <c r="F485" s="164">
        <f t="shared" si="799"/>
        <v>9000</v>
      </c>
      <c r="G485" s="164">
        <f t="shared" ref="G485:H485" si="801">SUM(G486:G488)</f>
        <v>0</v>
      </c>
      <c r="H485" s="164">
        <f t="shared" si="801"/>
        <v>15000</v>
      </c>
      <c r="I485" s="164">
        <f t="shared" ref="I485:J485" si="802">SUM(I486:I488)</f>
        <v>0</v>
      </c>
      <c r="J485" s="164">
        <f t="shared" si="802"/>
        <v>0</v>
      </c>
      <c r="K485" s="164">
        <f t="shared" ref="K485" si="803">SUM(K486:K488)</f>
        <v>15000</v>
      </c>
      <c r="L485" s="165"/>
      <c r="M485" s="164">
        <f t="shared" ref="M485:O485" si="804">SUM(M486:M488)</f>
        <v>6000</v>
      </c>
      <c r="N485" s="164">
        <f t="shared" ref="N485" si="805">SUM(N486:N488)</f>
        <v>0</v>
      </c>
      <c r="O485" s="164">
        <f t="shared" si="804"/>
        <v>0</v>
      </c>
      <c r="P485" s="213"/>
      <c r="Q485" s="213"/>
      <c r="R485" s="213"/>
      <c r="S485" s="213"/>
    </row>
    <row r="486" spans="1:19" customFormat="1" ht="15" x14ac:dyDescent="0.25">
      <c r="A486" s="167" t="s">
        <v>150</v>
      </c>
      <c r="B486" s="168" t="s">
        <v>13</v>
      </c>
      <c r="C486" s="169">
        <v>4000</v>
      </c>
      <c r="D486" s="170"/>
      <c r="E486" s="170">
        <v>0</v>
      </c>
      <c r="F486" s="171">
        <v>2000</v>
      </c>
      <c r="G486" s="171"/>
      <c r="H486" s="171">
        <v>10000</v>
      </c>
      <c r="I486" s="171"/>
      <c r="J486" s="171"/>
      <c r="K486" s="105">
        <f t="shared" ref="K486:K487" si="806">H486-E486</f>
        <v>10000</v>
      </c>
      <c r="L486" s="104"/>
      <c r="M486" s="105">
        <f>H486-F486</f>
        <v>8000</v>
      </c>
      <c r="N486" s="105">
        <f>I486-G486</f>
        <v>0</v>
      </c>
      <c r="O486" s="171"/>
      <c r="P486" s="214"/>
      <c r="Q486" s="214"/>
      <c r="R486" s="214"/>
      <c r="S486" s="214"/>
    </row>
    <row r="487" spans="1:19" customFormat="1" ht="15" x14ac:dyDescent="0.25">
      <c r="A487" s="179">
        <v>3212</v>
      </c>
      <c r="B487" s="180" t="s">
        <v>14</v>
      </c>
      <c r="C487" s="169">
        <v>13000</v>
      </c>
      <c r="D487" s="170"/>
      <c r="E487" s="170">
        <v>0</v>
      </c>
      <c r="F487" s="215">
        <v>7000</v>
      </c>
      <c r="G487" s="215"/>
      <c r="H487" s="215">
        <v>5000</v>
      </c>
      <c r="I487" s="215"/>
      <c r="J487" s="215"/>
      <c r="K487" s="105">
        <f t="shared" si="806"/>
        <v>5000</v>
      </c>
      <c r="L487" s="104"/>
      <c r="M487" s="105">
        <f>H487-F487</f>
        <v>-2000</v>
      </c>
      <c r="N487" s="105">
        <f>I487-G487</f>
        <v>0</v>
      </c>
      <c r="O487" s="215"/>
      <c r="P487" s="214"/>
      <c r="Q487" s="214"/>
      <c r="R487" s="214"/>
      <c r="S487" s="214"/>
    </row>
    <row r="488" spans="1:19" customFormat="1" ht="15" hidden="1" x14ac:dyDescent="0.25">
      <c r="A488" s="167" t="s">
        <v>152</v>
      </c>
      <c r="B488" s="168" t="s">
        <v>15</v>
      </c>
      <c r="C488" s="169"/>
      <c r="D488" s="170"/>
      <c r="E488" s="170"/>
      <c r="F488" s="171"/>
      <c r="G488" s="171"/>
      <c r="H488" s="171"/>
      <c r="I488" s="171"/>
      <c r="J488" s="171"/>
      <c r="K488" s="171"/>
      <c r="L488" s="172"/>
      <c r="M488" s="171"/>
      <c r="N488" s="171"/>
      <c r="O488" s="171"/>
      <c r="P488" s="214"/>
      <c r="Q488" s="214"/>
      <c r="R488" s="214"/>
      <c r="S488" s="214"/>
    </row>
    <row r="489" spans="1:19" s="6" customFormat="1" ht="15" x14ac:dyDescent="0.25">
      <c r="A489" s="160" t="s">
        <v>153</v>
      </c>
      <c r="B489" s="161" t="s">
        <v>16</v>
      </c>
      <c r="C489" s="162">
        <f>SUM(C490:C494)</f>
        <v>32000</v>
      </c>
      <c r="D489" s="163"/>
      <c r="E489" s="163">
        <f t="shared" ref="E489:O489" si="807">SUM(E490:E494)</f>
        <v>50000</v>
      </c>
      <c r="F489" s="164">
        <f t="shared" si="807"/>
        <v>12000</v>
      </c>
      <c r="G489" s="164">
        <f t="shared" si="807"/>
        <v>0</v>
      </c>
      <c r="H489" s="164">
        <f t="shared" si="807"/>
        <v>25000</v>
      </c>
      <c r="I489" s="164">
        <f t="shared" si="807"/>
        <v>0</v>
      </c>
      <c r="J489" s="164">
        <f t="shared" si="807"/>
        <v>0</v>
      </c>
      <c r="K489" s="164">
        <f t="shared" si="807"/>
        <v>-25000</v>
      </c>
      <c r="L489" s="165"/>
      <c r="M489" s="164">
        <f t="shared" si="807"/>
        <v>13000</v>
      </c>
      <c r="N489" s="164">
        <f t="shared" si="807"/>
        <v>0</v>
      </c>
      <c r="O489" s="164">
        <f t="shared" si="807"/>
        <v>0</v>
      </c>
      <c r="P489" s="213"/>
      <c r="Q489" s="213"/>
      <c r="R489" s="213"/>
      <c r="S489" s="213"/>
    </row>
    <row r="490" spans="1:19" customFormat="1" ht="15" x14ac:dyDescent="0.25">
      <c r="A490" s="266">
        <v>3221</v>
      </c>
      <c r="B490" s="267" t="s">
        <v>17</v>
      </c>
      <c r="C490" s="255"/>
      <c r="D490" s="256"/>
      <c r="E490" s="256">
        <v>1000</v>
      </c>
      <c r="F490" s="258"/>
      <c r="G490" s="258"/>
      <c r="H490" s="258"/>
      <c r="I490" s="258"/>
      <c r="J490" s="258"/>
      <c r="K490" s="105">
        <f t="shared" ref="K490:K494" si="808">H490-E490</f>
        <v>-1000</v>
      </c>
      <c r="L490" s="104"/>
      <c r="M490" s="105">
        <f t="shared" ref="M490:N494" si="809">H490-F490</f>
        <v>0</v>
      </c>
      <c r="N490" s="105">
        <f t="shared" si="809"/>
        <v>0</v>
      </c>
      <c r="O490" s="258"/>
      <c r="P490" s="214"/>
      <c r="Q490" s="214"/>
      <c r="R490" s="214"/>
      <c r="S490" s="214"/>
    </row>
    <row r="491" spans="1:19" customFormat="1" ht="15" x14ac:dyDescent="0.25">
      <c r="A491" s="167">
        <v>3222</v>
      </c>
      <c r="B491" s="168" t="s">
        <v>18</v>
      </c>
      <c r="C491" s="169"/>
      <c r="D491" s="170"/>
      <c r="E491" s="170">
        <v>1000</v>
      </c>
      <c r="F491" s="171"/>
      <c r="G491" s="171"/>
      <c r="H491" s="171"/>
      <c r="I491" s="171"/>
      <c r="J491" s="171"/>
      <c r="K491" s="105">
        <f t="shared" si="808"/>
        <v>-1000</v>
      </c>
      <c r="L491" s="104"/>
      <c r="M491" s="105">
        <f t="shared" si="809"/>
        <v>0</v>
      </c>
      <c r="N491" s="105">
        <f t="shared" si="809"/>
        <v>0</v>
      </c>
      <c r="O491" s="171"/>
      <c r="P491" s="214"/>
      <c r="Q491" s="214"/>
      <c r="R491" s="214"/>
      <c r="S491" s="214"/>
    </row>
    <row r="492" spans="1:19" customFormat="1" ht="15" x14ac:dyDescent="0.25">
      <c r="A492" s="167" t="s">
        <v>156</v>
      </c>
      <c r="B492" s="168" t="s">
        <v>19</v>
      </c>
      <c r="C492" s="169">
        <v>32000</v>
      </c>
      <c r="D492" s="170"/>
      <c r="E492" s="170">
        <v>47000</v>
      </c>
      <c r="F492" s="171">
        <v>12000</v>
      </c>
      <c r="G492" s="171"/>
      <c r="H492" s="171">
        <v>25000</v>
      </c>
      <c r="I492" s="171"/>
      <c r="J492" s="171"/>
      <c r="K492" s="105">
        <f t="shared" si="808"/>
        <v>-22000</v>
      </c>
      <c r="L492" s="104"/>
      <c r="M492" s="105">
        <f t="shared" si="809"/>
        <v>13000</v>
      </c>
      <c r="N492" s="105">
        <f t="shared" si="809"/>
        <v>0</v>
      </c>
      <c r="O492" s="171"/>
      <c r="P492" s="214"/>
      <c r="Q492" s="214"/>
      <c r="R492" s="214"/>
      <c r="S492" s="214"/>
    </row>
    <row r="493" spans="1:19" customFormat="1" ht="15" x14ac:dyDescent="0.25">
      <c r="A493" s="268">
        <v>3224</v>
      </c>
      <c r="B493" s="254" t="s">
        <v>112</v>
      </c>
      <c r="C493" s="169"/>
      <c r="D493" s="170"/>
      <c r="E493" s="170"/>
      <c r="F493" s="269"/>
      <c r="G493" s="269"/>
      <c r="H493" s="269"/>
      <c r="I493" s="269"/>
      <c r="J493" s="269"/>
      <c r="K493" s="105">
        <f t="shared" si="808"/>
        <v>0</v>
      </c>
      <c r="L493" s="104"/>
      <c r="M493" s="105">
        <f t="shared" si="809"/>
        <v>0</v>
      </c>
      <c r="N493" s="105">
        <f t="shared" si="809"/>
        <v>0</v>
      </c>
      <c r="O493" s="269"/>
      <c r="P493" s="214"/>
      <c r="Q493" s="214"/>
      <c r="R493" s="214"/>
      <c r="S493" s="214"/>
    </row>
    <row r="494" spans="1:19" customFormat="1" ht="15" x14ac:dyDescent="0.25">
      <c r="A494" s="167" t="s">
        <v>158</v>
      </c>
      <c r="B494" s="168" t="s">
        <v>21</v>
      </c>
      <c r="C494" s="169"/>
      <c r="D494" s="170"/>
      <c r="E494" s="170">
        <v>1000</v>
      </c>
      <c r="F494" s="171"/>
      <c r="G494" s="171"/>
      <c r="H494" s="171"/>
      <c r="I494" s="171"/>
      <c r="J494" s="171"/>
      <c r="K494" s="105">
        <f t="shared" si="808"/>
        <v>-1000</v>
      </c>
      <c r="L494" s="104"/>
      <c r="M494" s="105">
        <f t="shared" si="809"/>
        <v>0</v>
      </c>
      <c r="N494" s="105">
        <f t="shared" si="809"/>
        <v>0</v>
      </c>
      <c r="O494" s="171"/>
      <c r="P494" s="214"/>
      <c r="Q494" s="214"/>
      <c r="R494" s="214"/>
      <c r="S494" s="214"/>
    </row>
    <row r="495" spans="1:19" s="6" customFormat="1" ht="15" x14ac:dyDescent="0.25">
      <c r="A495" s="160" t="s">
        <v>159</v>
      </c>
      <c r="B495" s="161" t="s">
        <v>123</v>
      </c>
      <c r="C495" s="162">
        <f t="shared" ref="C495:F495" si="810">SUM(C496:C503)</f>
        <v>275000</v>
      </c>
      <c r="D495" s="163"/>
      <c r="E495" s="163">
        <f t="shared" ref="E495" si="811">SUM(E496:E503)</f>
        <v>85000</v>
      </c>
      <c r="F495" s="164">
        <f t="shared" si="810"/>
        <v>50000</v>
      </c>
      <c r="G495" s="164">
        <f t="shared" ref="G495:H495" si="812">SUM(G496:G503)</f>
        <v>0</v>
      </c>
      <c r="H495" s="164">
        <f t="shared" si="812"/>
        <v>30000</v>
      </c>
      <c r="I495" s="164">
        <f t="shared" ref="I495:J495" si="813">SUM(I496:I503)</f>
        <v>0</v>
      </c>
      <c r="J495" s="164">
        <f t="shared" si="813"/>
        <v>0</v>
      </c>
      <c r="K495" s="164">
        <f t="shared" ref="K495" si="814">SUM(K496:K503)</f>
        <v>-55000</v>
      </c>
      <c r="L495" s="165"/>
      <c r="M495" s="164">
        <f t="shared" ref="M495:O495" si="815">SUM(M496:M503)</f>
        <v>-20000</v>
      </c>
      <c r="N495" s="164">
        <f t="shared" ref="N495" si="816">SUM(N496:N503)</f>
        <v>0</v>
      </c>
      <c r="O495" s="164">
        <f t="shared" si="815"/>
        <v>0</v>
      </c>
      <c r="P495" s="213"/>
      <c r="Q495" s="213"/>
      <c r="R495" s="213"/>
      <c r="S495" s="213"/>
    </row>
    <row r="496" spans="1:19" customFormat="1" ht="15" x14ac:dyDescent="0.25">
      <c r="A496" s="167" t="s">
        <v>160</v>
      </c>
      <c r="B496" s="168" t="s">
        <v>24</v>
      </c>
      <c r="C496" s="245">
        <v>26000</v>
      </c>
      <c r="D496" s="246"/>
      <c r="E496" s="246">
        <v>1000</v>
      </c>
      <c r="F496" s="247">
        <v>12000</v>
      </c>
      <c r="G496" s="247"/>
      <c r="H496" s="247"/>
      <c r="I496" s="247"/>
      <c r="J496" s="247"/>
      <c r="K496" s="105">
        <f t="shared" ref="K496:K503" si="817">H496-E496</f>
        <v>-1000</v>
      </c>
      <c r="L496" s="104"/>
      <c r="M496" s="105">
        <f t="shared" ref="M496:M503" si="818">H496-F496</f>
        <v>-12000</v>
      </c>
      <c r="N496" s="105">
        <f t="shared" ref="N496:N503" si="819">I496-G496</f>
        <v>0</v>
      </c>
      <c r="O496" s="247"/>
      <c r="P496" s="214"/>
      <c r="Q496" s="214"/>
      <c r="R496" s="214"/>
      <c r="S496" s="214"/>
    </row>
    <row r="497" spans="1:19" customFormat="1" ht="15" x14ac:dyDescent="0.25">
      <c r="A497" s="179">
        <v>3232</v>
      </c>
      <c r="B497" s="180" t="s">
        <v>25</v>
      </c>
      <c r="C497" s="245">
        <v>20000</v>
      </c>
      <c r="D497" s="246"/>
      <c r="E497" s="246">
        <v>40000</v>
      </c>
      <c r="F497" s="264">
        <v>12000</v>
      </c>
      <c r="G497" s="264"/>
      <c r="H497" s="264"/>
      <c r="I497" s="264"/>
      <c r="J497" s="264"/>
      <c r="K497" s="105">
        <f t="shared" si="817"/>
        <v>-40000</v>
      </c>
      <c r="L497" s="104"/>
      <c r="M497" s="105">
        <f t="shared" si="818"/>
        <v>-12000</v>
      </c>
      <c r="N497" s="105">
        <f t="shared" si="819"/>
        <v>0</v>
      </c>
      <c r="O497" s="264"/>
      <c r="P497" s="214"/>
      <c r="Q497" s="214"/>
      <c r="R497" s="214"/>
      <c r="S497" s="214"/>
    </row>
    <row r="498" spans="1:19" customFormat="1" ht="15" x14ac:dyDescent="0.25">
      <c r="A498" s="167" t="s">
        <v>162</v>
      </c>
      <c r="B498" s="168" t="s">
        <v>26</v>
      </c>
      <c r="C498" s="169">
        <v>3000</v>
      </c>
      <c r="D498" s="170"/>
      <c r="E498" s="170">
        <v>0</v>
      </c>
      <c r="F498" s="171">
        <v>1000</v>
      </c>
      <c r="G498" s="171"/>
      <c r="H498" s="171"/>
      <c r="I498" s="171"/>
      <c r="J498" s="171"/>
      <c r="K498" s="105">
        <f t="shared" si="817"/>
        <v>0</v>
      </c>
      <c r="L498" s="104"/>
      <c r="M498" s="105">
        <f t="shared" si="818"/>
        <v>-1000</v>
      </c>
      <c r="N498" s="105">
        <f t="shared" si="819"/>
        <v>0</v>
      </c>
      <c r="O498" s="171"/>
      <c r="P498" s="214"/>
      <c r="Q498" s="214"/>
      <c r="R498" s="214"/>
      <c r="S498" s="214"/>
    </row>
    <row r="499" spans="1:19" customFormat="1" ht="15" x14ac:dyDescent="0.25">
      <c r="A499" s="167" t="s">
        <v>163</v>
      </c>
      <c r="B499" s="168" t="s">
        <v>27</v>
      </c>
      <c r="C499" s="169">
        <v>7000</v>
      </c>
      <c r="D499" s="170"/>
      <c r="E499" s="270">
        <v>25000</v>
      </c>
      <c r="F499" s="171">
        <v>3000</v>
      </c>
      <c r="G499" s="171"/>
      <c r="H499" s="171"/>
      <c r="I499" s="171"/>
      <c r="J499" s="171"/>
      <c r="K499" s="105">
        <f t="shared" si="817"/>
        <v>-25000</v>
      </c>
      <c r="L499" s="104"/>
      <c r="M499" s="105">
        <f t="shared" si="818"/>
        <v>-3000</v>
      </c>
      <c r="N499" s="105">
        <f t="shared" si="819"/>
        <v>0</v>
      </c>
      <c r="O499" s="171"/>
      <c r="P499" s="214"/>
      <c r="Q499" s="214"/>
      <c r="R499" s="214"/>
      <c r="S499" s="214"/>
    </row>
    <row r="500" spans="1:19" customFormat="1" ht="15" x14ac:dyDescent="0.25">
      <c r="A500" s="179">
        <v>3236</v>
      </c>
      <c r="B500" s="180" t="s">
        <v>29</v>
      </c>
      <c r="C500" s="169">
        <v>2000</v>
      </c>
      <c r="D500" s="170"/>
      <c r="E500" s="270">
        <v>2000</v>
      </c>
      <c r="F500" s="215">
        <v>1000</v>
      </c>
      <c r="G500" s="215"/>
      <c r="H500" s="215"/>
      <c r="I500" s="215"/>
      <c r="J500" s="215"/>
      <c r="K500" s="105">
        <f t="shared" si="817"/>
        <v>-2000</v>
      </c>
      <c r="L500" s="104"/>
      <c r="M500" s="105">
        <f t="shared" si="818"/>
        <v>-1000</v>
      </c>
      <c r="N500" s="105">
        <f t="shared" si="819"/>
        <v>0</v>
      </c>
      <c r="O500" s="215"/>
      <c r="P500" s="214"/>
      <c r="Q500" s="214"/>
      <c r="R500" s="214"/>
      <c r="S500" s="214"/>
    </row>
    <row r="501" spans="1:19" customFormat="1" ht="15" x14ac:dyDescent="0.25">
      <c r="A501" s="167" t="s">
        <v>166</v>
      </c>
      <c r="B501" s="168" t="s">
        <v>30</v>
      </c>
      <c r="C501" s="169">
        <v>151000</v>
      </c>
      <c r="D501" s="170"/>
      <c r="E501" s="170">
        <v>10000</v>
      </c>
      <c r="F501" s="171">
        <v>8000</v>
      </c>
      <c r="G501" s="171"/>
      <c r="H501" s="171">
        <v>30000</v>
      </c>
      <c r="I501" s="171"/>
      <c r="J501" s="171"/>
      <c r="K501" s="105">
        <f t="shared" si="817"/>
        <v>20000</v>
      </c>
      <c r="L501" s="104"/>
      <c r="M501" s="105">
        <f t="shared" si="818"/>
        <v>22000</v>
      </c>
      <c r="N501" s="105">
        <f t="shared" si="819"/>
        <v>0</v>
      </c>
      <c r="O501" s="171"/>
      <c r="P501" s="214"/>
      <c r="Q501" s="214"/>
      <c r="R501" s="214"/>
      <c r="S501" s="214"/>
    </row>
    <row r="502" spans="1:19" customFormat="1" ht="15" x14ac:dyDescent="0.25">
      <c r="A502" s="167">
        <v>3238</v>
      </c>
      <c r="B502" s="168" t="s">
        <v>70</v>
      </c>
      <c r="C502" s="169">
        <v>66000</v>
      </c>
      <c r="D502" s="170"/>
      <c r="E502" s="270">
        <v>6000</v>
      </c>
      <c r="F502" s="171">
        <v>13000</v>
      </c>
      <c r="G502" s="171"/>
      <c r="H502" s="171"/>
      <c r="I502" s="171"/>
      <c r="J502" s="171"/>
      <c r="K502" s="105">
        <f t="shared" si="817"/>
        <v>-6000</v>
      </c>
      <c r="L502" s="104"/>
      <c r="M502" s="105">
        <f t="shared" si="818"/>
        <v>-13000</v>
      </c>
      <c r="N502" s="105">
        <f t="shared" si="819"/>
        <v>0</v>
      </c>
      <c r="O502" s="171"/>
      <c r="P502" s="214"/>
      <c r="Q502" s="214"/>
      <c r="R502" s="214"/>
      <c r="S502" s="214"/>
    </row>
    <row r="503" spans="1:19" customFormat="1" ht="15" x14ac:dyDescent="0.25">
      <c r="A503" s="167">
        <v>3239</v>
      </c>
      <c r="B503" s="168" t="s">
        <v>31</v>
      </c>
      <c r="C503" s="169"/>
      <c r="D503" s="170"/>
      <c r="E503" s="170">
        <v>1000</v>
      </c>
      <c r="F503" s="171"/>
      <c r="G503" s="171"/>
      <c r="H503" s="171"/>
      <c r="I503" s="171"/>
      <c r="J503" s="171"/>
      <c r="K503" s="105">
        <f t="shared" si="817"/>
        <v>-1000</v>
      </c>
      <c r="L503" s="104"/>
      <c r="M503" s="105">
        <f t="shared" si="818"/>
        <v>0</v>
      </c>
      <c r="N503" s="105">
        <f t="shared" si="819"/>
        <v>0</v>
      </c>
      <c r="O503" s="171"/>
      <c r="P503" s="214"/>
      <c r="Q503" s="214"/>
      <c r="R503" s="214"/>
      <c r="S503" s="214"/>
    </row>
    <row r="504" spans="1:19" customFormat="1" ht="15" x14ac:dyDescent="0.25">
      <c r="A504" s="413" t="s">
        <v>320</v>
      </c>
      <c r="B504" s="414" t="s">
        <v>321</v>
      </c>
      <c r="C504" s="415">
        <f>SUM(C505)</f>
        <v>69000</v>
      </c>
      <c r="D504" s="416"/>
      <c r="E504" s="416">
        <f t="shared" ref="E504:O504" si="820">SUM(E505)</f>
        <v>69000</v>
      </c>
      <c r="F504" s="417">
        <f t="shared" si="820"/>
        <v>3500</v>
      </c>
      <c r="G504" s="417">
        <f t="shared" si="820"/>
        <v>0</v>
      </c>
      <c r="H504" s="417">
        <f t="shared" si="820"/>
        <v>0</v>
      </c>
      <c r="I504" s="417">
        <f t="shared" si="820"/>
        <v>0</v>
      </c>
      <c r="J504" s="417">
        <f t="shared" si="820"/>
        <v>0</v>
      </c>
      <c r="K504" s="93">
        <f t="shared" si="820"/>
        <v>-69000</v>
      </c>
      <c r="L504" s="94"/>
      <c r="M504" s="93">
        <f t="shared" si="820"/>
        <v>-3500</v>
      </c>
      <c r="N504" s="93">
        <f t="shared" si="820"/>
        <v>0</v>
      </c>
      <c r="O504" s="93">
        <f t="shared" si="820"/>
        <v>0</v>
      </c>
      <c r="P504" s="214"/>
      <c r="Q504" s="214"/>
      <c r="R504" s="214"/>
      <c r="S504" s="214"/>
    </row>
    <row r="505" spans="1:19" s="6" customFormat="1" ht="15" x14ac:dyDescent="0.25">
      <c r="A505" s="160" t="s">
        <v>139</v>
      </c>
      <c r="B505" s="161" t="s">
        <v>124</v>
      </c>
      <c r="C505" s="162">
        <f t="shared" ref="C505:O505" si="821">C506</f>
        <v>69000</v>
      </c>
      <c r="D505" s="163"/>
      <c r="E505" s="163">
        <f t="shared" si="821"/>
        <v>69000</v>
      </c>
      <c r="F505" s="164">
        <f t="shared" si="821"/>
        <v>3500</v>
      </c>
      <c r="G505" s="164">
        <f t="shared" si="821"/>
        <v>0</v>
      </c>
      <c r="H505" s="164">
        <f t="shared" si="821"/>
        <v>0</v>
      </c>
      <c r="I505" s="164">
        <f t="shared" si="821"/>
        <v>0</v>
      </c>
      <c r="J505" s="164">
        <f t="shared" si="821"/>
        <v>0</v>
      </c>
      <c r="K505" s="164">
        <f t="shared" si="821"/>
        <v>-69000</v>
      </c>
      <c r="L505" s="165"/>
      <c r="M505" s="164">
        <f t="shared" si="821"/>
        <v>-3500</v>
      </c>
      <c r="N505" s="164">
        <f t="shared" si="821"/>
        <v>0</v>
      </c>
      <c r="O505" s="164">
        <f t="shared" si="821"/>
        <v>0</v>
      </c>
      <c r="P505" s="213"/>
      <c r="Q505" s="213"/>
      <c r="R505" s="213"/>
      <c r="S505" s="213"/>
    </row>
    <row r="506" spans="1:19" customFormat="1" ht="15" x14ac:dyDescent="0.25">
      <c r="A506" s="167" t="s">
        <v>140</v>
      </c>
      <c r="B506" s="168" t="s">
        <v>46</v>
      </c>
      <c r="C506" s="169">
        <v>69000</v>
      </c>
      <c r="D506" s="170"/>
      <c r="E506" s="170">
        <v>69000</v>
      </c>
      <c r="F506" s="171">
        <v>3500</v>
      </c>
      <c r="G506" s="171"/>
      <c r="H506" s="171"/>
      <c r="I506" s="171"/>
      <c r="J506" s="171"/>
      <c r="K506" s="105">
        <f t="shared" ref="K506" si="822">H506-E506</f>
        <v>-69000</v>
      </c>
      <c r="L506" s="104"/>
      <c r="M506" s="105">
        <f>H506-F506</f>
        <v>-3500</v>
      </c>
      <c r="N506" s="105">
        <f>I506-G506</f>
        <v>0</v>
      </c>
      <c r="O506" s="171"/>
      <c r="P506" s="214"/>
      <c r="Q506" s="214"/>
      <c r="R506" s="214"/>
      <c r="S506" s="214"/>
    </row>
    <row r="507" spans="1:19" customFormat="1" ht="25.5" x14ac:dyDescent="0.25">
      <c r="A507" s="434" t="s">
        <v>330</v>
      </c>
      <c r="B507" s="435" t="s">
        <v>331</v>
      </c>
      <c r="C507" s="415">
        <f>SUM(C508,C511,C518)</f>
        <v>108000</v>
      </c>
      <c r="D507" s="416"/>
      <c r="E507" s="416">
        <f t="shared" ref="E507:O507" si="823">SUM(E508,E511,E518)</f>
        <v>216000</v>
      </c>
      <c r="F507" s="417">
        <f t="shared" si="823"/>
        <v>12200</v>
      </c>
      <c r="G507" s="417">
        <f t="shared" si="823"/>
        <v>0</v>
      </c>
      <c r="H507" s="417">
        <f t="shared" si="823"/>
        <v>230000</v>
      </c>
      <c r="I507" s="417">
        <f t="shared" si="823"/>
        <v>0</v>
      </c>
      <c r="J507" s="417">
        <f t="shared" si="823"/>
        <v>0</v>
      </c>
      <c r="K507" s="93">
        <f t="shared" si="823"/>
        <v>14000</v>
      </c>
      <c r="L507" s="94"/>
      <c r="M507" s="93">
        <f t="shared" si="823"/>
        <v>217800</v>
      </c>
      <c r="N507" s="93">
        <f t="shared" si="823"/>
        <v>0</v>
      </c>
      <c r="O507" s="93">
        <f t="shared" si="823"/>
        <v>0</v>
      </c>
      <c r="P507" s="214"/>
      <c r="Q507" s="214"/>
      <c r="R507" s="214"/>
      <c r="S507" s="214"/>
    </row>
    <row r="508" spans="1:19" s="6" customFormat="1" ht="15" x14ac:dyDescent="0.25">
      <c r="A508" s="160" t="s">
        <v>222</v>
      </c>
      <c r="B508" s="161" t="s">
        <v>51</v>
      </c>
      <c r="C508" s="162">
        <f t="shared" ref="C508:F508" si="824">SUM(C509:C510)</f>
        <v>12000</v>
      </c>
      <c r="D508" s="163"/>
      <c r="E508" s="163">
        <f t="shared" ref="E508" si="825">SUM(E509:E510)</f>
        <v>100000</v>
      </c>
      <c r="F508" s="164">
        <f t="shared" si="824"/>
        <v>1400</v>
      </c>
      <c r="G508" s="164">
        <f t="shared" ref="G508:H508" si="826">SUM(G509:G510)</f>
        <v>0</v>
      </c>
      <c r="H508" s="164">
        <f t="shared" si="826"/>
        <v>80000</v>
      </c>
      <c r="I508" s="164">
        <f t="shared" ref="I508:J508" si="827">SUM(I509:I510)</f>
        <v>0</v>
      </c>
      <c r="J508" s="164">
        <f t="shared" si="827"/>
        <v>0</v>
      </c>
      <c r="K508" s="164">
        <f t="shared" ref="K508" si="828">SUM(K509:K510)</f>
        <v>-20000</v>
      </c>
      <c r="L508" s="165"/>
      <c r="M508" s="164">
        <f t="shared" ref="M508:O508" si="829">SUM(M509:M510)</f>
        <v>78600</v>
      </c>
      <c r="N508" s="164">
        <f t="shared" ref="N508" si="830">SUM(N509:N510)</f>
        <v>0</v>
      </c>
      <c r="O508" s="164">
        <f t="shared" si="829"/>
        <v>0</v>
      </c>
      <c r="P508" s="213"/>
      <c r="Q508" s="213"/>
      <c r="R508" s="213"/>
      <c r="S508" s="213"/>
    </row>
    <row r="509" spans="1:19" s="7" customFormat="1" ht="15" hidden="1" x14ac:dyDescent="0.25">
      <c r="A509" s="167" t="s">
        <v>223</v>
      </c>
      <c r="B509" s="168" t="s">
        <v>224</v>
      </c>
      <c r="C509" s="271"/>
      <c r="D509" s="272"/>
      <c r="E509" s="272"/>
      <c r="F509" s="273"/>
      <c r="G509" s="273"/>
      <c r="H509" s="273"/>
      <c r="I509" s="273"/>
      <c r="J509" s="273"/>
      <c r="K509" s="273"/>
      <c r="L509" s="274"/>
      <c r="M509" s="273"/>
      <c r="N509" s="273"/>
      <c r="O509" s="273"/>
      <c r="P509" s="275"/>
      <c r="Q509" s="275"/>
      <c r="R509" s="275"/>
      <c r="S509" s="275"/>
    </row>
    <row r="510" spans="1:19" s="7" customFormat="1" ht="15" x14ac:dyDescent="0.25">
      <c r="A510" s="167" t="s">
        <v>225</v>
      </c>
      <c r="B510" s="168" t="s">
        <v>52</v>
      </c>
      <c r="C510" s="169">
        <v>12000</v>
      </c>
      <c r="D510" s="170"/>
      <c r="E510" s="170">
        <v>100000</v>
      </c>
      <c r="F510" s="171">
        <v>1400</v>
      </c>
      <c r="G510" s="171"/>
      <c r="H510" s="171">
        <v>80000</v>
      </c>
      <c r="I510" s="171"/>
      <c r="J510" s="171"/>
      <c r="K510" s="105">
        <f t="shared" ref="K510" si="831">H510-E510</f>
        <v>-20000</v>
      </c>
      <c r="L510" s="104"/>
      <c r="M510" s="105">
        <f>H510-F510</f>
        <v>78600</v>
      </c>
      <c r="N510" s="105">
        <f>I510-G510</f>
        <v>0</v>
      </c>
      <c r="O510" s="171"/>
      <c r="P510" s="275"/>
      <c r="Q510" s="275"/>
      <c r="R510" s="275"/>
      <c r="S510" s="275"/>
    </row>
    <row r="511" spans="1:19" s="6" customFormat="1" ht="15" x14ac:dyDescent="0.25">
      <c r="A511" s="160" t="s">
        <v>177</v>
      </c>
      <c r="B511" s="161" t="s">
        <v>129</v>
      </c>
      <c r="C511" s="162">
        <f t="shared" ref="C511:F511" si="832">SUM(C512:C517)</f>
        <v>96000</v>
      </c>
      <c r="D511" s="163"/>
      <c r="E511" s="163">
        <f t="shared" ref="E511" si="833">SUM(E512:E517)</f>
        <v>116000</v>
      </c>
      <c r="F511" s="164">
        <f t="shared" si="832"/>
        <v>10800</v>
      </c>
      <c r="G511" s="164">
        <f t="shared" ref="G511:H511" si="834">SUM(G512:G517)</f>
        <v>0</v>
      </c>
      <c r="H511" s="164">
        <f t="shared" si="834"/>
        <v>150000</v>
      </c>
      <c r="I511" s="164">
        <f t="shared" ref="I511:J511" si="835">SUM(I512:I517)</f>
        <v>0</v>
      </c>
      <c r="J511" s="164">
        <f t="shared" si="835"/>
        <v>0</v>
      </c>
      <c r="K511" s="164">
        <f t="shared" ref="K511" si="836">SUM(K512:K517)</f>
        <v>34000</v>
      </c>
      <c r="L511" s="165"/>
      <c r="M511" s="164">
        <f t="shared" ref="M511:O511" si="837">SUM(M512:M517)</f>
        <v>139200</v>
      </c>
      <c r="N511" s="164">
        <f t="shared" ref="N511" si="838">SUM(N512:N517)</f>
        <v>0</v>
      </c>
      <c r="O511" s="164">
        <f t="shared" si="837"/>
        <v>0</v>
      </c>
      <c r="P511" s="213"/>
      <c r="Q511" s="213"/>
      <c r="R511" s="213"/>
      <c r="S511" s="213"/>
    </row>
    <row r="512" spans="1:19" customFormat="1" ht="15" x14ac:dyDescent="0.25">
      <c r="A512" s="167" t="s">
        <v>178</v>
      </c>
      <c r="B512" s="168" t="s">
        <v>54</v>
      </c>
      <c r="C512" s="169">
        <v>12000</v>
      </c>
      <c r="D512" s="170"/>
      <c r="E512" s="170">
        <v>100000</v>
      </c>
      <c r="F512" s="171">
        <v>1300</v>
      </c>
      <c r="G512" s="171"/>
      <c r="H512" s="171">
        <v>30000</v>
      </c>
      <c r="I512" s="171"/>
      <c r="J512" s="171"/>
      <c r="K512" s="105">
        <f t="shared" ref="K512:K517" si="839">H512-E512</f>
        <v>-70000</v>
      </c>
      <c r="L512" s="104"/>
      <c r="M512" s="105">
        <f t="shared" ref="M512:M517" si="840">H512-F512</f>
        <v>28700</v>
      </c>
      <c r="N512" s="105">
        <f t="shared" ref="N512:N517" si="841">I512-G512</f>
        <v>0</v>
      </c>
      <c r="O512" s="171"/>
      <c r="P512" s="214"/>
      <c r="Q512" s="214"/>
      <c r="R512" s="214"/>
      <c r="S512" s="214"/>
    </row>
    <row r="513" spans="1:19" customFormat="1" ht="15" x14ac:dyDescent="0.25">
      <c r="A513" s="167" t="s">
        <v>186</v>
      </c>
      <c r="B513" s="168" t="s">
        <v>58</v>
      </c>
      <c r="C513" s="169">
        <v>13000</v>
      </c>
      <c r="D513" s="170"/>
      <c r="E513" s="170">
        <v>0</v>
      </c>
      <c r="F513" s="171">
        <v>1300</v>
      </c>
      <c r="G513" s="171"/>
      <c r="H513" s="171">
        <v>60000</v>
      </c>
      <c r="I513" s="171"/>
      <c r="J513" s="171"/>
      <c r="K513" s="105">
        <f t="shared" si="839"/>
        <v>60000</v>
      </c>
      <c r="L513" s="104"/>
      <c r="M513" s="105">
        <f t="shared" si="840"/>
        <v>58700</v>
      </c>
      <c r="N513" s="105">
        <f t="shared" si="841"/>
        <v>0</v>
      </c>
      <c r="O513" s="171"/>
      <c r="P513" s="214"/>
      <c r="Q513" s="214"/>
      <c r="R513" s="214"/>
      <c r="S513" s="214"/>
    </row>
    <row r="514" spans="1:19" customFormat="1" ht="15" x14ac:dyDescent="0.25">
      <c r="A514" s="167">
        <v>4223</v>
      </c>
      <c r="B514" s="168" t="s">
        <v>59</v>
      </c>
      <c r="C514" s="169">
        <v>66000</v>
      </c>
      <c r="D514" s="170"/>
      <c r="E514" s="170">
        <v>3000</v>
      </c>
      <c r="F514" s="171">
        <v>7300</v>
      </c>
      <c r="G514" s="171"/>
      <c r="H514" s="171">
        <v>60000</v>
      </c>
      <c r="I514" s="171"/>
      <c r="J514" s="171"/>
      <c r="K514" s="105">
        <f t="shared" si="839"/>
        <v>57000</v>
      </c>
      <c r="L514" s="104"/>
      <c r="M514" s="105">
        <f t="shared" si="840"/>
        <v>52700</v>
      </c>
      <c r="N514" s="105">
        <f t="shared" si="841"/>
        <v>0</v>
      </c>
      <c r="O514" s="171"/>
      <c r="P514" s="214"/>
      <c r="Q514" s="214"/>
      <c r="R514" s="214"/>
      <c r="S514" s="214"/>
    </row>
    <row r="515" spans="1:19" customFormat="1" ht="15" x14ac:dyDescent="0.25">
      <c r="A515" s="179">
        <v>4224</v>
      </c>
      <c r="B515" s="180" t="s">
        <v>285</v>
      </c>
      <c r="C515" s="169">
        <v>1000</v>
      </c>
      <c r="D515" s="170"/>
      <c r="E515" s="170">
        <v>0</v>
      </c>
      <c r="F515" s="215">
        <v>200</v>
      </c>
      <c r="G515" s="215"/>
      <c r="H515" s="215"/>
      <c r="I515" s="215"/>
      <c r="J515" s="215"/>
      <c r="K515" s="105">
        <f t="shared" si="839"/>
        <v>0</v>
      </c>
      <c r="L515" s="104"/>
      <c r="M515" s="105">
        <f t="shared" si="840"/>
        <v>-200</v>
      </c>
      <c r="N515" s="105">
        <f t="shared" si="841"/>
        <v>0</v>
      </c>
      <c r="O515" s="215"/>
      <c r="P515" s="214"/>
      <c r="Q515" s="214"/>
      <c r="R515" s="214"/>
      <c r="S515" s="214"/>
    </row>
    <row r="516" spans="1:19" customFormat="1" ht="15" x14ac:dyDescent="0.25">
      <c r="A516" s="179">
        <v>4225</v>
      </c>
      <c r="B516" s="180" t="s">
        <v>105</v>
      </c>
      <c r="C516" s="169">
        <v>4000</v>
      </c>
      <c r="D516" s="170"/>
      <c r="E516" s="170">
        <v>0</v>
      </c>
      <c r="F516" s="215">
        <v>700</v>
      </c>
      <c r="G516" s="215"/>
      <c r="H516" s="215"/>
      <c r="I516" s="215"/>
      <c r="J516" s="215"/>
      <c r="K516" s="105">
        <f t="shared" si="839"/>
        <v>0</v>
      </c>
      <c r="L516" s="104"/>
      <c r="M516" s="105">
        <f t="shared" si="840"/>
        <v>-700</v>
      </c>
      <c r="N516" s="105">
        <f t="shared" si="841"/>
        <v>0</v>
      </c>
      <c r="O516" s="215"/>
      <c r="P516" s="214"/>
      <c r="Q516" s="214"/>
      <c r="R516" s="214"/>
      <c r="S516" s="214"/>
    </row>
    <row r="517" spans="1:19" customFormat="1" ht="15" x14ac:dyDescent="0.25">
      <c r="A517" s="167" t="s">
        <v>180</v>
      </c>
      <c r="B517" s="168" t="s">
        <v>60</v>
      </c>
      <c r="C517" s="169"/>
      <c r="D517" s="170"/>
      <c r="E517" s="170">
        <v>13000</v>
      </c>
      <c r="F517" s="171"/>
      <c r="G517" s="171"/>
      <c r="H517" s="171"/>
      <c r="I517" s="171"/>
      <c r="J517" s="171"/>
      <c r="K517" s="105">
        <f t="shared" si="839"/>
        <v>-13000</v>
      </c>
      <c r="L517" s="104"/>
      <c r="M517" s="105">
        <f t="shared" si="840"/>
        <v>0</v>
      </c>
      <c r="N517" s="105">
        <f t="shared" si="841"/>
        <v>0</v>
      </c>
      <c r="O517" s="171"/>
      <c r="P517" s="214"/>
      <c r="Q517" s="214"/>
      <c r="R517" s="214"/>
      <c r="S517" s="214"/>
    </row>
    <row r="518" spans="1:19" customFormat="1" ht="15" x14ac:dyDescent="0.25">
      <c r="A518" s="242">
        <v>423</v>
      </c>
      <c r="B518" s="161" t="s">
        <v>61</v>
      </c>
      <c r="C518" s="162">
        <f t="shared" ref="C518:O518" si="842">C519</f>
        <v>0</v>
      </c>
      <c r="D518" s="163"/>
      <c r="E518" s="163">
        <f t="shared" si="842"/>
        <v>0</v>
      </c>
      <c r="F518" s="164">
        <f t="shared" si="842"/>
        <v>0</v>
      </c>
      <c r="G518" s="164">
        <f t="shared" si="842"/>
        <v>0</v>
      </c>
      <c r="H518" s="164">
        <f t="shared" si="842"/>
        <v>0</v>
      </c>
      <c r="I518" s="164">
        <f t="shared" si="842"/>
        <v>0</v>
      </c>
      <c r="J518" s="164">
        <f t="shared" si="842"/>
        <v>0</v>
      </c>
      <c r="K518" s="164">
        <f t="shared" si="842"/>
        <v>0</v>
      </c>
      <c r="L518" s="165"/>
      <c r="M518" s="164">
        <f t="shared" si="842"/>
        <v>0</v>
      </c>
      <c r="N518" s="164">
        <f t="shared" si="842"/>
        <v>0</v>
      </c>
      <c r="O518" s="164">
        <f t="shared" si="842"/>
        <v>0</v>
      </c>
      <c r="P518" s="214"/>
      <c r="Q518" s="214"/>
      <c r="R518" s="214"/>
      <c r="S518" s="214"/>
    </row>
    <row r="519" spans="1:19" customFormat="1" ht="15" x14ac:dyDescent="0.25">
      <c r="A519" s="167" t="s">
        <v>182</v>
      </c>
      <c r="B519" s="168" t="s">
        <v>62</v>
      </c>
      <c r="C519" s="169"/>
      <c r="D519" s="170"/>
      <c r="E519" s="170"/>
      <c r="F519" s="171"/>
      <c r="G519" s="171"/>
      <c r="H519" s="171"/>
      <c r="I519" s="171"/>
      <c r="J519" s="171"/>
      <c r="K519" s="105">
        <f t="shared" ref="K519" si="843">H519-E519</f>
        <v>0</v>
      </c>
      <c r="L519" s="104"/>
      <c r="M519" s="105">
        <f t="shared" ref="M519" si="844">H519-F519</f>
        <v>0</v>
      </c>
      <c r="N519" s="105">
        <f>I519-G519</f>
        <v>0</v>
      </c>
      <c r="O519" s="171"/>
      <c r="P519" s="214"/>
      <c r="Q519" s="214"/>
      <c r="R519" s="214"/>
      <c r="S519" s="214"/>
    </row>
    <row r="520" spans="1:19" customFormat="1" ht="25.5" x14ac:dyDescent="0.25">
      <c r="A520" s="434" t="s">
        <v>332</v>
      </c>
      <c r="B520" s="435" t="s">
        <v>333</v>
      </c>
      <c r="C520" s="415">
        <f>SUM(C521)</f>
        <v>279000</v>
      </c>
      <c r="D520" s="416"/>
      <c r="E520" s="416">
        <f t="shared" ref="E520:O520" si="845">SUM(E521)</f>
        <v>29000</v>
      </c>
      <c r="F520" s="417">
        <f t="shared" si="845"/>
        <v>1400</v>
      </c>
      <c r="G520" s="417">
        <f t="shared" si="845"/>
        <v>0</v>
      </c>
      <c r="H520" s="417">
        <f t="shared" si="845"/>
        <v>170000</v>
      </c>
      <c r="I520" s="417">
        <f t="shared" si="845"/>
        <v>0</v>
      </c>
      <c r="J520" s="417">
        <f t="shared" si="845"/>
        <v>0</v>
      </c>
      <c r="K520" s="93">
        <f t="shared" si="845"/>
        <v>141000</v>
      </c>
      <c r="L520" s="94"/>
      <c r="M520" s="93">
        <f t="shared" si="845"/>
        <v>168600</v>
      </c>
      <c r="N520" s="93">
        <f t="shared" si="845"/>
        <v>0</v>
      </c>
      <c r="O520" s="93">
        <f t="shared" si="845"/>
        <v>0</v>
      </c>
      <c r="P520" s="214"/>
      <c r="Q520" s="214"/>
      <c r="R520" s="214"/>
      <c r="S520" s="214"/>
    </row>
    <row r="521" spans="1:19" s="6" customFormat="1" ht="15" x14ac:dyDescent="0.25">
      <c r="A521" s="160" t="s">
        <v>183</v>
      </c>
      <c r="B521" s="161" t="s">
        <v>55</v>
      </c>
      <c r="C521" s="162">
        <f t="shared" ref="C521:O521" si="846">C522</f>
        <v>279000</v>
      </c>
      <c r="D521" s="163"/>
      <c r="E521" s="163">
        <f t="shared" si="846"/>
        <v>29000</v>
      </c>
      <c r="F521" s="164">
        <f t="shared" si="846"/>
        <v>1400</v>
      </c>
      <c r="G521" s="164">
        <f t="shared" si="846"/>
        <v>0</v>
      </c>
      <c r="H521" s="164">
        <f t="shared" si="846"/>
        <v>170000</v>
      </c>
      <c r="I521" s="164">
        <f t="shared" si="846"/>
        <v>0</v>
      </c>
      <c r="J521" s="164">
        <f t="shared" si="846"/>
        <v>0</v>
      </c>
      <c r="K521" s="164">
        <f t="shared" si="846"/>
        <v>141000</v>
      </c>
      <c r="L521" s="165"/>
      <c r="M521" s="164">
        <f t="shared" si="846"/>
        <v>168600</v>
      </c>
      <c r="N521" s="164">
        <f t="shared" si="846"/>
        <v>0</v>
      </c>
      <c r="O521" s="164">
        <f t="shared" si="846"/>
        <v>0</v>
      </c>
      <c r="P521" s="213"/>
      <c r="Q521" s="213"/>
      <c r="R521" s="213"/>
      <c r="S521" s="213"/>
    </row>
    <row r="522" spans="1:19" customFormat="1" ht="26.25" customHeight="1" x14ac:dyDescent="0.25">
      <c r="A522" s="167" t="s">
        <v>184</v>
      </c>
      <c r="B522" s="168" t="s">
        <v>55</v>
      </c>
      <c r="C522" s="169">
        <v>279000</v>
      </c>
      <c r="D522" s="170"/>
      <c r="E522" s="170">
        <v>29000</v>
      </c>
      <c r="F522" s="171">
        <v>1400</v>
      </c>
      <c r="G522" s="171"/>
      <c r="H522" s="171">
        <v>170000</v>
      </c>
      <c r="I522" s="171"/>
      <c r="J522" s="171"/>
      <c r="K522" s="105">
        <f t="shared" ref="K522" si="847">H522-E522</f>
        <v>141000</v>
      </c>
      <c r="L522" s="104"/>
      <c r="M522" s="105">
        <f>H522-F522</f>
        <v>168600</v>
      </c>
      <c r="N522" s="105">
        <f>I522-G522</f>
        <v>0</v>
      </c>
      <c r="O522" s="171"/>
      <c r="P522" s="214"/>
      <c r="Q522" s="214"/>
      <c r="R522" s="214"/>
      <c r="S522" s="214"/>
    </row>
    <row r="523" spans="1:19" ht="25.5" x14ac:dyDescent="0.2">
      <c r="A523" s="223" t="s">
        <v>133</v>
      </c>
      <c r="B523" s="224" t="s">
        <v>228</v>
      </c>
      <c r="C523" s="225">
        <f t="shared" ref="C523:O523" si="848">C524</f>
        <v>7264000</v>
      </c>
      <c r="D523" s="226"/>
      <c r="E523" s="226">
        <f t="shared" si="848"/>
        <v>6912600</v>
      </c>
      <c r="F523" s="227">
        <f t="shared" si="848"/>
        <v>0</v>
      </c>
      <c r="G523" s="227">
        <f t="shared" si="848"/>
        <v>0</v>
      </c>
      <c r="H523" s="227">
        <f t="shared" si="848"/>
        <v>0</v>
      </c>
      <c r="I523" s="227">
        <f t="shared" si="848"/>
        <v>0</v>
      </c>
      <c r="J523" s="227">
        <f t="shared" si="848"/>
        <v>0</v>
      </c>
      <c r="K523" s="227">
        <f t="shared" si="848"/>
        <v>-6912600</v>
      </c>
      <c r="L523" s="228"/>
      <c r="M523" s="227">
        <f t="shared" si="848"/>
        <v>0</v>
      </c>
      <c r="N523" s="227">
        <f t="shared" si="848"/>
        <v>0</v>
      </c>
      <c r="O523" s="227">
        <f t="shared" si="848"/>
        <v>0</v>
      </c>
      <c r="P523" s="35"/>
      <c r="Q523" s="35"/>
      <c r="R523" s="35"/>
      <c r="S523" s="35"/>
    </row>
    <row r="524" spans="1:19" ht="18" customHeight="1" x14ac:dyDescent="0.2">
      <c r="A524" s="703" t="s">
        <v>77</v>
      </c>
      <c r="B524" s="703"/>
      <c r="C524" s="229">
        <f>SUM(C525,C531,C553)</f>
        <v>7264000</v>
      </c>
      <c r="D524" s="230"/>
      <c r="E524" s="230">
        <f t="shared" ref="E524:O524" si="849">SUM(E525,E531,E553)</f>
        <v>6912600</v>
      </c>
      <c r="F524" s="231">
        <f t="shared" si="849"/>
        <v>0</v>
      </c>
      <c r="G524" s="231">
        <f t="shared" si="849"/>
        <v>0</v>
      </c>
      <c r="H524" s="231">
        <f t="shared" si="849"/>
        <v>0</v>
      </c>
      <c r="I524" s="231">
        <f t="shared" si="849"/>
        <v>0</v>
      </c>
      <c r="J524" s="231">
        <f t="shared" si="849"/>
        <v>0</v>
      </c>
      <c r="K524" s="240">
        <f t="shared" si="849"/>
        <v>-6912600</v>
      </c>
      <c r="L524" s="241"/>
      <c r="M524" s="240">
        <f t="shared" si="849"/>
        <v>0</v>
      </c>
      <c r="N524" s="240">
        <f t="shared" si="849"/>
        <v>0</v>
      </c>
      <c r="O524" s="240">
        <f t="shared" si="849"/>
        <v>0</v>
      </c>
      <c r="P524" s="35"/>
      <c r="Q524" s="35"/>
      <c r="R524" s="35"/>
      <c r="S524" s="35"/>
    </row>
    <row r="525" spans="1:19" ht="18" customHeight="1" x14ac:dyDescent="0.2">
      <c r="A525" s="418" t="s">
        <v>322</v>
      </c>
      <c r="B525" s="414" t="s">
        <v>323</v>
      </c>
      <c r="C525" s="419">
        <f>SUM(C526)</f>
        <v>8000</v>
      </c>
      <c r="D525" s="420"/>
      <c r="E525" s="420">
        <f t="shared" ref="E525:O525" si="850">SUM(E526)</f>
        <v>3200</v>
      </c>
      <c r="F525" s="421">
        <f t="shared" si="850"/>
        <v>0</v>
      </c>
      <c r="G525" s="421">
        <f t="shared" si="850"/>
        <v>0</v>
      </c>
      <c r="H525" s="421">
        <f t="shared" si="850"/>
        <v>0</v>
      </c>
      <c r="I525" s="421">
        <f t="shared" si="850"/>
        <v>0</v>
      </c>
      <c r="J525" s="421">
        <f t="shared" si="850"/>
        <v>0</v>
      </c>
      <c r="K525" s="123">
        <f t="shared" si="850"/>
        <v>-3200</v>
      </c>
      <c r="L525" s="124"/>
      <c r="M525" s="123">
        <f t="shared" si="850"/>
        <v>0</v>
      </c>
      <c r="N525" s="123">
        <f t="shared" si="850"/>
        <v>0</v>
      </c>
      <c r="O525" s="123">
        <f t="shared" si="850"/>
        <v>0</v>
      </c>
      <c r="P525" s="35"/>
      <c r="Q525" s="35"/>
      <c r="R525" s="35"/>
      <c r="S525" s="35"/>
    </row>
    <row r="526" spans="1:19" s="2" customFormat="1" x14ac:dyDescent="0.2">
      <c r="A526" s="160" t="s">
        <v>143</v>
      </c>
      <c r="B526" s="161" t="s">
        <v>220</v>
      </c>
      <c r="C526" s="162">
        <f t="shared" ref="C526:O526" si="851">C527</f>
        <v>8000</v>
      </c>
      <c r="D526" s="163"/>
      <c r="E526" s="163">
        <f t="shared" si="851"/>
        <v>3200</v>
      </c>
      <c r="F526" s="164">
        <f t="shared" si="851"/>
        <v>0</v>
      </c>
      <c r="G526" s="164">
        <f t="shared" si="851"/>
        <v>0</v>
      </c>
      <c r="H526" s="164">
        <f t="shared" si="851"/>
        <v>0</v>
      </c>
      <c r="I526" s="164">
        <f t="shared" si="851"/>
        <v>0</v>
      </c>
      <c r="J526" s="164">
        <f t="shared" si="851"/>
        <v>0</v>
      </c>
      <c r="K526" s="164">
        <f t="shared" si="851"/>
        <v>-3200</v>
      </c>
      <c r="L526" s="165"/>
      <c r="M526" s="164">
        <f t="shared" si="851"/>
        <v>0</v>
      </c>
      <c r="N526" s="164">
        <f t="shared" si="851"/>
        <v>0</v>
      </c>
      <c r="O526" s="164">
        <f t="shared" si="851"/>
        <v>0</v>
      </c>
      <c r="P526" s="50"/>
      <c r="Q526" s="50"/>
      <c r="R526" s="50"/>
      <c r="S526" s="50"/>
    </row>
    <row r="527" spans="1:19" ht="11.25" customHeight="1" x14ac:dyDescent="0.2">
      <c r="A527" s="167" t="s">
        <v>144</v>
      </c>
      <c r="B527" s="168" t="s">
        <v>5</v>
      </c>
      <c r="C527" s="169">
        <v>8000</v>
      </c>
      <c r="D527" s="170"/>
      <c r="E527" s="170">
        <v>3200</v>
      </c>
      <c r="F527" s="171"/>
      <c r="G527" s="171"/>
      <c r="H527" s="171"/>
      <c r="I527" s="171"/>
      <c r="J527" s="171"/>
      <c r="K527" s="105">
        <f t="shared" ref="K527" si="852">H527-E527</f>
        <v>-3200</v>
      </c>
      <c r="L527" s="104"/>
      <c r="M527" s="105">
        <f>H527-F527</f>
        <v>0</v>
      </c>
      <c r="N527" s="105">
        <f>I527-G527</f>
        <v>0</v>
      </c>
      <c r="O527" s="171"/>
      <c r="P527" s="35"/>
      <c r="Q527" s="35"/>
      <c r="R527" s="35"/>
      <c r="S527" s="35"/>
    </row>
    <row r="528" spans="1:19" s="2" customFormat="1" hidden="1" x14ac:dyDescent="0.2">
      <c r="A528" s="160" t="s">
        <v>146</v>
      </c>
      <c r="B528" s="161" t="s">
        <v>126</v>
      </c>
      <c r="C528" s="162">
        <f t="shared" ref="C528:G528" si="853">SUM(C529:C530)</f>
        <v>0</v>
      </c>
      <c r="D528" s="163"/>
      <c r="E528" s="163">
        <f t="shared" ref="E528" si="854">SUM(E529:E530)</f>
        <v>0</v>
      </c>
      <c r="F528" s="164">
        <f t="shared" si="853"/>
        <v>0</v>
      </c>
      <c r="G528" s="164">
        <f t="shared" si="853"/>
        <v>0</v>
      </c>
      <c r="H528" s="164">
        <f t="shared" ref="H528:I528" si="855">SUM(H529:H530)</f>
        <v>0</v>
      </c>
      <c r="I528" s="164">
        <f t="shared" si="855"/>
        <v>0</v>
      </c>
      <c r="J528" s="164">
        <f t="shared" ref="J528:K528" si="856">SUM(J529:J530)</f>
        <v>0</v>
      </c>
      <c r="K528" s="164">
        <f t="shared" si="856"/>
        <v>0</v>
      </c>
      <c r="L528" s="165"/>
      <c r="M528" s="164">
        <f t="shared" ref="M528:O528" si="857">SUM(M529:M530)</f>
        <v>0</v>
      </c>
      <c r="N528" s="164">
        <f t="shared" ref="N528" si="858">SUM(N529:N530)</f>
        <v>0</v>
      </c>
      <c r="O528" s="164">
        <f t="shared" si="857"/>
        <v>0</v>
      </c>
      <c r="P528" s="50"/>
      <c r="Q528" s="50"/>
      <c r="R528" s="50"/>
      <c r="S528" s="50"/>
    </row>
    <row r="529" spans="1:19" hidden="1" x14ac:dyDescent="0.2">
      <c r="A529" s="167" t="s">
        <v>147</v>
      </c>
      <c r="B529" s="168" t="s">
        <v>127</v>
      </c>
      <c r="C529" s="169"/>
      <c r="D529" s="170"/>
      <c r="E529" s="170"/>
      <c r="F529" s="171"/>
      <c r="G529" s="171"/>
      <c r="H529" s="171"/>
      <c r="I529" s="171"/>
      <c r="J529" s="171"/>
      <c r="K529" s="171"/>
      <c r="L529" s="172"/>
      <c r="M529" s="171"/>
      <c r="N529" s="171"/>
      <c r="O529" s="171"/>
      <c r="P529" s="35"/>
      <c r="Q529" s="35"/>
      <c r="R529" s="35"/>
      <c r="S529" s="35"/>
    </row>
    <row r="530" spans="1:19" ht="25.5" hidden="1" x14ac:dyDescent="0.2">
      <c r="A530" s="167" t="s">
        <v>148</v>
      </c>
      <c r="B530" s="168" t="s">
        <v>128</v>
      </c>
      <c r="C530" s="169"/>
      <c r="D530" s="170"/>
      <c r="E530" s="170"/>
      <c r="F530" s="171"/>
      <c r="G530" s="171"/>
      <c r="H530" s="171"/>
      <c r="I530" s="171"/>
      <c r="J530" s="171"/>
      <c r="K530" s="171"/>
      <c r="L530" s="172"/>
      <c r="M530" s="171"/>
      <c r="N530" s="171"/>
      <c r="O530" s="171"/>
      <c r="P530" s="35"/>
      <c r="Q530" s="35"/>
      <c r="R530" s="35"/>
      <c r="S530" s="35"/>
    </row>
    <row r="531" spans="1:19" ht="17.25" customHeight="1" x14ac:dyDescent="0.2">
      <c r="A531" s="418" t="s">
        <v>324</v>
      </c>
      <c r="B531" s="414" t="s">
        <v>325</v>
      </c>
      <c r="C531" s="419">
        <f>SUM(C532,C535,C540,C546,C548)</f>
        <v>234000</v>
      </c>
      <c r="D531" s="420"/>
      <c r="E531" s="420">
        <f t="shared" ref="E531:N531" si="859">SUM(E532,E535,E540,E546,E548)</f>
        <v>318400</v>
      </c>
      <c r="F531" s="421">
        <f t="shared" si="859"/>
        <v>0</v>
      </c>
      <c r="G531" s="421">
        <f t="shared" si="859"/>
        <v>0</v>
      </c>
      <c r="H531" s="421">
        <f t="shared" si="859"/>
        <v>0</v>
      </c>
      <c r="I531" s="421">
        <f t="shared" si="859"/>
        <v>0</v>
      </c>
      <c r="J531" s="421">
        <f t="shared" si="859"/>
        <v>0</v>
      </c>
      <c r="K531" s="123">
        <f t="shared" si="859"/>
        <v>-318400</v>
      </c>
      <c r="L531" s="124"/>
      <c r="M531" s="123">
        <f t="shared" si="859"/>
        <v>0</v>
      </c>
      <c r="N531" s="123">
        <f t="shared" si="859"/>
        <v>0</v>
      </c>
      <c r="O531" s="123">
        <f t="shared" ref="O531" si="860">SUM(O532,O535,O540,O546,O548)</f>
        <v>0</v>
      </c>
      <c r="P531" s="35"/>
      <c r="Q531" s="35"/>
      <c r="R531" s="35"/>
      <c r="S531" s="35"/>
    </row>
    <row r="532" spans="1:19" s="2" customFormat="1" x14ac:dyDescent="0.2">
      <c r="A532" s="160" t="s">
        <v>149</v>
      </c>
      <c r="B532" s="161" t="s">
        <v>12</v>
      </c>
      <c r="C532" s="162">
        <f t="shared" ref="C532:F532" si="861">SUM(C533:C534)</f>
        <v>1000</v>
      </c>
      <c r="D532" s="163"/>
      <c r="E532" s="163">
        <f t="shared" ref="E532" si="862">SUM(E533:E534)</f>
        <v>7000</v>
      </c>
      <c r="F532" s="164">
        <f t="shared" si="861"/>
        <v>0</v>
      </c>
      <c r="G532" s="164">
        <f t="shared" ref="G532:H532" si="863">SUM(G533:G534)</f>
        <v>0</v>
      </c>
      <c r="H532" s="164">
        <f t="shared" si="863"/>
        <v>0</v>
      </c>
      <c r="I532" s="164">
        <f t="shared" ref="I532:J532" si="864">SUM(I533:I534)</f>
        <v>0</v>
      </c>
      <c r="J532" s="164">
        <f t="shared" si="864"/>
        <v>0</v>
      </c>
      <c r="K532" s="164">
        <f t="shared" ref="K532" si="865">SUM(K533:K534)</f>
        <v>-7000</v>
      </c>
      <c r="L532" s="165"/>
      <c r="M532" s="164">
        <f t="shared" ref="M532:O532" si="866">SUM(M533:M534)</f>
        <v>0</v>
      </c>
      <c r="N532" s="164">
        <f t="shared" ref="N532" si="867">SUM(N533:N534)</f>
        <v>0</v>
      </c>
      <c r="O532" s="164">
        <f t="shared" si="866"/>
        <v>0</v>
      </c>
      <c r="P532" s="50"/>
      <c r="Q532" s="50"/>
      <c r="R532" s="50"/>
      <c r="S532" s="50"/>
    </row>
    <row r="533" spans="1:19" ht="13.5" customHeight="1" x14ac:dyDescent="0.2">
      <c r="A533" s="167" t="s">
        <v>150</v>
      </c>
      <c r="B533" s="168" t="s">
        <v>13</v>
      </c>
      <c r="C533" s="169">
        <v>1000</v>
      </c>
      <c r="D533" s="170"/>
      <c r="E533" s="170">
        <v>0</v>
      </c>
      <c r="F533" s="171"/>
      <c r="G533" s="171"/>
      <c r="H533" s="171"/>
      <c r="I533" s="171"/>
      <c r="J533" s="171"/>
      <c r="K533" s="105">
        <f t="shared" ref="K533:K534" si="868">H533-E533</f>
        <v>0</v>
      </c>
      <c r="L533" s="104"/>
      <c r="M533" s="105">
        <f>H533-F533</f>
        <v>0</v>
      </c>
      <c r="N533" s="105">
        <f>I533-G533</f>
        <v>0</v>
      </c>
      <c r="O533" s="171"/>
      <c r="P533" s="35"/>
      <c r="Q533" s="35"/>
      <c r="R533" s="35"/>
      <c r="S533" s="35"/>
    </row>
    <row r="534" spans="1:19" x14ac:dyDescent="0.2">
      <c r="A534" s="167" t="s">
        <v>152</v>
      </c>
      <c r="B534" s="168" t="s">
        <v>15</v>
      </c>
      <c r="C534" s="169"/>
      <c r="D534" s="170"/>
      <c r="E534" s="170">
        <v>7000</v>
      </c>
      <c r="F534" s="171"/>
      <c r="G534" s="171"/>
      <c r="H534" s="171"/>
      <c r="I534" s="171"/>
      <c r="J534" s="171"/>
      <c r="K534" s="105">
        <f t="shared" si="868"/>
        <v>-7000</v>
      </c>
      <c r="L534" s="104"/>
      <c r="M534" s="105">
        <f>H534-F534</f>
        <v>0</v>
      </c>
      <c r="N534" s="105">
        <f>I534-G534</f>
        <v>0</v>
      </c>
      <c r="O534" s="171"/>
      <c r="P534" s="35"/>
      <c r="Q534" s="35"/>
      <c r="R534" s="35"/>
      <c r="S534" s="35"/>
    </row>
    <row r="535" spans="1:19" s="2" customFormat="1" x14ac:dyDescent="0.2">
      <c r="A535" s="160" t="s">
        <v>153</v>
      </c>
      <c r="B535" s="161" t="s">
        <v>16</v>
      </c>
      <c r="C535" s="162">
        <f>SUM(C536:C539)</f>
        <v>134000</v>
      </c>
      <c r="D535" s="163"/>
      <c r="E535" s="163">
        <f t="shared" ref="E535:N535" si="869">SUM(E536:E539)</f>
        <v>70000</v>
      </c>
      <c r="F535" s="164">
        <f t="shared" si="869"/>
        <v>0</v>
      </c>
      <c r="G535" s="164">
        <f t="shared" si="869"/>
        <v>0</v>
      </c>
      <c r="H535" s="164">
        <f t="shared" si="869"/>
        <v>0</v>
      </c>
      <c r="I535" s="164">
        <f t="shared" si="869"/>
        <v>0</v>
      </c>
      <c r="J535" s="164">
        <f t="shared" si="869"/>
        <v>0</v>
      </c>
      <c r="K535" s="164">
        <f t="shared" si="869"/>
        <v>-70000</v>
      </c>
      <c r="L535" s="165">
        <f t="shared" si="869"/>
        <v>0</v>
      </c>
      <c r="M535" s="164">
        <f t="shared" si="869"/>
        <v>0</v>
      </c>
      <c r="N535" s="164">
        <f t="shared" si="869"/>
        <v>0</v>
      </c>
      <c r="O535" s="164">
        <f t="shared" ref="O535" si="870">O537+O539</f>
        <v>0</v>
      </c>
      <c r="P535" s="50"/>
      <c r="Q535" s="50"/>
      <c r="R535" s="50"/>
      <c r="S535" s="50"/>
    </row>
    <row r="536" spans="1:19" s="4" customFormat="1" x14ac:dyDescent="0.2">
      <c r="A536" s="179">
        <v>3222</v>
      </c>
      <c r="B536" s="276" t="s">
        <v>18</v>
      </c>
      <c r="C536" s="277"/>
      <c r="D536" s="256"/>
      <c r="E536" s="256">
        <v>10000</v>
      </c>
      <c r="F536" s="278"/>
      <c r="G536" s="278"/>
      <c r="H536" s="278"/>
      <c r="I536" s="278"/>
      <c r="J536" s="278"/>
      <c r="K536" s="105">
        <f t="shared" ref="K536" si="871">H536-E536</f>
        <v>-10000</v>
      </c>
      <c r="L536" s="104"/>
      <c r="M536" s="105">
        <f t="shared" ref="M536" si="872">H536-F536</f>
        <v>0</v>
      </c>
      <c r="N536" s="105">
        <f>I536-G536</f>
        <v>0</v>
      </c>
      <c r="O536" s="278"/>
      <c r="P536" s="35"/>
      <c r="Q536" s="35"/>
      <c r="R536" s="35"/>
      <c r="S536" s="35"/>
    </row>
    <row r="537" spans="1:19" x14ac:dyDescent="0.2">
      <c r="A537" s="167" t="s">
        <v>156</v>
      </c>
      <c r="B537" s="168" t="s">
        <v>19</v>
      </c>
      <c r="C537" s="169">
        <v>1000</v>
      </c>
      <c r="D537" s="170"/>
      <c r="E537" s="170">
        <v>0</v>
      </c>
      <c r="F537" s="171"/>
      <c r="G537" s="171"/>
      <c r="H537" s="171"/>
      <c r="I537" s="171"/>
      <c r="J537" s="171"/>
      <c r="K537" s="105">
        <f t="shared" ref="K537:K539" si="873">H537-E537</f>
        <v>0</v>
      </c>
      <c r="L537" s="104"/>
      <c r="M537" s="105">
        <f t="shared" ref="M537:M539" si="874">H537-F537</f>
        <v>0</v>
      </c>
      <c r="N537" s="105">
        <f>I537-G537</f>
        <v>0</v>
      </c>
      <c r="O537" s="171"/>
      <c r="P537" s="35"/>
      <c r="Q537" s="35"/>
      <c r="R537" s="35"/>
      <c r="S537" s="35"/>
    </row>
    <row r="538" spans="1:19" x14ac:dyDescent="0.2">
      <c r="A538" s="179">
        <v>3225</v>
      </c>
      <c r="B538" s="180" t="s">
        <v>21</v>
      </c>
      <c r="C538" s="169">
        <v>83000</v>
      </c>
      <c r="D538" s="170"/>
      <c r="E538" s="170">
        <v>10000</v>
      </c>
      <c r="F538" s="171"/>
      <c r="G538" s="171"/>
      <c r="H538" s="171"/>
      <c r="I538" s="171"/>
      <c r="J538" s="171"/>
      <c r="K538" s="105">
        <f t="shared" si="873"/>
        <v>-10000</v>
      </c>
      <c r="L538" s="104"/>
      <c r="M538" s="105">
        <f t="shared" si="874"/>
        <v>0</v>
      </c>
      <c r="N538" s="105">
        <f>I538-G538</f>
        <v>0</v>
      </c>
      <c r="O538" s="171"/>
      <c r="P538" s="35"/>
      <c r="Q538" s="35"/>
      <c r="R538" s="35"/>
      <c r="S538" s="35"/>
    </row>
    <row r="539" spans="1:19" x14ac:dyDescent="0.2">
      <c r="A539" s="179">
        <v>3227</v>
      </c>
      <c r="B539" s="180" t="s">
        <v>22</v>
      </c>
      <c r="C539" s="169">
        <v>50000</v>
      </c>
      <c r="D539" s="170"/>
      <c r="E539" s="170">
        <v>50000</v>
      </c>
      <c r="F539" s="215"/>
      <c r="G539" s="215"/>
      <c r="H539" s="215"/>
      <c r="I539" s="215"/>
      <c r="J539" s="215"/>
      <c r="K539" s="105">
        <f t="shared" si="873"/>
        <v>-50000</v>
      </c>
      <c r="L539" s="104"/>
      <c r="M539" s="105">
        <f t="shared" si="874"/>
        <v>0</v>
      </c>
      <c r="N539" s="105">
        <f>I539-G539</f>
        <v>0</v>
      </c>
      <c r="O539" s="215"/>
      <c r="P539" s="35"/>
      <c r="Q539" s="35"/>
      <c r="R539" s="35"/>
      <c r="S539" s="35"/>
    </row>
    <row r="540" spans="1:19" s="2" customFormat="1" x14ac:dyDescent="0.2">
      <c r="A540" s="160" t="s">
        <v>159</v>
      </c>
      <c r="B540" s="161" t="s">
        <v>123</v>
      </c>
      <c r="C540" s="162">
        <f t="shared" ref="C540:F540" si="875">SUM(C541:C545)</f>
        <v>78000</v>
      </c>
      <c r="D540" s="163"/>
      <c r="E540" s="163">
        <f t="shared" ref="E540" si="876">SUM(E541:E545)</f>
        <v>236400</v>
      </c>
      <c r="F540" s="164">
        <f t="shared" si="875"/>
        <v>0</v>
      </c>
      <c r="G540" s="164">
        <f t="shared" ref="G540:H540" si="877">SUM(G541:G545)</f>
        <v>0</v>
      </c>
      <c r="H540" s="164">
        <f t="shared" si="877"/>
        <v>0</v>
      </c>
      <c r="I540" s="164">
        <f t="shared" ref="I540:J540" si="878">SUM(I541:I545)</f>
        <v>0</v>
      </c>
      <c r="J540" s="164">
        <f t="shared" si="878"/>
        <v>0</v>
      </c>
      <c r="K540" s="164">
        <f t="shared" ref="K540" si="879">SUM(K541:K545)</f>
        <v>-236400</v>
      </c>
      <c r="L540" s="165"/>
      <c r="M540" s="164">
        <f t="shared" ref="M540:O540" si="880">SUM(M541:M545)</f>
        <v>0</v>
      </c>
      <c r="N540" s="164">
        <f t="shared" ref="N540" si="881">SUM(N541:N545)</f>
        <v>0</v>
      </c>
      <c r="O540" s="164">
        <f t="shared" si="880"/>
        <v>0</v>
      </c>
      <c r="P540" s="50"/>
      <c r="Q540" s="50"/>
      <c r="R540" s="50"/>
      <c r="S540" s="50"/>
    </row>
    <row r="541" spans="1:19" s="2" customFormat="1" x14ac:dyDescent="0.2">
      <c r="A541" s="179">
        <v>3233</v>
      </c>
      <c r="B541" s="180" t="s">
        <v>26</v>
      </c>
      <c r="C541" s="255">
        <v>28000</v>
      </c>
      <c r="D541" s="256"/>
      <c r="E541" s="256">
        <v>54000</v>
      </c>
      <c r="F541" s="279"/>
      <c r="G541" s="279"/>
      <c r="H541" s="279"/>
      <c r="I541" s="279"/>
      <c r="J541" s="279"/>
      <c r="K541" s="105">
        <f t="shared" ref="K541:K545" si="882">H541-E541</f>
        <v>-54000</v>
      </c>
      <c r="L541" s="104"/>
      <c r="M541" s="105">
        <f t="shared" ref="M541:M545" si="883">H541-F541</f>
        <v>0</v>
      </c>
      <c r="N541" s="105">
        <f>I541-G541</f>
        <v>0</v>
      </c>
      <c r="O541" s="279"/>
      <c r="P541" s="50"/>
      <c r="Q541" s="50"/>
      <c r="R541" s="50"/>
      <c r="S541" s="50"/>
    </row>
    <row r="542" spans="1:19" s="2" customFormat="1" x14ac:dyDescent="0.2">
      <c r="A542" s="280">
        <v>3235</v>
      </c>
      <c r="B542" s="281" t="s">
        <v>28</v>
      </c>
      <c r="C542" s="282">
        <v>1000</v>
      </c>
      <c r="D542" s="283"/>
      <c r="E542" s="283">
        <v>0</v>
      </c>
      <c r="F542" s="284"/>
      <c r="G542" s="284"/>
      <c r="H542" s="284"/>
      <c r="I542" s="284"/>
      <c r="J542" s="284"/>
      <c r="K542" s="105">
        <f t="shared" si="882"/>
        <v>0</v>
      </c>
      <c r="L542" s="104"/>
      <c r="M542" s="105">
        <f t="shared" si="883"/>
        <v>0</v>
      </c>
      <c r="N542" s="105">
        <f>I542-G542</f>
        <v>0</v>
      </c>
      <c r="O542" s="284"/>
      <c r="P542" s="50"/>
      <c r="Q542" s="50"/>
      <c r="R542" s="50"/>
      <c r="S542" s="50"/>
    </row>
    <row r="543" spans="1:19" x14ac:dyDescent="0.2">
      <c r="A543" s="167" t="s">
        <v>166</v>
      </c>
      <c r="B543" s="168" t="s">
        <v>30</v>
      </c>
      <c r="C543" s="169">
        <v>35000</v>
      </c>
      <c r="D543" s="170"/>
      <c r="E543" s="170">
        <v>7400</v>
      </c>
      <c r="F543" s="171"/>
      <c r="G543" s="171"/>
      <c r="H543" s="171"/>
      <c r="I543" s="171"/>
      <c r="J543" s="171"/>
      <c r="K543" s="105">
        <f t="shared" si="882"/>
        <v>-7400</v>
      </c>
      <c r="L543" s="104"/>
      <c r="M543" s="105">
        <f t="shared" si="883"/>
        <v>0</v>
      </c>
      <c r="N543" s="105">
        <f>I543-G543</f>
        <v>0</v>
      </c>
      <c r="O543" s="171"/>
      <c r="P543" s="35"/>
      <c r="Q543" s="35"/>
      <c r="R543" s="35"/>
      <c r="S543" s="35"/>
    </row>
    <row r="544" spans="1:19" x14ac:dyDescent="0.2">
      <c r="A544" s="179">
        <v>3238</v>
      </c>
      <c r="B544" s="180" t="s">
        <v>70</v>
      </c>
      <c r="C544" s="169">
        <v>1000</v>
      </c>
      <c r="D544" s="170"/>
      <c r="E544" s="170">
        <v>0</v>
      </c>
      <c r="F544" s="215"/>
      <c r="G544" s="215"/>
      <c r="H544" s="215"/>
      <c r="I544" s="215"/>
      <c r="J544" s="215"/>
      <c r="K544" s="105">
        <f t="shared" si="882"/>
        <v>0</v>
      </c>
      <c r="L544" s="104"/>
      <c r="M544" s="105">
        <f t="shared" si="883"/>
        <v>0</v>
      </c>
      <c r="N544" s="105">
        <f>I544-G544</f>
        <v>0</v>
      </c>
      <c r="O544" s="215"/>
      <c r="P544" s="35"/>
      <c r="Q544" s="35"/>
      <c r="R544" s="35"/>
      <c r="S544" s="35"/>
    </row>
    <row r="545" spans="1:19" x14ac:dyDescent="0.2">
      <c r="A545" s="285" t="s">
        <v>167</v>
      </c>
      <c r="B545" s="286" t="s">
        <v>31</v>
      </c>
      <c r="C545" s="287">
        <v>13000</v>
      </c>
      <c r="D545" s="288"/>
      <c r="E545" s="288">
        <v>175000</v>
      </c>
      <c r="F545" s="289"/>
      <c r="G545" s="289"/>
      <c r="H545" s="289"/>
      <c r="I545" s="289"/>
      <c r="J545" s="289"/>
      <c r="K545" s="105">
        <f t="shared" si="882"/>
        <v>-175000</v>
      </c>
      <c r="L545" s="104"/>
      <c r="M545" s="105">
        <f t="shared" si="883"/>
        <v>0</v>
      </c>
      <c r="N545" s="105">
        <f>I545-G545</f>
        <v>0</v>
      </c>
      <c r="O545" s="289"/>
      <c r="P545" s="35"/>
      <c r="Q545" s="35"/>
      <c r="R545" s="35"/>
      <c r="S545" s="35"/>
    </row>
    <row r="546" spans="1:19" x14ac:dyDescent="0.2">
      <c r="A546" s="216">
        <v>324</v>
      </c>
      <c r="B546" s="152" t="s">
        <v>32</v>
      </c>
      <c r="C546" s="97">
        <f t="shared" ref="C546:O546" si="884">SUM(C547)</f>
        <v>20000</v>
      </c>
      <c r="D546" s="98"/>
      <c r="E546" s="98">
        <f t="shared" si="884"/>
        <v>5000</v>
      </c>
      <c r="F546" s="127">
        <f t="shared" si="884"/>
        <v>0</v>
      </c>
      <c r="G546" s="127">
        <f t="shared" si="884"/>
        <v>0</v>
      </c>
      <c r="H546" s="127">
        <f t="shared" si="884"/>
        <v>0</v>
      </c>
      <c r="I546" s="127">
        <f t="shared" si="884"/>
        <v>0</v>
      </c>
      <c r="J546" s="127">
        <f t="shared" si="884"/>
        <v>0</v>
      </c>
      <c r="K546" s="127">
        <f t="shared" si="884"/>
        <v>-5000</v>
      </c>
      <c r="L546" s="100"/>
      <c r="M546" s="127">
        <f t="shared" si="884"/>
        <v>0</v>
      </c>
      <c r="N546" s="127">
        <f t="shared" si="884"/>
        <v>0</v>
      </c>
      <c r="O546" s="127">
        <f t="shared" si="884"/>
        <v>0</v>
      </c>
      <c r="P546" s="35"/>
      <c r="Q546" s="35"/>
      <c r="R546" s="35"/>
      <c r="S546" s="35"/>
    </row>
    <row r="547" spans="1:19" x14ac:dyDescent="0.2">
      <c r="A547" s="202">
        <v>3241</v>
      </c>
      <c r="B547" s="136" t="s">
        <v>32</v>
      </c>
      <c r="C547" s="141">
        <v>20000</v>
      </c>
      <c r="D547" s="142"/>
      <c r="E547" s="142">
        <v>5000</v>
      </c>
      <c r="F547" s="187"/>
      <c r="G547" s="187"/>
      <c r="H547" s="187"/>
      <c r="I547" s="187"/>
      <c r="J547" s="187"/>
      <c r="K547" s="105">
        <f t="shared" ref="K547" si="885">H547-E547</f>
        <v>-5000</v>
      </c>
      <c r="L547" s="104"/>
      <c r="M547" s="105">
        <f t="shared" ref="M547" si="886">H547-F547</f>
        <v>0</v>
      </c>
      <c r="N547" s="105">
        <f>I547-G547</f>
        <v>0</v>
      </c>
      <c r="O547" s="187"/>
      <c r="P547" s="35"/>
      <c r="Q547" s="35"/>
      <c r="R547" s="35"/>
      <c r="S547" s="35"/>
    </row>
    <row r="548" spans="1:19" s="2" customFormat="1" x14ac:dyDescent="0.2">
      <c r="A548" s="160" t="s">
        <v>170</v>
      </c>
      <c r="B548" s="161" t="s">
        <v>33</v>
      </c>
      <c r="C548" s="162">
        <f t="shared" ref="C548:F548" si="887">SUM(C549:C550)</f>
        <v>1000</v>
      </c>
      <c r="D548" s="163"/>
      <c r="E548" s="163">
        <f t="shared" ref="E548" si="888">SUM(E549:E550)</f>
        <v>0</v>
      </c>
      <c r="F548" s="164">
        <f t="shared" si="887"/>
        <v>0</v>
      </c>
      <c r="G548" s="164">
        <f t="shared" ref="G548:H548" si="889">SUM(G549:G550)</f>
        <v>0</v>
      </c>
      <c r="H548" s="164">
        <f t="shared" si="889"/>
        <v>0</v>
      </c>
      <c r="I548" s="164">
        <f t="shared" ref="I548:J548" si="890">SUM(I549:I550)</f>
        <v>0</v>
      </c>
      <c r="J548" s="164">
        <f t="shared" si="890"/>
        <v>0</v>
      </c>
      <c r="K548" s="164">
        <f t="shared" ref="K548" si="891">SUM(K549:K550)</f>
        <v>0</v>
      </c>
      <c r="L548" s="165"/>
      <c r="M548" s="164">
        <f t="shared" ref="M548:O548" si="892">SUM(M549:M550)</f>
        <v>0</v>
      </c>
      <c r="N548" s="164">
        <f t="shared" ref="N548" si="893">SUM(N549:N550)</f>
        <v>0</v>
      </c>
      <c r="O548" s="164">
        <f t="shared" si="892"/>
        <v>0</v>
      </c>
      <c r="P548" s="50"/>
      <c r="Q548" s="50"/>
      <c r="R548" s="50"/>
      <c r="S548" s="50"/>
    </row>
    <row r="549" spans="1:19" s="2" customFormat="1" x14ac:dyDescent="0.2">
      <c r="A549" s="179">
        <v>3293</v>
      </c>
      <c r="B549" s="180" t="s">
        <v>36</v>
      </c>
      <c r="C549" s="290">
        <v>1000</v>
      </c>
      <c r="D549" s="291"/>
      <c r="E549" s="291">
        <v>0</v>
      </c>
      <c r="F549" s="292"/>
      <c r="G549" s="292"/>
      <c r="H549" s="292"/>
      <c r="I549" s="292"/>
      <c r="J549" s="292"/>
      <c r="K549" s="105">
        <f t="shared" ref="K549:K550" si="894">H549-E549</f>
        <v>0</v>
      </c>
      <c r="L549" s="104"/>
      <c r="M549" s="105">
        <f>H549-F549</f>
        <v>0</v>
      </c>
      <c r="N549" s="105">
        <f>I549-G549</f>
        <v>0</v>
      </c>
      <c r="O549" s="292"/>
      <c r="P549" s="50"/>
      <c r="Q549" s="50"/>
      <c r="R549" s="50"/>
      <c r="S549" s="50"/>
    </row>
    <row r="550" spans="1:19" ht="12" customHeight="1" x14ac:dyDescent="0.2">
      <c r="A550" s="285" t="s">
        <v>173</v>
      </c>
      <c r="B550" s="286" t="s">
        <v>33</v>
      </c>
      <c r="C550" s="287"/>
      <c r="D550" s="288"/>
      <c r="E550" s="288"/>
      <c r="F550" s="289"/>
      <c r="G550" s="289"/>
      <c r="H550" s="289"/>
      <c r="I550" s="289"/>
      <c r="J550" s="289"/>
      <c r="K550" s="105">
        <f t="shared" si="894"/>
        <v>0</v>
      </c>
      <c r="L550" s="104"/>
      <c r="M550" s="105">
        <f>H550-F550</f>
        <v>0</v>
      </c>
      <c r="N550" s="105">
        <f>I550-G550</f>
        <v>0</v>
      </c>
      <c r="O550" s="289"/>
      <c r="P550" s="35"/>
      <c r="Q550" s="35"/>
      <c r="R550" s="35"/>
      <c r="S550" s="35"/>
    </row>
    <row r="551" spans="1:19" s="2" customFormat="1" hidden="1" x14ac:dyDescent="0.2">
      <c r="A551" s="160" t="s">
        <v>176</v>
      </c>
      <c r="B551" s="161" t="s">
        <v>67</v>
      </c>
      <c r="C551" s="162">
        <f t="shared" ref="C551:O551" si="895">C552</f>
        <v>0</v>
      </c>
      <c r="D551" s="163"/>
      <c r="E551" s="163">
        <f t="shared" si="895"/>
        <v>0</v>
      </c>
      <c r="F551" s="164">
        <f t="shared" si="895"/>
        <v>0</v>
      </c>
      <c r="G551" s="164">
        <f t="shared" si="895"/>
        <v>0</v>
      </c>
      <c r="H551" s="164">
        <f t="shared" si="895"/>
        <v>0</v>
      </c>
      <c r="I551" s="164">
        <f t="shared" si="895"/>
        <v>0</v>
      </c>
      <c r="J551" s="164">
        <f t="shared" si="895"/>
        <v>0</v>
      </c>
      <c r="K551" s="164">
        <f t="shared" si="895"/>
        <v>0</v>
      </c>
      <c r="L551" s="165"/>
      <c r="M551" s="164">
        <f t="shared" si="895"/>
        <v>0</v>
      </c>
      <c r="N551" s="164">
        <f t="shared" si="895"/>
        <v>0</v>
      </c>
      <c r="O551" s="164">
        <f t="shared" si="895"/>
        <v>0</v>
      </c>
      <c r="P551" s="50"/>
      <c r="Q551" s="50"/>
      <c r="R551" s="50"/>
      <c r="S551" s="50"/>
    </row>
    <row r="552" spans="1:19" hidden="1" x14ac:dyDescent="0.2">
      <c r="A552" s="167" t="s">
        <v>190</v>
      </c>
      <c r="B552" s="168" t="s">
        <v>68</v>
      </c>
      <c r="C552" s="169"/>
      <c r="D552" s="170"/>
      <c r="E552" s="170"/>
      <c r="F552" s="171"/>
      <c r="G552" s="171"/>
      <c r="H552" s="171"/>
      <c r="I552" s="171"/>
      <c r="J552" s="171"/>
      <c r="K552" s="171"/>
      <c r="L552" s="172"/>
      <c r="M552" s="171"/>
      <c r="N552" s="171"/>
      <c r="O552" s="171"/>
      <c r="P552" s="35"/>
      <c r="Q552" s="35"/>
      <c r="R552" s="35"/>
      <c r="S552" s="35"/>
    </row>
    <row r="553" spans="1:19" ht="29.25" customHeight="1" x14ac:dyDescent="0.2">
      <c r="A553" s="434" t="s">
        <v>330</v>
      </c>
      <c r="B553" s="435" t="s">
        <v>331</v>
      </c>
      <c r="C553" s="415">
        <f>SUM(C554,C559)</f>
        <v>7022000</v>
      </c>
      <c r="D553" s="416"/>
      <c r="E553" s="416">
        <f t="shared" ref="E553:O553" si="896">SUM(E554,E559)</f>
        <v>6591000</v>
      </c>
      <c r="F553" s="417">
        <f t="shared" si="896"/>
        <v>0</v>
      </c>
      <c r="G553" s="417">
        <f t="shared" si="896"/>
        <v>0</v>
      </c>
      <c r="H553" s="417">
        <f t="shared" si="896"/>
        <v>0</v>
      </c>
      <c r="I553" s="417">
        <f t="shared" si="896"/>
        <v>0</v>
      </c>
      <c r="J553" s="417">
        <f t="shared" si="896"/>
        <v>0</v>
      </c>
      <c r="K553" s="93">
        <f t="shared" si="896"/>
        <v>-6591000</v>
      </c>
      <c r="L553" s="94"/>
      <c r="M553" s="93">
        <f t="shared" si="896"/>
        <v>0</v>
      </c>
      <c r="N553" s="93">
        <f t="shared" si="896"/>
        <v>0</v>
      </c>
      <c r="O553" s="93">
        <f t="shared" si="896"/>
        <v>0</v>
      </c>
      <c r="P553" s="35"/>
      <c r="Q553" s="35"/>
      <c r="R553" s="35"/>
      <c r="S553" s="35"/>
    </row>
    <row r="554" spans="1:19" s="2" customFormat="1" x14ac:dyDescent="0.2">
      <c r="A554" s="160" t="s">
        <v>177</v>
      </c>
      <c r="B554" s="161" t="s">
        <v>129</v>
      </c>
      <c r="C554" s="162">
        <f t="shared" ref="C554:F554" si="897">SUM(C555:C558)</f>
        <v>265000</v>
      </c>
      <c r="D554" s="163"/>
      <c r="E554" s="163">
        <f t="shared" ref="E554" si="898">SUM(E555:E558)</f>
        <v>67000</v>
      </c>
      <c r="F554" s="164">
        <f t="shared" si="897"/>
        <v>0</v>
      </c>
      <c r="G554" s="164">
        <f t="shared" ref="G554:H554" si="899">SUM(G555:G558)</f>
        <v>0</v>
      </c>
      <c r="H554" s="164">
        <f t="shared" si="899"/>
        <v>0</v>
      </c>
      <c r="I554" s="164">
        <f t="shared" ref="I554:J554" si="900">SUM(I555:I558)</f>
        <v>0</v>
      </c>
      <c r="J554" s="164">
        <f t="shared" si="900"/>
        <v>0</v>
      </c>
      <c r="K554" s="164">
        <f t="shared" ref="K554" si="901">SUM(K555:K558)</f>
        <v>-67000</v>
      </c>
      <c r="L554" s="165"/>
      <c r="M554" s="164">
        <f t="shared" ref="M554:O554" si="902">SUM(M555:M558)</f>
        <v>0</v>
      </c>
      <c r="N554" s="164">
        <f t="shared" ref="N554" si="903">SUM(N555:N558)</f>
        <v>0</v>
      </c>
      <c r="O554" s="164">
        <f t="shared" si="902"/>
        <v>0</v>
      </c>
      <c r="P554" s="50"/>
      <c r="Q554" s="50"/>
      <c r="R554" s="50"/>
      <c r="S554" s="50"/>
    </row>
    <row r="555" spans="1:19" ht="12" customHeight="1" x14ac:dyDescent="0.2">
      <c r="A555" s="167" t="s">
        <v>178</v>
      </c>
      <c r="B555" s="168" t="s">
        <v>54</v>
      </c>
      <c r="C555" s="169"/>
      <c r="D555" s="170"/>
      <c r="E555" s="170"/>
      <c r="F555" s="171"/>
      <c r="G555" s="171"/>
      <c r="H555" s="171"/>
      <c r="I555" s="171"/>
      <c r="J555" s="171"/>
      <c r="K555" s="105">
        <f t="shared" ref="K555:K558" si="904">H555-E555</f>
        <v>0</v>
      </c>
      <c r="L555" s="104"/>
      <c r="M555" s="105">
        <f t="shared" ref="M555:N558" si="905">H555-F555</f>
        <v>0</v>
      </c>
      <c r="N555" s="105">
        <f t="shared" si="905"/>
        <v>0</v>
      </c>
      <c r="O555" s="171"/>
      <c r="P555" s="35"/>
      <c r="Q555" s="35"/>
      <c r="R555" s="35"/>
      <c r="S555" s="35"/>
    </row>
    <row r="556" spans="1:19" x14ac:dyDescent="0.2">
      <c r="A556" s="179">
        <v>4223</v>
      </c>
      <c r="B556" s="180" t="s">
        <v>59</v>
      </c>
      <c r="C556" s="169"/>
      <c r="D556" s="170"/>
      <c r="E556" s="170">
        <v>30000</v>
      </c>
      <c r="F556" s="215"/>
      <c r="G556" s="215"/>
      <c r="H556" s="215"/>
      <c r="I556" s="215"/>
      <c r="J556" s="215"/>
      <c r="K556" s="105">
        <f t="shared" si="904"/>
        <v>-30000</v>
      </c>
      <c r="L556" s="104"/>
      <c r="M556" s="105">
        <f t="shared" si="905"/>
        <v>0</v>
      </c>
      <c r="N556" s="105">
        <f t="shared" si="905"/>
        <v>0</v>
      </c>
      <c r="O556" s="215"/>
      <c r="P556" s="35"/>
      <c r="Q556" s="35"/>
      <c r="R556" s="35"/>
      <c r="S556" s="35"/>
    </row>
    <row r="557" spans="1:19" x14ac:dyDescent="0.2">
      <c r="A557" s="179">
        <v>4225</v>
      </c>
      <c r="B557" s="180" t="s">
        <v>105</v>
      </c>
      <c r="C557" s="169"/>
      <c r="D557" s="170"/>
      <c r="E557" s="170"/>
      <c r="F557" s="215"/>
      <c r="G557" s="215"/>
      <c r="H557" s="215"/>
      <c r="I557" s="215"/>
      <c r="J557" s="215"/>
      <c r="K557" s="105">
        <f t="shared" si="904"/>
        <v>0</v>
      </c>
      <c r="L557" s="104"/>
      <c r="M557" s="105">
        <f t="shared" si="905"/>
        <v>0</v>
      </c>
      <c r="N557" s="105">
        <f t="shared" si="905"/>
        <v>0</v>
      </c>
      <c r="O557" s="215"/>
      <c r="P557" s="35"/>
      <c r="Q557" s="35"/>
      <c r="R557" s="35"/>
      <c r="S557" s="35"/>
    </row>
    <row r="558" spans="1:19" x14ac:dyDescent="0.2">
      <c r="A558" s="167" t="s">
        <v>180</v>
      </c>
      <c r="B558" s="168" t="s">
        <v>60</v>
      </c>
      <c r="C558" s="169">
        <v>265000</v>
      </c>
      <c r="D558" s="170"/>
      <c r="E558" s="170">
        <v>37000</v>
      </c>
      <c r="F558" s="171"/>
      <c r="G558" s="171"/>
      <c r="H558" s="171"/>
      <c r="I558" s="171"/>
      <c r="J558" s="171"/>
      <c r="K558" s="105">
        <f t="shared" si="904"/>
        <v>-37000</v>
      </c>
      <c r="L558" s="104"/>
      <c r="M558" s="105">
        <f t="shared" si="905"/>
        <v>0</v>
      </c>
      <c r="N558" s="105">
        <f t="shared" si="905"/>
        <v>0</v>
      </c>
      <c r="O558" s="171"/>
      <c r="P558" s="35"/>
      <c r="Q558" s="35"/>
      <c r="R558" s="35"/>
      <c r="S558" s="35"/>
    </row>
    <row r="559" spans="1:19" s="2" customFormat="1" x14ac:dyDescent="0.2">
      <c r="A559" s="160" t="s">
        <v>181</v>
      </c>
      <c r="B559" s="161" t="s">
        <v>61</v>
      </c>
      <c r="C559" s="162">
        <f t="shared" ref="C559:F559" si="906">SUM(C560:C562)</f>
        <v>6757000</v>
      </c>
      <c r="D559" s="163"/>
      <c r="E559" s="163">
        <f t="shared" ref="E559" si="907">SUM(E560:E562)</f>
        <v>6524000</v>
      </c>
      <c r="F559" s="164">
        <f t="shared" si="906"/>
        <v>0</v>
      </c>
      <c r="G559" s="164">
        <f t="shared" ref="G559:H559" si="908">SUM(G560:G562)</f>
        <v>0</v>
      </c>
      <c r="H559" s="164">
        <f t="shared" si="908"/>
        <v>0</v>
      </c>
      <c r="I559" s="164">
        <f t="shared" ref="I559:J559" si="909">SUM(I560:I562)</f>
        <v>0</v>
      </c>
      <c r="J559" s="164">
        <f t="shared" si="909"/>
        <v>0</v>
      </c>
      <c r="K559" s="164">
        <f t="shared" ref="K559" si="910">SUM(K560:K562)</f>
        <v>-6524000</v>
      </c>
      <c r="L559" s="165"/>
      <c r="M559" s="164">
        <f t="shared" ref="M559:O559" si="911">SUM(M560:M562)</f>
        <v>0</v>
      </c>
      <c r="N559" s="164">
        <f t="shared" ref="N559" si="912">SUM(N560:N562)</f>
        <v>0</v>
      </c>
      <c r="O559" s="164">
        <f t="shared" si="911"/>
        <v>0</v>
      </c>
      <c r="P559" s="50"/>
      <c r="Q559" s="50"/>
      <c r="R559" s="50"/>
      <c r="S559" s="50"/>
    </row>
    <row r="560" spans="1:19" x14ac:dyDescent="0.2">
      <c r="A560" s="167" t="s">
        <v>182</v>
      </c>
      <c r="B560" s="168" t="s">
        <v>62</v>
      </c>
      <c r="C560" s="169">
        <v>850000</v>
      </c>
      <c r="D560" s="170"/>
      <c r="E560" s="170">
        <v>650000</v>
      </c>
      <c r="F560" s="171"/>
      <c r="G560" s="171"/>
      <c r="H560" s="171"/>
      <c r="I560" s="171"/>
      <c r="J560" s="171"/>
      <c r="K560" s="105">
        <f t="shared" ref="K560:K562" si="913">H560-E560</f>
        <v>-650000</v>
      </c>
      <c r="L560" s="104"/>
      <c r="M560" s="105">
        <f t="shared" ref="M560:M562" si="914">H560-F560</f>
        <v>0</v>
      </c>
      <c r="N560" s="105">
        <f>I560-G560</f>
        <v>0</v>
      </c>
      <c r="O560" s="171"/>
      <c r="P560" s="35"/>
      <c r="Q560" s="35"/>
      <c r="R560" s="35"/>
      <c r="S560" s="35"/>
    </row>
    <row r="561" spans="1:19" x14ac:dyDescent="0.2">
      <c r="A561" s="179">
        <v>4233</v>
      </c>
      <c r="B561" s="180" t="s">
        <v>227</v>
      </c>
      <c r="C561" s="169">
        <v>133000</v>
      </c>
      <c r="D561" s="170"/>
      <c r="E561" s="170">
        <v>100000</v>
      </c>
      <c r="F561" s="215"/>
      <c r="G561" s="215"/>
      <c r="H561" s="215"/>
      <c r="I561" s="215"/>
      <c r="J561" s="215"/>
      <c r="K561" s="105">
        <f t="shared" si="913"/>
        <v>-100000</v>
      </c>
      <c r="L561" s="104"/>
      <c r="M561" s="105">
        <f t="shared" si="914"/>
        <v>0</v>
      </c>
      <c r="N561" s="105">
        <f>I561-G561</f>
        <v>0</v>
      </c>
      <c r="O561" s="215"/>
      <c r="P561" s="35"/>
      <c r="Q561" s="35"/>
      <c r="R561" s="35"/>
      <c r="S561" s="35"/>
    </row>
    <row r="562" spans="1:19" ht="15" customHeight="1" x14ac:dyDescent="0.2">
      <c r="A562" s="179">
        <v>4234</v>
      </c>
      <c r="B562" s="180" t="s">
        <v>281</v>
      </c>
      <c r="C562" s="169">
        <v>5774000</v>
      </c>
      <c r="D562" s="170"/>
      <c r="E562" s="170">
        <v>5774000</v>
      </c>
      <c r="F562" s="215"/>
      <c r="G562" s="215"/>
      <c r="H562" s="215"/>
      <c r="I562" s="215"/>
      <c r="J562" s="215"/>
      <c r="K562" s="105">
        <f t="shared" si="913"/>
        <v>-5774000</v>
      </c>
      <c r="L562" s="104"/>
      <c r="M562" s="105">
        <f t="shared" si="914"/>
        <v>0</v>
      </c>
      <c r="N562" s="105">
        <f>I562-G562</f>
        <v>0</v>
      </c>
      <c r="O562" s="215"/>
      <c r="P562" s="35"/>
      <c r="Q562" s="35"/>
      <c r="R562" s="35"/>
      <c r="S562" s="35"/>
    </row>
    <row r="563" spans="1:19" ht="38.25" x14ac:dyDescent="0.2">
      <c r="A563" s="223" t="s">
        <v>134</v>
      </c>
      <c r="B563" s="224" t="s">
        <v>229</v>
      </c>
      <c r="C563" s="225">
        <f t="shared" ref="C563:O563" si="915">C564</f>
        <v>207100</v>
      </c>
      <c r="D563" s="226"/>
      <c r="E563" s="226">
        <f t="shared" si="915"/>
        <v>207100</v>
      </c>
      <c r="F563" s="227">
        <f t="shared" si="915"/>
        <v>1000</v>
      </c>
      <c r="G563" s="227">
        <f t="shared" si="915"/>
        <v>0</v>
      </c>
      <c r="H563" s="227">
        <f t="shared" si="915"/>
        <v>21000</v>
      </c>
      <c r="I563" s="227">
        <f t="shared" si="915"/>
        <v>0</v>
      </c>
      <c r="J563" s="227">
        <f t="shared" si="915"/>
        <v>0</v>
      </c>
      <c r="K563" s="227">
        <f t="shared" si="915"/>
        <v>-186100</v>
      </c>
      <c r="L563" s="228"/>
      <c r="M563" s="227">
        <f t="shared" si="915"/>
        <v>20000</v>
      </c>
      <c r="N563" s="227">
        <f t="shared" si="915"/>
        <v>0</v>
      </c>
      <c r="O563" s="227">
        <f t="shared" si="915"/>
        <v>0</v>
      </c>
      <c r="P563" s="35"/>
      <c r="Q563" s="35"/>
      <c r="R563" s="35"/>
      <c r="S563" s="35"/>
    </row>
    <row r="564" spans="1:19" s="2" customFormat="1" ht="19.5" customHeight="1" x14ac:dyDescent="0.2">
      <c r="A564" s="703" t="s">
        <v>77</v>
      </c>
      <c r="B564" s="703"/>
      <c r="C564" s="229">
        <f>SUM(C565)</f>
        <v>207100</v>
      </c>
      <c r="D564" s="230"/>
      <c r="E564" s="230">
        <f t="shared" ref="E564:O564" si="916">SUM(E565)</f>
        <v>207100</v>
      </c>
      <c r="F564" s="231">
        <f t="shared" si="916"/>
        <v>1000</v>
      </c>
      <c r="G564" s="231">
        <f t="shared" si="916"/>
        <v>0</v>
      </c>
      <c r="H564" s="231">
        <f t="shared" si="916"/>
        <v>21000</v>
      </c>
      <c r="I564" s="231">
        <f t="shared" si="916"/>
        <v>0</v>
      </c>
      <c r="J564" s="231">
        <f t="shared" si="916"/>
        <v>0</v>
      </c>
      <c r="K564" s="240">
        <f t="shared" si="916"/>
        <v>-186100</v>
      </c>
      <c r="L564" s="241"/>
      <c r="M564" s="240">
        <f t="shared" si="916"/>
        <v>20000</v>
      </c>
      <c r="N564" s="240">
        <f t="shared" si="916"/>
        <v>0</v>
      </c>
      <c r="O564" s="240">
        <f t="shared" si="916"/>
        <v>0</v>
      </c>
      <c r="P564" s="50"/>
      <c r="Q564" s="50"/>
      <c r="R564" s="50"/>
      <c r="S564" s="50"/>
    </row>
    <row r="565" spans="1:19" s="2" customFormat="1" ht="19.5" customHeight="1" x14ac:dyDescent="0.2">
      <c r="A565" s="418" t="s">
        <v>324</v>
      </c>
      <c r="B565" s="414" t="s">
        <v>325</v>
      </c>
      <c r="C565" s="419">
        <f>SUM(C566,C570)</f>
        <v>207100</v>
      </c>
      <c r="D565" s="420"/>
      <c r="E565" s="420">
        <f t="shared" ref="E565:O565" si="917">SUM(E566,E570)</f>
        <v>207100</v>
      </c>
      <c r="F565" s="421">
        <f t="shared" si="917"/>
        <v>1000</v>
      </c>
      <c r="G565" s="421">
        <f t="shared" si="917"/>
        <v>0</v>
      </c>
      <c r="H565" s="421">
        <f t="shared" si="917"/>
        <v>21000</v>
      </c>
      <c r="I565" s="421">
        <f t="shared" si="917"/>
        <v>0</v>
      </c>
      <c r="J565" s="421">
        <f t="shared" si="917"/>
        <v>0</v>
      </c>
      <c r="K565" s="123">
        <f t="shared" si="917"/>
        <v>-186100</v>
      </c>
      <c r="L565" s="124"/>
      <c r="M565" s="123">
        <f t="shared" si="917"/>
        <v>20000</v>
      </c>
      <c r="N565" s="123">
        <f t="shared" si="917"/>
        <v>0</v>
      </c>
      <c r="O565" s="123">
        <f t="shared" si="917"/>
        <v>0</v>
      </c>
      <c r="P565" s="50"/>
      <c r="Q565" s="50"/>
      <c r="R565" s="50"/>
      <c r="S565" s="50"/>
    </row>
    <row r="566" spans="1:19" s="2" customFormat="1" x14ac:dyDescent="0.2">
      <c r="A566" s="160" t="s">
        <v>159</v>
      </c>
      <c r="B566" s="161" t="s">
        <v>123</v>
      </c>
      <c r="C566" s="162">
        <f t="shared" ref="C566:F566" si="918">SUM(C567:C569)</f>
        <v>178100</v>
      </c>
      <c r="D566" s="163"/>
      <c r="E566" s="163">
        <f t="shared" ref="E566" si="919">SUM(E567:E569)</f>
        <v>178100</v>
      </c>
      <c r="F566" s="164">
        <f t="shared" si="918"/>
        <v>1000</v>
      </c>
      <c r="G566" s="164">
        <f t="shared" ref="G566:H566" si="920">SUM(G567:G569)</f>
        <v>0</v>
      </c>
      <c r="H566" s="164">
        <f t="shared" si="920"/>
        <v>21000</v>
      </c>
      <c r="I566" s="164">
        <f t="shared" ref="I566:J566" si="921">SUM(I567:I569)</f>
        <v>0</v>
      </c>
      <c r="J566" s="164">
        <f t="shared" si="921"/>
        <v>0</v>
      </c>
      <c r="K566" s="164">
        <f t="shared" ref="K566" si="922">SUM(K567:K569)</f>
        <v>-157100</v>
      </c>
      <c r="L566" s="165"/>
      <c r="M566" s="164">
        <f t="shared" ref="M566:O566" si="923">SUM(M567:M569)</f>
        <v>20000</v>
      </c>
      <c r="N566" s="164">
        <f t="shared" ref="N566" si="924">SUM(N567:N569)</f>
        <v>0</v>
      </c>
      <c r="O566" s="164">
        <f t="shared" si="923"/>
        <v>0</v>
      </c>
      <c r="P566" s="50"/>
      <c r="Q566" s="50"/>
      <c r="R566" s="50"/>
      <c r="S566" s="50"/>
    </row>
    <row r="567" spans="1:19" x14ac:dyDescent="0.2">
      <c r="A567" s="167" t="s">
        <v>162</v>
      </c>
      <c r="B567" s="168" t="s">
        <v>26</v>
      </c>
      <c r="C567" s="169">
        <v>1000</v>
      </c>
      <c r="D567" s="170"/>
      <c r="E567" s="170">
        <v>1000</v>
      </c>
      <c r="F567" s="171"/>
      <c r="G567" s="171"/>
      <c r="H567" s="171"/>
      <c r="I567" s="171"/>
      <c r="J567" s="171"/>
      <c r="K567" s="105">
        <f t="shared" ref="K567:K569" si="925">H567-E567</f>
        <v>-1000</v>
      </c>
      <c r="L567" s="104"/>
      <c r="M567" s="105">
        <f t="shared" ref="M567:N569" si="926">H567-F567</f>
        <v>0</v>
      </c>
      <c r="N567" s="105">
        <f t="shared" si="926"/>
        <v>0</v>
      </c>
      <c r="O567" s="171"/>
      <c r="P567" s="35"/>
      <c r="Q567" s="35"/>
      <c r="R567" s="35"/>
      <c r="S567" s="35"/>
    </row>
    <row r="568" spans="1:19" x14ac:dyDescent="0.2">
      <c r="A568" s="167" t="s">
        <v>166</v>
      </c>
      <c r="B568" s="168" t="s">
        <v>30</v>
      </c>
      <c r="C568" s="169">
        <v>5100</v>
      </c>
      <c r="D568" s="170"/>
      <c r="E568" s="170">
        <v>5100</v>
      </c>
      <c r="F568" s="171">
        <v>1000</v>
      </c>
      <c r="G568" s="171"/>
      <c r="H568" s="171">
        <v>1000</v>
      </c>
      <c r="I568" s="171"/>
      <c r="J568" s="171"/>
      <c r="K568" s="105">
        <f t="shared" si="925"/>
        <v>-4100</v>
      </c>
      <c r="L568" s="104"/>
      <c r="M568" s="105">
        <f t="shared" si="926"/>
        <v>0</v>
      </c>
      <c r="N568" s="105">
        <f t="shared" si="926"/>
        <v>0</v>
      </c>
      <c r="O568" s="171"/>
      <c r="P568" s="35"/>
      <c r="Q568" s="35"/>
      <c r="R568" s="35"/>
      <c r="S568" s="35"/>
    </row>
    <row r="569" spans="1:19" x14ac:dyDescent="0.2">
      <c r="A569" s="179">
        <v>3239</v>
      </c>
      <c r="B569" s="180" t="s">
        <v>31</v>
      </c>
      <c r="C569" s="169">
        <v>172000</v>
      </c>
      <c r="D569" s="170"/>
      <c r="E569" s="170">
        <v>172000</v>
      </c>
      <c r="F569" s="215"/>
      <c r="G569" s="215"/>
      <c r="H569" s="477">
        <v>20000</v>
      </c>
      <c r="I569" s="215"/>
      <c r="J569" s="215"/>
      <c r="K569" s="105">
        <f t="shared" si="925"/>
        <v>-152000</v>
      </c>
      <c r="L569" s="104"/>
      <c r="M569" s="105">
        <f t="shared" si="926"/>
        <v>20000</v>
      </c>
      <c r="N569" s="105">
        <f t="shared" si="926"/>
        <v>0</v>
      </c>
      <c r="O569" s="215"/>
      <c r="P569" s="131" t="s">
        <v>442</v>
      </c>
      <c r="Q569" s="35"/>
      <c r="R569" s="35"/>
      <c r="S569" s="35"/>
    </row>
    <row r="570" spans="1:19" s="2" customFormat="1" x14ac:dyDescent="0.2">
      <c r="A570" s="242">
        <v>324</v>
      </c>
      <c r="B570" s="161" t="s">
        <v>32</v>
      </c>
      <c r="C570" s="162">
        <f t="shared" ref="C570:O570" si="927">SUM(C571)</f>
        <v>29000</v>
      </c>
      <c r="D570" s="163"/>
      <c r="E570" s="163">
        <f t="shared" si="927"/>
        <v>29000</v>
      </c>
      <c r="F570" s="164">
        <f t="shared" si="927"/>
        <v>0</v>
      </c>
      <c r="G570" s="164">
        <f t="shared" si="927"/>
        <v>0</v>
      </c>
      <c r="H570" s="164">
        <f t="shared" si="927"/>
        <v>0</v>
      </c>
      <c r="I570" s="164">
        <f t="shared" si="927"/>
        <v>0</v>
      </c>
      <c r="J570" s="164">
        <f t="shared" si="927"/>
        <v>0</v>
      </c>
      <c r="K570" s="164">
        <f t="shared" si="927"/>
        <v>-29000</v>
      </c>
      <c r="L570" s="165"/>
      <c r="M570" s="164">
        <f t="shared" si="927"/>
        <v>0</v>
      </c>
      <c r="N570" s="164">
        <f t="shared" si="927"/>
        <v>0</v>
      </c>
      <c r="O570" s="164">
        <f t="shared" si="927"/>
        <v>0</v>
      </c>
      <c r="P570" s="50"/>
      <c r="Q570" s="50"/>
      <c r="R570" s="50"/>
      <c r="S570" s="50"/>
    </row>
    <row r="571" spans="1:19" x14ac:dyDescent="0.2">
      <c r="A571" s="167">
        <v>3241</v>
      </c>
      <c r="B571" s="168" t="s">
        <v>32</v>
      </c>
      <c r="C571" s="169">
        <v>29000</v>
      </c>
      <c r="D571" s="170"/>
      <c r="E571" s="170">
        <v>29000</v>
      </c>
      <c r="F571" s="171"/>
      <c r="G571" s="171"/>
      <c r="H571" s="171"/>
      <c r="I571" s="171"/>
      <c r="J571" s="171"/>
      <c r="K571" s="105">
        <f t="shared" ref="K571" si="928">H571-E571</f>
        <v>-29000</v>
      </c>
      <c r="L571" s="104"/>
      <c r="M571" s="105">
        <f t="shared" ref="M571" si="929">H571-F571</f>
        <v>0</v>
      </c>
      <c r="N571" s="105">
        <f>I571-G571</f>
        <v>0</v>
      </c>
      <c r="O571" s="171"/>
      <c r="P571" s="35"/>
      <c r="Q571" s="35"/>
      <c r="R571" s="35"/>
      <c r="S571" s="35"/>
    </row>
    <row r="572" spans="1:19" ht="38.25" x14ac:dyDescent="0.2">
      <c r="A572" s="223" t="s">
        <v>353</v>
      </c>
      <c r="B572" s="224" t="s">
        <v>354</v>
      </c>
      <c r="C572" s="225">
        <f t="shared" ref="C572:O575" si="930">SUM(C573)</f>
        <v>7000</v>
      </c>
      <c r="D572" s="226"/>
      <c r="E572" s="226">
        <f t="shared" si="930"/>
        <v>0</v>
      </c>
      <c r="F572" s="227">
        <f t="shared" si="930"/>
        <v>4000</v>
      </c>
      <c r="G572" s="227">
        <f t="shared" si="930"/>
        <v>0</v>
      </c>
      <c r="H572" s="227">
        <f t="shared" si="930"/>
        <v>0</v>
      </c>
      <c r="I572" s="227">
        <f t="shared" si="930"/>
        <v>0</v>
      </c>
      <c r="J572" s="227">
        <f t="shared" si="930"/>
        <v>0</v>
      </c>
      <c r="K572" s="227">
        <f t="shared" si="930"/>
        <v>0</v>
      </c>
      <c r="L572" s="228"/>
      <c r="M572" s="227">
        <f t="shared" si="930"/>
        <v>-4000</v>
      </c>
      <c r="N572" s="227">
        <f t="shared" si="930"/>
        <v>0</v>
      </c>
      <c r="O572" s="227">
        <f t="shared" si="930"/>
        <v>0</v>
      </c>
      <c r="P572" s="35"/>
      <c r="Q572" s="35"/>
      <c r="R572" s="35"/>
      <c r="S572" s="35"/>
    </row>
    <row r="573" spans="1:19" x14ac:dyDescent="0.2">
      <c r="A573" s="701" t="s">
        <v>77</v>
      </c>
      <c r="B573" s="702"/>
      <c r="C573" s="229">
        <f t="shared" si="930"/>
        <v>7000</v>
      </c>
      <c r="D573" s="230"/>
      <c r="E573" s="230">
        <f t="shared" si="930"/>
        <v>0</v>
      </c>
      <c r="F573" s="231">
        <f t="shared" si="930"/>
        <v>4000</v>
      </c>
      <c r="G573" s="231">
        <f t="shared" si="930"/>
        <v>0</v>
      </c>
      <c r="H573" s="231">
        <f t="shared" si="930"/>
        <v>0</v>
      </c>
      <c r="I573" s="231">
        <f t="shared" si="930"/>
        <v>0</v>
      </c>
      <c r="J573" s="231">
        <f t="shared" si="930"/>
        <v>0</v>
      </c>
      <c r="K573" s="240">
        <f t="shared" si="930"/>
        <v>0</v>
      </c>
      <c r="L573" s="241"/>
      <c r="M573" s="240">
        <f t="shared" si="930"/>
        <v>-4000</v>
      </c>
      <c r="N573" s="240">
        <f t="shared" si="930"/>
        <v>0</v>
      </c>
      <c r="O573" s="240">
        <f t="shared" si="930"/>
        <v>0</v>
      </c>
      <c r="P573" s="35"/>
      <c r="Q573" s="35"/>
      <c r="R573" s="35"/>
      <c r="S573" s="35"/>
    </row>
    <row r="574" spans="1:19" ht="17.25" customHeight="1" x14ac:dyDescent="0.2">
      <c r="A574" s="438">
        <v>32</v>
      </c>
      <c r="B574" s="439" t="s">
        <v>325</v>
      </c>
      <c r="C574" s="440">
        <f t="shared" si="930"/>
        <v>7000</v>
      </c>
      <c r="D574" s="441"/>
      <c r="E574" s="441">
        <f t="shared" si="930"/>
        <v>0</v>
      </c>
      <c r="F574" s="442">
        <f t="shared" si="930"/>
        <v>4000</v>
      </c>
      <c r="G574" s="442">
        <f t="shared" si="930"/>
        <v>0</v>
      </c>
      <c r="H574" s="442">
        <f t="shared" si="930"/>
        <v>0</v>
      </c>
      <c r="I574" s="442">
        <f t="shared" si="930"/>
        <v>0</v>
      </c>
      <c r="J574" s="442">
        <f t="shared" si="930"/>
        <v>0</v>
      </c>
      <c r="K574" s="294">
        <f t="shared" si="930"/>
        <v>0</v>
      </c>
      <c r="L574" s="295"/>
      <c r="M574" s="294">
        <f t="shared" si="930"/>
        <v>-4000</v>
      </c>
      <c r="N574" s="294">
        <f t="shared" si="930"/>
        <v>0</v>
      </c>
      <c r="O574" s="294">
        <f t="shared" si="930"/>
        <v>0</v>
      </c>
      <c r="P574" s="35"/>
      <c r="Q574" s="35"/>
      <c r="R574" s="35"/>
      <c r="S574" s="35"/>
    </row>
    <row r="575" spans="1:19" ht="15.75" customHeight="1" x14ac:dyDescent="0.2">
      <c r="A575" s="296" t="s">
        <v>149</v>
      </c>
      <c r="B575" s="297" t="s">
        <v>12</v>
      </c>
      <c r="C575" s="162">
        <f t="shared" si="930"/>
        <v>7000</v>
      </c>
      <c r="D575" s="163"/>
      <c r="E575" s="163">
        <f t="shared" si="930"/>
        <v>0</v>
      </c>
      <c r="F575" s="298">
        <f t="shared" si="930"/>
        <v>4000</v>
      </c>
      <c r="G575" s="298">
        <f t="shared" si="930"/>
        <v>0</v>
      </c>
      <c r="H575" s="298">
        <f t="shared" si="930"/>
        <v>0</v>
      </c>
      <c r="I575" s="298">
        <f t="shared" si="930"/>
        <v>0</v>
      </c>
      <c r="J575" s="298">
        <f t="shared" si="930"/>
        <v>0</v>
      </c>
      <c r="K575" s="298">
        <f t="shared" si="930"/>
        <v>0</v>
      </c>
      <c r="L575" s="165"/>
      <c r="M575" s="298">
        <f t="shared" si="930"/>
        <v>-4000</v>
      </c>
      <c r="N575" s="298">
        <f t="shared" si="930"/>
        <v>0</v>
      </c>
      <c r="O575" s="298">
        <f t="shared" si="930"/>
        <v>0</v>
      </c>
      <c r="P575" s="35"/>
      <c r="Q575" s="35"/>
      <c r="R575" s="35"/>
      <c r="S575" s="35"/>
    </row>
    <row r="576" spans="1:19" x14ac:dyDescent="0.2">
      <c r="A576" s="185">
        <v>3213</v>
      </c>
      <c r="B576" s="299" t="s">
        <v>15</v>
      </c>
      <c r="C576" s="169">
        <v>7000</v>
      </c>
      <c r="D576" s="170"/>
      <c r="E576" s="170">
        <v>0</v>
      </c>
      <c r="F576" s="215">
        <v>4000</v>
      </c>
      <c r="G576" s="215"/>
      <c r="H576" s="215"/>
      <c r="I576" s="215"/>
      <c r="J576" s="215"/>
      <c r="K576" s="105">
        <f t="shared" ref="K576" si="931">H576-E576</f>
        <v>0</v>
      </c>
      <c r="L576" s="104"/>
      <c r="M576" s="105">
        <f>H576-F576</f>
        <v>-4000</v>
      </c>
      <c r="N576" s="105">
        <f>I576-G576</f>
        <v>0</v>
      </c>
      <c r="O576" s="215"/>
      <c r="P576" s="35"/>
      <c r="Q576" s="35"/>
      <c r="R576" s="35"/>
      <c r="S576" s="35"/>
    </row>
    <row r="577" spans="1:19" ht="25.5" x14ac:dyDescent="0.2">
      <c r="A577" s="223" t="s">
        <v>286</v>
      </c>
      <c r="B577" s="224" t="s">
        <v>287</v>
      </c>
      <c r="C577" s="225">
        <f t="shared" ref="C577:O577" si="932">C578</f>
        <v>25000</v>
      </c>
      <c r="D577" s="226"/>
      <c r="E577" s="226">
        <f t="shared" si="932"/>
        <v>18000</v>
      </c>
      <c r="F577" s="227">
        <f t="shared" si="932"/>
        <v>0</v>
      </c>
      <c r="G577" s="227">
        <f t="shared" si="932"/>
        <v>0</v>
      </c>
      <c r="H577" s="227">
        <f t="shared" si="932"/>
        <v>0</v>
      </c>
      <c r="I577" s="227">
        <f t="shared" si="932"/>
        <v>0</v>
      </c>
      <c r="J577" s="227">
        <f t="shared" si="932"/>
        <v>0</v>
      </c>
      <c r="K577" s="227">
        <f t="shared" si="932"/>
        <v>-18000</v>
      </c>
      <c r="L577" s="228"/>
      <c r="M577" s="227">
        <f t="shared" si="932"/>
        <v>0</v>
      </c>
      <c r="N577" s="227">
        <f t="shared" si="932"/>
        <v>0</v>
      </c>
      <c r="O577" s="227">
        <f t="shared" si="932"/>
        <v>0</v>
      </c>
      <c r="P577" s="35"/>
      <c r="Q577" s="35"/>
      <c r="R577" s="35"/>
      <c r="S577" s="35"/>
    </row>
    <row r="578" spans="1:19" s="2" customFormat="1" ht="19.5" customHeight="1" x14ac:dyDescent="0.2">
      <c r="A578" s="703" t="s">
        <v>77</v>
      </c>
      <c r="B578" s="703"/>
      <c r="C578" s="229">
        <f>SUM(C579)</f>
        <v>25000</v>
      </c>
      <c r="D578" s="230"/>
      <c r="E578" s="230">
        <f t="shared" ref="E578:O578" si="933">SUM(E579)</f>
        <v>18000</v>
      </c>
      <c r="F578" s="231">
        <f t="shared" si="933"/>
        <v>0</v>
      </c>
      <c r="G578" s="231">
        <f t="shared" si="933"/>
        <v>0</v>
      </c>
      <c r="H578" s="231">
        <f t="shared" si="933"/>
        <v>0</v>
      </c>
      <c r="I578" s="231">
        <f t="shared" si="933"/>
        <v>0</v>
      </c>
      <c r="J578" s="231">
        <f t="shared" si="933"/>
        <v>0</v>
      </c>
      <c r="K578" s="240">
        <f t="shared" si="933"/>
        <v>-18000</v>
      </c>
      <c r="L578" s="241"/>
      <c r="M578" s="240">
        <f t="shared" si="933"/>
        <v>0</v>
      </c>
      <c r="N578" s="240">
        <f t="shared" si="933"/>
        <v>0</v>
      </c>
      <c r="O578" s="240">
        <f t="shared" si="933"/>
        <v>0</v>
      </c>
      <c r="P578" s="50"/>
      <c r="Q578" s="50"/>
      <c r="R578" s="50"/>
      <c r="S578" s="50"/>
    </row>
    <row r="579" spans="1:19" s="2" customFormat="1" ht="19.5" customHeight="1" x14ac:dyDescent="0.2">
      <c r="A579" s="438">
        <v>32</v>
      </c>
      <c r="B579" s="439" t="s">
        <v>325</v>
      </c>
      <c r="C579" s="440">
        <f>SUM(C580)</f>
        <v>25000</v>
      </c>
      <c r="D579" s="441"/>
      <c r="E579" s="441">
        <f t="shared" ref="E579:O579" si="934">SUM(E580)</f>
        <v>18000</v>
      </c>
      <c r="F579" s="442">
        <f t="shared" si="934"/>
        <v>0</v>
      </c>
      <c r="G579" s="442">
        <f t="shared" si="934"/>
        <v>0</v>
      </c>
      <c r="H579" s="442">
        <f t="shared" si="934"/>
        <v>0</v>
      </c>
      <c r="I579" s="442">
        <f t="shared" si="934"/>
        <v>0</v>
      </c>
      <c r="J579" s="442">
        <f t="shared" si="934"/>
        <v>0</v>
      </c>
      <c r="K579" s="294">
        <f t="shared" si="934"/>
        <v>-18000</v>
      </c>
      <c r="L579" s="295"/>
      <c r="M579" s="294">
        <f t="shared" si="934"/>
        <v>0</v>
      </c>
      <c r="N579" s="294">
        <f t="shared" si="934"/>
        <v>0</v>
      </c>
      <c r="O579" s="294">
        <f t="shared" si="934"/>
        <v>0</v>
      </c>
      <c r="P579" s="50"/>
      <c r="Q579" s="50"/>
      <c r="R579" s="50"/>
      <c r="S579" s="50"/>
    </row>
    <row r="580" spans="1:19" s="2" customFormat="1" x14ac:dyDescent="0.2">
      <c r="A580" s="160" t="s">
        <v>159</v>
      </c>
      <c r="B580" s="161" t="s">
        <v>123</v>
      </c>
      <c r="C580" s="162">
        <f>SUM(C582:C585)</f>
        <v>25000</v>
      </c>
      <c r="D580" s="163"/>
      <c r="E580" s="163">
        <f>SUM(E582:E585)</f>
        <v>18000</v>
      </c>
      <c r="F580" s="164">
        <f t="shared" ref="F580:N580" si="935">SUM(F582:F585)</f>
        <v>0</v>
      </c>
      <c r="G580" s="164">
        <f t="shared" si="935"/>
        <v>0</v>
      </c>
      <c r="H580" s="164">
        <f t="shared" si="935"/>
        <v>0</v>
      </c>
      <c r="I580" s="164">
        <f t="shared" si="935"/>
        <v>0</v>
      </c>
      <c r="J580" s="164">
        <f t="shared" si="935"/>
        <v>0</v>
      </c>
      <c r="K580" s="164">
        <f t="shared" si="935"/>
        <v>-18000</v>
      </c>
      <c r="L580" s="165"/>
      <c r="M580" s="164">
        <f t="shared" si="935"/>
        <v>0</v>
      </c>
      <c r="N580" s="164">
        <f t="shared" si="935"/>
        <v>0</v>
      </c>
      <c r="O580" s="164">
        <f t="shared" ref="O580" si="936">SUM(O583:O586)</f>
        <v>0</v>
      </c>
      <c r="P580" s="50"/>
      <c r="Q580" s="50"/>
      <c r="R580" s="50"/>
      <c r="S580" s="50"/>
    </row>
    <row r="581" spans="1:19" ht="12.75" hidden="1" customHeight="1" x14ac:dyDescent="0.2">
      <c r="A581" s="167" t="s">
        <v>162</v>
      </c>
      <c r="B581" s="168" t="s">
        <v>26</v>
      </c>
      <c r="C581" s="169"/>
      <c r="D581" s="170"/>
      <c r="E581" s="170"/>
      <c r="F581" s="171"/>
      <c r="G581" s="171"/>
      <c r="H581" s="171"/>
      <c r="I581" s="171"/>
      <c r="J581" s="171"/>
      <c r="K581" s="171"/>
      <c r="L581" s="172"/>
      <c r="M581" s="171"/>
      <c r="N581" s="171"/>
      <c r="O581" s="171"/>
      <c r="P581" s="35"/>
      <c r="Q581" s="35"/>
      <c r="R581" s="35"/>
      <c r="S581" s="35"/>
    </row>
    <row r="582" spans="1:19" ht="12.75" customHeight="1" x14ac:dyDescent="0.2">
      <c r="A582" s="179">
        <v>3233</v>
      </c>
      <c r="B582" s="180" t="s">
        <v>26</v>
      </c>
      <c r="C582" s="169">
        <v>19000</v>
      </c>
      <c r="D582" s="170"/>
      <c r="E582" s="170">
        <v>18000</v>
      </c>
      <c r="F582" s="215"/>
      <c r="G582" s="215"/>
      <c r="H582" s="215"/>
      <c r="I582" s="215"/>
      <c r="J582" s="215"/>
      <c r="K582" s="105">
        <f t="shared" ref="K582:K585" si="937">H582-E582</f>
        <v>-18000</v>
      </c>
      <c r="L582" s="104"/>
      <c r="M582" s="105">
        <f t="shared" ref="M582:N585" si="938">H582-F582</f>
        <v>0</v>
      </c>
      <c r="N582" s="105">
        <f t="shared" si="938"/>
        <v>0</v>
      </c>
      <c r="O582" s="215"/>
      <c r="P582" s="35"/>
      <c r="Q582" s="35"/>
      <c r="R582" s="35"/>
      <c r="S582" s="35"/>
    </row>
    <row r="583" spans="1:19" x14ac:dyDescent="0.2">
      <c r="A583" s="167" t="s">
        <v>166</v>
      </c>
      <c r="B583" s="168" t="s">
        <v>30</v>
      </c>
      <c r="C583" s="169">
        <v>5000</v>
      </c>
      <c r="D583" s="170"/>
      <c r="E583" s="170">
        <v>0</v>
      </c>
      <c r="F583" s="171"/>
      <c r="G583" s="171"/>
      <c r="H583" s="171"/>
      <c r="I583" s="171"/>
      <c r="J583" s="171"/>
      <c r="K583" s="105">
        <f t="shared" si="937"/>
        <v>0</v>
      </c>
      <c r="L583" s="104"/>
      <c r="M583" s="105">
        <f t="shared" si="938"/>
        <v>0</v>
      </c>
      <c r="N583" s="105">
        <f t="shared" si="938"/>
        <v>0</v>
      </c>
      <c r="O583" s="171"/>
      <c r="P583" s="35"/>
      <c r="Q583" s="35"/>
      <c r="R583" s="35"/>
      <c r="S583" s="35"/>
    </row>
    <row r="584" spans="1:19" hidden="1" x14ac:dyDescent="0.2">
      <c r="A584" s="179">
        <v>3238</v>
      </c>
      <c r="B584" s="180" t="s">
        <v>70</v>
      </c>
      <c r="C584" s="169"/>
      <c r="D584" s="170"/>
      <c r="E584" s="170"/>
      <c r="F584" s="215"/>
      <c r="G584" s="215"/>
      <c r="H584" s="215"/>
      <c r="I584" s="215"/>
      <c r="J584" s="215"/>
      <c r="K584" s="105">
        <f t="shared" si="937"/>
        <v>0</v>
      </c>
      <c r="L584" s="104"/>
      <c r="M584" s="105">
        <f t="shared" si="938"/>
        <v>0</v>
      </c>
      <c r="N584" s="105">
        <f t="shared" si="938"/>
        <v>0</v>
      </c>
      <c r="O584" s="215"/>
      <c r="P584" s="35"/>
      <c r="Q584" s="35"/>
      <c r="R584" s="35"/>
      <c r="S584" s="35"/>
    </row>
    <row r="585" spans="1:19" x14ac:dyDescent="0.2">
      <c r="A585" s="179">
        <v>3239</v>
      </c>
      <c r="B585" s="180" t="s">
        <v>31</v>
      </c>
      <c r="C585" s="169">
        <v>1000</v>
      </c>
      <c r="D585" s="170"/>
      <c r="E585" s="170">
        <v>0</v>
      </c>
      <c r="F585" s="215"/>
      <c r="G585" s="215"/>
      <c r="H585" s="215"/>
      <c r="I585" s="215"/>
      <c r="J585" s="215"/>
      <c r="K585" s="105">
        <f t="shared" si="937"/>
        <v>0</v>
      </c>
      <c r="L585" s="104"/>
      <c r="M585" s="105">
        <f t="shared" si="938"/>
        <v>0</v>
      </c>
      <c r="N585" s="105">
        <f t="shared" si="938"/>
        <v>0</v>
      </c>
      <c r="O585" s="215"/>
      <c r="P585" s="35"/>
      <c r="Q585" s="35"/>
      <c r="R585" s="35"/>
      <c r="S585" s="35"/>
    </row>
    <row r="586" spans="1:19" s="2" customFormat="1" hidden="1" x14ac:dyDescent="0.2">
      <c r="A586" s="160" t="s">
        <v>177</v>
      </c>
      <c r="B586" s="161" t="s">
        <v>129</v>
      </c>
      <c r="C586" s="162">
        <f t="shared" ref="C586:F586" si="939">SUM(C587:C588)</f>
        <v>0</v>
      </c>
      <c r="D586" s="163"/>
      <c r="E586" s="163">
        <f t="shared" ref="E586" si="940">SUM(E587:E588)</f>
        <v>0</v>
      </c>
      <c r="F586" s="164">
        <f t="shared" si="939"/>
        <v>0</v>
      </c>
      <c r="G586" s="164">
        <f t="shared" ref="G586:H586" si="941">SUM(G587:G588)</f>
        <v>0</v>
      </c>
      <c r="H586" s="164">
        <f t="shared" si="941"/>
        <v>0</v>
      </c>
      <c r="I586" s="164">
        <f t="shared" ref="I586:J586" si="942">SUM(I587:I588)</f>
        <v>0</v>
      </c>
      <c r="J586" s="164">
        <f t="shared" si="942"/>
        <v>0</v>
      </c>
      <c r="K586" s="164">
        <f t="shared" ref="K586" si="943">SUM(K587:K588)</f>
        <v>0</v>
      </c>
      <c r="L586" s="165"/>
      <c r="M586" s="164">
        <f t="shared" ref="M586:O586" si="944">SUM(M587:M588)</f>
        <v>0</v>
      </c>
      <c r="N586" s="164">
        <f t="shared" ref="N586" si="945">SUM(N587:N588)</f>
        <v>0</v>
      </c>
      <c r="O586" s="164">
        <f t="shared" si="944"/>
        <v>0</v>
      </c>
      <c r="P586" s="50"/>
      <c r="Q586" s="50"/>
      <c r="R586" s="50"/>
      <c r="S586" s="50"/>
    </row>
    <row r="587" spans="1:19" hidden="1" x14ac:dyDescent="0.2">
      <c r="A587" s="167">
        <v>4222</v>
      </c>
      <c r="B587" s="168" t="s">
        <v>58</v>
      </c>
      <c r="C587" s="169"/>
      <c r="D587" s="170"/>
      <c r="E587" s="170"/>
      <c r="F587" s="171"/>
      <c r="G587" s="171"/>
      <c r="H587" s="171"/>
      <c r="I587" s="171"/>
      <c r="J587" s="171"/>
      <c r="K587" s="171"/>
      <c r="L587" s="172"/>
      <c r="M587" s="171"/>
      <c r="N587" s="171"/>
      <c r="O587" s="171"/>
      <c r="P587" s="35"/>
      <c r="Q587" s="35"/>
      <c r="R587" s="35"/>
      <c r="S587" s="35"/>
    </row>
    <row r="588" spans="1:19" hidden="1" x14ac:dyDescent="0.2">
      <c r="A588" s="179">
        <v>4227</v>
      </c>
      <c r="B588" s="180" t="s">
        <v>60</v>
      </c>
      <c r="C588" s="169"/>
      <c r="D588" s="170"/>
      <c r="E588" s="170"/>
      <c r="F588" s="215"/>
      <c r="G588" s="215"/>
      <c r="H588" s="215"/>
      <c r="I588" s="215"/>
      <c r="J588" s="215"/>
      <c r="K588" s="215"/>
      <c r="L588" s="172"/>
      <c r="M588" s="215"/>
      <c r="N588" s="215"/>
      <c r="O588" s="215"/>
      <c r="P588" s="35"/>
      <c r="Q588" s="35"/>
      <c r="R588" s="35"/>
      <c r="S588" s="35"/>
    </row>
    <row r="589" spans="1:19" hidden="1" x14ac:dyDescent="0.2">
      <c r="A589" s="179">
        <v>4262</v>
      </c>
      <c r="B589" s="136" t="s">
        <v>74</v>
      </c>
      <c r="C589" s="169"/>
      <c r="D589" s="170"/>
      <c r="E589" s="170"/>
      <c r="F589" s="215"/>
      <c r="G589" s="215"/>
      <c r="H589" s="215"/>
      <c r="I589" s="215"/>
      <c r="J589" s="215"/>
      <c r="K589" s="215"/>
      <c r="L589" s="172"/>
      <c r="M589" s="215"/>
      <c r="N589" s="215"/>
      <c r="O589" s="215"/>
      <c r="P589" s="35"/>
      <c r="Q589" s="35"/>
      <c r="R589" s="35"/>
      <c r="S589" s="35"/>
    </row>
    <row r="590" spans="1:19" ht="25.5" x14ac:dyDescent="0.2">
      <c r="A590" s="223" t="s">
        <v>294</v>
      </c>
      <c r="B590" s="224" t="s">
        <v>295</v>
      </c>
      <c r="C590" s="225">
        <f t="shared" ref="C590:O590" si="946">C591</f>
        <v>896000</v>
      </c>
      <c r="D590" s="226"/>
      <c r="E590" s="226">
        <f t="shared" si="946"/>
        <v>0</v>
      </c>
      <c r="F590" s="227">
        <f t="shared" si="946"/>
        <v>0</v>
      </c>
      <c r="G590" s="227">
        <f t="shared" si="946"/>
        <v>0</v>
      </c>
      <c r="H590" s="227">
        <f t="shared" si="946"/>
        <v>825000</v>
      </c>
      <c r="I590" s="227">
        <f t="shared" si="946"/>
        <v>0</v>
      </c>
      <c r="J590" s="227">
        <f t="shared" si="946"/>
        <v>0</v>
      </c>
      <c r="K590" s="227">
        <f t="shared" si="946"/>
        <v>825000</v>
      </c>
      <c r="L590" s="228"/>
      <c r="M590" s="227">
        <f t="shared" si="946"/>
        <v>825000</v>
      </c>
      <c r="N590" s="227">
        <f t="shared" si="946"/>
        <v>0</v>
      </c>
      <c r="O590" s="227">
        <f t="shared" si="946"/>
        <v>0</v>
      </c>
      <c r="P590" s="35"/>
      <c r="Q590" s="35"/>
      <c r="R590" s="35"/>
      <c r="S590" s="35"/>
    </row>
    <row r="591" spans="1:19" ht="19.5" customHeight="1" x14ac:dyDescent="0.2">
      <c r="A591" s="701" t="s">
        <v>77</v>
      </c>
      <c r="B591" s="702"/>
      <c r="C591" s="229">
        <f>SUM(C592)</f>
        <v>896000</v>
      </c>
      <c r="D591" s="230"/>
      <c r="E591" s="230">
        <f t="shared" ref="E591:O591" si="947">SUM(E592)</f>
        <v>0</v>
      </c>
      <c r="F591" s="231">
        <f t="shared" si="947"/>
        <v>0</v>
      </c>
      <c r="G591" s="231">
        <f t="shared" si="947"/>
        <v>0</v>
      </c>
      <c r="H591" s="231">
        <f t="shared" si="947"/>
        <v>825000</v>
      </c>
      <c r="I591" s="231">
        <f t="shared" si="947"/>
        <v>0</v>
      </c>
      <c r="J591" s="231">
        <f t="shared" si="947"/>
        <v>0</v>
      </c>
      <c r="K591" s="240">
        <f t="shared" si="947"/>
        <v>825000</v>
      </c>
      <c r="L591" s="241"/>
      <c r="M591" s="240">
        <f t="shared" si="947"/>
        <v>825000</v>
      </c>
      <c r="N591" s="240">
        <f t="shared" si="947"/>
        <v>0</v>
      </c>
      <c r="O591" s="240">
        <f t="shared" si="947"/>
        <v>0</v>
      </c>
      <c r="P591" s="35"/>
      <c r="Q591" s="35"/>
      <c r="R591" s="35"/>
      <c r="S591" s="35"/>
    </row>
    <row r="592" spans="1:19" ht="28.5" customHeight="1" x14ac:dyDescent="0.2">
      <c r="A592" s="434" t="s">
        <v>330</v>
      </c>
      <c r="B592" s="435" t="s">
        <v>331</v>
      </c>
      <c r="C592" s="415">
        <f>SUM(C593,C595)</f>
        <v>896000</v>
      </c>
      <c r="D592" s="416"/>
      <c r="E592" s="416">
        <f t="shared" ref="E592:O592" si="948">SUM(E593,E595)</f>
        <v>0</v>
      </c>
      <c r="F592" s="417">
        <f t="shared" si="948"/>
        <v>0</v>
      </c>
      <c r="G592" s="417">
        <f t="shared" si="948"/>
        <v>0</v>
      </c>
      <c r="H592" s="417">
        <f t="shared" si="948"/>
        <v>825000</v>
      </c>
      <c r="I592" s="417">
        <f t="shared" si="948"/>
        <v>0</v>
      </c>
      <c r="J592" s="417">
        <f t="shared" si="948"/>
        <v>0</v>
      </c>
      <c r="K592" s="93">
        <f t="shared" si="948"/>
        <v>825000</v>
      </c>
      <c r="L592" s="94"/>
      <c r="M592" s="93">
        <f t="shared" si="948"/>
        <v>825000</v>
      </c>
      <c r="N592" s="93">
        <f t="shared" si="948"/>
        <v>0</v>
      </c>
      <c r="O592" s="93">
        <f t="shared" si="948"/>
        <v>0</v>
      </c>
      <c r="P592" s="35"/>
      <c r="Q592" s="35"/>
      <c r="R592" s="35"/>
      <c r="S592" s="35"/>
    </row>
    <row r="593" spans="1:19" x14ac:dyDescent="0.2">
      <c r="A593" s="160" t="s">
        <v>177</v>
      </c>
      <c r="B593" s="161" t="s">
        <v>129</v>
      </c>
      <c r="C593" s="162">
        <f t="shared" ref="C593:O593" si="949">SUM(C594:C594)</f>
        <v>0</v>
      </c>
      <c r="D593" s="163"/>
      <c r="E593" s="163">
        <f t="shared" si="949"/>
        <v>0</v>
      </c>
      <c r="F593" s="164">
        <f t="shared" si="949"/>
        <v>0</v>
      </c>
      <c r="G593" s="164">
        <f t="shared" si="949"/>
        <v>0</v>
      </c>
      <c r="H593" s="164">
        <f t="shared" si="949"/>
        <v>0</v>
      </c>
      <c r="I593" s="164">
        <f t="shared" si="949"/>
        <v>0</v>
      </c>
      <c r="J593" s="164">
        <f t="shared" si="949"/>
        <v>0</v>
      </c>
      <c r="K593" s="164">
        <f t="shared" si="949"/>
        <v>0</v>
      </c>
      <c r="L593" s="165"/>
      <c r="M593" s="164">
        <f t="shared" si="949"/>
        <v>0</v>
      </c>
      <c r="N593" s="164">
        <f t="shared" si="949"/>
        <v>0</v>
      </c>
      <c r="O593" s="164">
        <f t="shared" si="949"/>
        <v>0</v>
      </c>
      <c r="P593" s="35"/>
      <c r="Q593" s="35"/>
      <c r="R593" s="35"/>
      <c r="S593" s="35"/>
    </row>
    <row r="594" spans="1:19" x14ac:dyDescent="0.2">
      <c r="A594" s="179">
        <v>4223</v>
      </c>
      <c r="B594" s="180" t="s">
        <v>59</v>
      </c>
      <c r="C594" s="169"/>
      <c r="D594" s="170"/>
      <c r="E594" s="170"/>
      <c r="F594" s="215"/>
      <c r="G594" s="215"/>
      <c r="H594" s="215"/>
      <c r="I594" s="215"/>
      <c r="J594" s="215"/>
      <c r="K594" s="105">
        <f t="shared" ref="K594" si="950">H594-E594</f>
        <v>0</v>
      </c>
      <c r="L594" s="104"/>
      <c r="M594" s="105">
        <f>H594-F594</f>
        <v>0</v>
      </c>
      <c r="N594" s="105">
        <f>I594-G594</f>
        <v>0</v>
      </c>
      <c r="O594" s="215"/>
      <c r="P594" s="35"/>
      <c r="Q594" s="35"/>
      <c r="R594" s="35"/>
      <c r="S594" s="35"/>
    </row>
    <row r="595" spans="1:19" x14ac:dyDescent="0.2">
      <c r="A595" s="160" t="s">
        <v>181</v>
      </c>
      <c r="B595" s="161" t="s">
        <v>61</v>
      </c>
      <c r="C595" s="162">
        <f t="shared" ref="C595:O595" si="951">SUM(C596:C596)</f>
        <v>896000</v>
      </c>
      <c r="D595" s="163"/>
      <c r="E595" s="163">
        <f t="shared" si="951"/>
        <v>0</v>
      </c>
      <c r="F595" s="164">
        <f t="shared" si="951"/>
        <v>0</v>
      </c>
      <c r="G595" s="164">
        <f t="shared" si="951"/>
        <v>0</v>
      </c>
      <c r="H595" s="164">
        <f t="shared" si="951"/>
        <v>825000</v>
      </c>
      <c r="I595" s="164">
        <f t="shared" si="951"/>
        <v>0</v>
      </c>
      <c r="J595" s="164">
        <f t="shared" si="951"/>
        <v>0</v>
      </c>
      <c r="K595" s="164">
        <f t="shared" si="951"/>
        <v>825000</v>
      </c>
      <c r="L595" s="165"/>
      <c r="M595" s="164">
        <f t="shared" si="951"/>
        <v>825000</v>
      </c>
      <c r="N595" s="164">
        <f t="shared" si="951"/>
        <v>0</v>
      </c>
      <c r="O595" s="164">
        <f t="shared" si="951"/>
        <v>0</v>
      </c>
      <c r="P595" s="35"/>
      <c r="Q595" s="35"/>
      <c r="R595" s="35"/>
      <c r="S595" s="35"/>
    </row>
    <row r="596" spans="1:19" x14ac:dyDescent="0.2">
      <c r="A596" s="280">
        <v>4233</v>
      </c>
      <c r="B596" s="281" t="s">
        <v>227</v>
      </c>
      <c r="C596" s="287">
        <v>896000</v>
      </c>
      <c r="D596" s="288"/>
      <c r="E596" s="288"/>
      <c r="F596" s="289"/>
      <c r="G596" s="289"/>
      <c r="H596" s="288">
        <v>825000</v>
      </c>
      <c r="I596" s="289"/>
      <c r="J596" s="289"/>
      <c r="K596" s="300">
        <f t="shared" ref="K596" si="952">H596-E596</f>
        <v>825000</v>
      </c>
      <c r="L596" s="301"/>
      <c r="M596" s="300">
        <f t="shared" ref="M596" si="953">H596-F596</f>
        <v>825000</v>
      </c>
      <c r="N596" s="300">
        <f>I596-G596</f>
        <v>0</v>
      </c>
      <c r="O596" s="171"/>
      <c r="P596" s="35"/>
      <c r="Q596" s="35"/>
      <c r="R596" s="35"/>
      <c r="S596" s="35"/>
    </row>
    <row r="597" spans="1:19" x14ac:dyDescent="0.2">
      <c r="A597" s="223" t="s">
        <v>343</v>
      </c>
      <c r="B597" s="224" t="s">
        <v>344</v>
      </c>
      <c r="C597" s="225">
        <f t="shared" ref="C597:O597" si="954">C598</f>
        <v>1770000</v>
      </c>
      <c r="D597" s="226"/>
      <c r="E597" s="226">
        <f t="shared" si="954"/>
        <v>0</v>
      </c>
      <c r="F597" s="227">
        <f t="shared" si="954"/>
        <v>2182000</v>
      </c>
      <c r="G597" s="227">
        <f t="shared" si="954"/>
        <v>2600000</v>
      </c>
      <c r="H597" s="227">
        <f t="shared" si="954"/>
        <v>2001000</v>
      </c>
      <c r="I597" s="227">
        <f t="shared" si="954"/>
        <v>1419043</v>
      </c>
      <c r="J597" s="227">
        <f t="shared" si="954"/>
        <v>2589000</v>
      </c>
      <c r="K597" s="227">
        <f t="shared" si="954"/>
        <v>2001000</v>
      </c>
      <c r="L597" s="228"/>
      <c r="M597" s="227">
        <f t="shared" si="954"/>
        <v>-181000</v>
      </c>
      <c r="N597" s="227">
        <f t="shared" si="954"/>
        <v>-1180957</v>
      </c>
      <c r="O597" s="227">
        <f t="shared" si="954"/>
        <v>0</v>
      </c>
      <c r="P597" s="35"/>
      <c r="Q597" s="35"/>
      <c r="R597" s="35"/>
      <c r="S597" s="35"/>
    </row>
    <row r="598" spans="1:19" x14ac:dyDescent="0.2">
      <c r="A598" s="701" t="s">
        <v>77</v>
      </c>
      <c r="B598" s="702"/>
      <c r="C598" s="229">
        <f t="shared" ref="C598:O598" si="955">SUM(C599,C611,C614,C626)</f>
        <v>1770000</v>
      </c>
      <c r="D598" s="230"/>
      <c r="E598" s="230">
        <f t="shared" ref="E598:N598" si="956">SUM(E599,E611,E614,E626)</f>
        <v>0</v>
      </c>
      <c r="F598" s="231">
        <f t="shared" si="956"/>
        <v>2182000</v>
      </c>
      <c r="G598" s="231">
        <f t="shared" si="956"/>
        <v>2600000</v>
      </c>
      <c r="H598" s="231">
        <f t="shared" si="956"/>
        <v>2001000</v>
      </c>
      <c r="I598" s="231">
        <f t="shared" si="956"/>
        <v>1419043</v>
      </c>
      <c r="J598" s="231">
        <f t="shared" si="956"/>
        <v>2589000</v>
      </c>
      <c r="K598" s="240">
        <f t="shared" si="956"/>
        <v>2001000</v>
      </c>
      <c r="L598" s="241"/>
      <c r="M598" s="240">
        <f t="shared" si="956"/>
        <v>-181000</v>
      </c>
      <c r="N598" s="240">
        <f t="shared" si="956"/>
        <v>-1180957</v>
      </c>
      <c r="O598" s="240">
        <f t="shared" si="955"/>
        <v>0</v>
      </c>
      <c r="P598" s="35"/>
      <c r="Q598" s="35"/>
      <c r="R598" s="35"/>
      <c r="S598" s="35"/>
    </row>
    <row r="599" spans="1:19" x14ac:dyDescent="0.2">
      <c r="A599" s="438">
        <v>32</v>
      </c>
      <c r="B599" s="439" t="s">
        <v>325</v>
      </c>
      <c r="C599" s="440">
        <f t="shared" ref="C599:O599" si="957">SUM(C600,C603,C605,C609)</f>
        <v>164000</v>
      </c>
      <c r="D599" s="441"/>
      <c r="E599" s="441">
        <f t="shared" ref="E599:N599" si="958">SUM(E600,E603,E605,E609)</f>
        <v>0</v>
      </c>
      <c r="F599" s="442">
        <f t="shared" si="958"/>
        <v>202000</v>
      </c>
      <c r="G599" s="442">
        <f t="shared" si="958"/>
        <v>272000</v>
      </c>
      <c r="H599" s="442">
        <f t="shared" si="958"/>
        <v>236000</v>
      </c>
      <c r="I599" s="442">
        <f t="shared" si="958"/>
        <v>296043</v>
      </c>
      <c r="J599" s="442">
        <f t="shared" si="958"/>
        <v>766000</v>
      </c>
      <c r="K599" s="294">
        <f t="shared" si="958"/>
        <v>236000</v>
      </c>
      <c r="L599" s="295"/>
      <c r="M599" s="294">
        <f t="shared" si="958"/>
        <v>34000</v>
      </c>
      <c r="N599" s="294">
        <f t="shared" si="958"/>
        <v>24043</v>
      </c>
      <c r="O599" s="294">
        <f t="shared" si="957"/>
        <v>0</v>
      </c>
      <c r="P599" s="35"/>
      <c r="Q599" s="35"/>
      <c r="R599" s="35"/>
      <c r="S599" s="35"/>
    </row>
    <row r="600" spans="1:19" s="2" customFormat="1" x14ac:dyDescent="0.2">
      <c r="A600" s="160" t="s">
        <v>149</v>
      </c>
      <c r="B600" s="161" t="s">
        <v>12</v>
      </c>
      <c r="C600" s="162">
        <f t="shared" ref="C600:N600" si="959">SUM(C601:C602)</f>
        <v>53000</v>
      </c>
      <c r="D600" s="163"/>
      <c r="E600" s="163">
        <f t="shared" si="959"/>
        <v>0</v>
      </c>
      <c r="F600" s="164">
        <f t="shared" si="959"/>
        <v>91000</v>
      </c>
      <c r="G600" s="164">
        <f t="shared" si="959"/>
        <v>161000</v>
      </c>
      <c r="H600" s="164">
        <f t="shared" si="959"/>
        <v>62000</v>
      </c>
      <c r="I600" s="164">
        <f t="shared" si="959"/>
        <v>132043</v>
      </c>
      <c r="J600" s="164">
        <f t="shared" si="959"/>
        <v>600000</v>
      </c>
      <c r="K600" s="164">
        <f t="shared" si="959"/>
        <v>62000</v>
      </c>
      <c r="L600" s="165"/>
      <c r="M600" s="164">
        <f t="shared" si="959"/>
        <v>-29000</v>
      </c>
      <c r="N600" s="164">
        <f t="shared" si="959"/>
        <v>-28957</v>
      </c>
      <c r="O600" s="164">
        <f t="shared" ref="O600" si="960">SUM(O601:O602)</f>
        <v>0</v>
      </c>
      <c r="P600" s="50"/>
      <c r="Q600" s="50"/>
      <c r="R600" s="50"/>
      <c r="S600" s="50"/>
    </row>
    <row r="601" spans="1:19" x14ac:dyDescent="0.2">
      <c r="A601" s="167" t="s">
        <v>150</v>
      </c>
      <c r="B601" s="168" t="s">
        <v>13</v>
      </c>
      <c r="C601" s="169">
        <v>11000</v>
      </c>
      <c r="D601" s="170"/>
      <c r="E601" s="170">
        <v>0</v>
      </c>
      <c r="F601" s="171">
        <v>11000</v>
      </c>
      <c r="G601" s="171">
        <v>11000</v>
      </c>
      <c r="H601" s="171">
        <v>12000</v>
      </c>
      <c r="I601" s="171">
        <f>100000-89000+41043</f>
        <v>52043</v>
      </c>
      <c r="J601" s="171">
        <v>100000</v>
      </c>
      <c r="K601" s="105">
        <f t="shared" ref="K601:K602" si="961">H601-E601</f>
        <v>12000</v>
      </c>
      <c r="L601" s="104"/>
      <c r="M601" s="105">
        <f>H601-F601</f>
        <v>1000</v>
      </c>
      <c r="N601" s="105">
        <f>I601-G601</f>
        <v>41043</v>
      </c>
      <c r="O601" s="171"/>
      <c r="P601" s="35"/>
      <c r="Q601" s="35"/>
      <c r="R601" s="35"/>
      <c r="S601" s="35"/>
    </row>
    <row r="602" spans="1:19" x14ac:dyDescent="0.2">
      <c r="A602" s="167" t="s">
        <v>152</v>
      </c>
      <c r="B602" s="168" t="s">
        <v>15</v>
      </c>
      <c r="C602" s="169">
        <v>42000</v>
      </c>
      <c r="D602" s="170"/>
      <c r="E602" s="170">
        <v>0</v>
      </c>
      <c r="F602" s="171">
        <v>80000</v>
      </c>
      <c r="G602" s="171">
        <v>150000</v>
      </c>
      <c r="H602" s="171">
        <v>50000</v>
      </c>
      <c r="I602" s="171">
        <f>300000-220000</f>
        <v>80000</v>
      </c>
      <c r="J602" s="171">
        <v>500000</v>
      </c>
      <c r="K602" s="105">
        <f t="shared" si="961"/>
        <v>50000</v>
      </c>
      <c r="L602" s="104"/>
      <c r="M602" s="105">
        <f>H602-F602</f>
        <v>-30000</v>
      </c>
      <c r="N602" s="105">
        <f>I602-G602</f>
        <v>-70000</v>
      </c>
      <c r="O602" s="171"/>
      <c r="P602" s="35"/>
      <c r="Q602" s="35"/>
      <c r="R602" s="35"/>
      <c r="S602" s="35"/>
    </row>
    <row r="603" spans="1:19" s="2" customFormat="1" x14ac:dyDescent="0.2">
      <c r="A603" s="160" t="s">
        <v>153</v>
      </c>
      <c r="B603" s="161" t="s">
        <v>16</v>
      </c>
      <c r="C603" s="162">
        <f t="shared" ref="C603:O603" si="962">SUM(C604)</f>
        <v>20000</v>
      </c>
      <c r="D603" s="163"/>
      <c r="E603" s="163">
        <f t="shared" si="962"/>
        <v>0</v>
      </c>
      <c r="F603" s="164">
        <f t="shared" si="962"/>
        <v>20000</v>
      </c>
      <c r="G603" s="164">
        <f t="shared" si="962"/>
        <v>20000</v>
      </c>
      <c r="H603" s="164">
        <f t="shared" si="962"/>
        <v>20000</v>
      </c>
      <c r="I603" s="164">
        <f t="shared" si="962"/>
        <v>25000</v>
      </c>
      <c r="J603" s="164">
        <f t="shared" si="962"/>
        <v>25000</v>
      </c>
      <c r="K603" s="164">
        <f t="shared" si="962"/>
        <v>20000</v>
      </c>
      <c r="L603" s="165"/>
      <c r="M603" s="164">
        <f t="shared" si="962"/>
        <v>0</v>
      </c>
      <c r="N603" s="164">
        <f t="shared" si="962"/>
        <v>5000</v>
      </c>
      <c r="O603" s="164">
        <f t="shared" si="962"/>
        <v>0</v>
      </c>
      <c r="P603" s="50"/>
      <c r="Q603" s="50"/>
      <c r="R603" s="50"/>
      <c r="S603" s="50"/>
    </row>
    <row r="604" spans="1:19" x14ac:dyDescent="0.2">
      <c r="A604" s="167" t="s">
        <v>156</v>
      </c>
      <c r="B604" s="168" t="s">
        <v>19</v>
      </c>
      <c r="C604" s="169">
        <v>20000</v>
      </c>
      <c r="D604" s="170"/>
      <c r="E604" s="170">
        <v>0</v>
      </c>
      <c r="F604" s="171">
        <v>20000</v>
      </c>
      <c r="G604" s="171">
        <v>20000</v>
      </c>
      <c r="H604" s="171">
        <v>20000</v>
      </c>
      <c r="I604" s="171">
        <v>25000</v>
      </c>
      <c r="J604" s="171">
        <v>25000</v>
      </c>
      <c r="K604" s="105">
        <f t="shared" ref="K604" si="963">H604-E604</f>
        <v>20000</v>
      </c>
      <c r="L604" s="104"/>
      <c r="M604" s="105">
        <f t="shared" ref="M604" si="964">H604-F604</f>
        <v>0</v>
      </c>
      <c r="N604" s="105">
        <f>I604-G604</f>
        <v>5000</v>
      </c>
      <c r="O604" s="171"/>
      <c r="P604" s="35"/>
      <c r="Q604" s="35"/>
      <c r="R604" s="35"/>
      <c r="S604" s="35"/>
    </row>
    <row r="605" spans="1:19" s="2" customFormat="1" x14ac:dyDescent="0.2">
      <c r="A605" s="160" t="s">
        <v>159</v>
      </c>
      <c r="B605" s="302" t="s">
        <v>123</v>
      </c>
      <c r="C605" s="162">
        <f>SUM(C606:C608)</f>
        <v>25000</v>
      </c>
      <c r="D605" s="163"/>
      <c r="E605" s="163">
        <f t="shared" ref="E605:N605" si="965">SUM(E606:E608)</f>
        <v>0</v>
      </c>
      <c r="F605" s="163">
        <f t="shared" si="965"/>
        <v>25000</v>
      </c>
      <c r="G605" s="163">
        <f t="shared" si="965"/>
        <v>25000</v>
      </c>
      <c r="H605" s="163">
        <f t="shared" si="965"/>
        <v>104000</v>
      </c>
      <c r="I605" s="163">
        <f t="shared" si="965"/>
        <v>89000</v>
      </c>
      <c r="J605" s="163">
        <f t="shared" si="965"/>
        <v>91000</v>
      </c>
      <c r="K605" s="163">
        <f t="shared" si="965"/>
        <v>104000</v>
      </c>
      <c r="L605" s="163"/>
      <c r="M605" s="163">
        <f t="shared" si="965"/>
        <v>79000</v>
      </c>
      <c r="N605" s="163">
        <f t="shared" si="965"/>
        <v>64000</v>
      </c>
      <c r="O605" s="163">
        <f t="shared" ref="O605" si="966">SUM(O606:O608)</f>
        <v>0</v>
      </c>
      <c r="P605" s="50"/>
      <c r="Q605" s="50"/>
      <c r="R605" s="50"/>
      <c r="S605" s="50"/>
    </row>
    <row r="606" spans="1:19" s="2" customFormat="1" x14ac:dyDescent="0.2">
      <c r="A606" s="167" t="s">
        <v>160</v>
      </c>
      <c r="B606" s="168" t="s">
        <v>24</v>
      </c>
      <c r="C606" s="162"/>
      <c r="D606" s="163"/>
      <c r="E606" s="163"/>
      <c r="F606" s="163"/>
      <c r="G606" s="163"/>
      <c r="H606" s="256"/>
      <c r="I606" s="256">
        <v>4000</v>
      </c>
      <c r="J606" s="256">
        <v>4000</v>
      </c>
      <c r="K606" s="105">
        <f t="shared" ref="K606" si="967">H606-E606</f>
        <v>0</v>
      </c>
      <c r="L606" s="104"/>
      <c r="M606" s="105">
        <f t="shared" ref="M606" si="968">H606-F606</f>
        <v>0</v>
      </c>
      <c r="N606" s="105">
        <f t="shared" ref="N606" si="969">I606-G606</f>
        <v>4000</v>
      </c>
      <c r="O606" s="163"/>
      <c r="P606" s="50"/>
      <c r="Q606" s="50"/>
      <c r="R606" s="50"/>
      <c r="S606" s="50"/>
    </row>
    <row r="607" spans="1:19" s="2" customFormat="1" x14ac:dyDescent="0.2">
      <c r="A607" s="179">
        <v>3233</v>
      </c>
      <c r="B607" s="180" t="s">
        <v>26</v>
      </c>
      <c r="C607" s="255">
        <v>4000</v>
      </c>
      <c r="D607" s="256"/>
      <c r="E607" s="256">
        <v>0</v>
      </c>
      <c r="F607" s="303">
        <v>4000</v>
      </c>
      <c r="G607" s="303">
        <v>4000</v>
      </c>
      <c r="H607" s="303">
        <v>4000</v>
      </c>
      <c r="I607" s="303">
        <v>20000</v>
      </c>
      <c r="J607" s="303">
        <v>21000</v>
      </c>
      <c r="K607" s="105">
        <f t="shared" ref="K607:K608" si="970">H607-E607</f>
        <v>4000</v>
      </c>
      <c r="L607" s="104"/>
      <c r="M607" s="105">
        <f t="shared" ref="M607:M608" si="971">H607-F607</f>
        <v>0</v>
      </c>
      <c r="N607" s="105">
        <f>I607-G607</f>
        <v>16000</v>
      </c>
      <c r="O607" s="303"/>
      <c r="P607" s="50"/>
      <c r="Q607" s="50"/>
      <c r="R607" s="50"/>
      <c r="S607" s="50"/>
    </row>
    <row r="608" spans="1:19" x14ac:dyDescent="0.2">
      <c r="A608" s="167" t="s">
        <v>166</v>
      </c>
      <c r="B608" s="168" t="s">
        <v>30</v>
      </c>
      <c r="C608" s="169">
        <v>21000</v>
      </c>
      <c r="D608" s="170"/>
      <c r="E608" s="170">
        <v>0</v>
      </c>
      <c r="F608" s="304">
        <v>21000</v>
      </c>
      <c r="G608" s="304">
        <v>21000</v>
      </c>
      <c r="H608" s="304">
        <v>100000</v>
      </c>
      <c r="I608" s="304">
        <v>65000</v>
      </c>
      <c r="J608" s="304">
        <v>66000</v>
      </c>
      <c r="K608" s="105">
        <f t="shared" si="970"/>
        <v>100000</v>
      </c>
      <c r="L608" s="104"/>
      <c r="M608" s="105">
        <f t="shared" si="971"/>
        <v>79000</v>
      </c>
      <c r="N608" s="105">
        <f>I608-G608</f>
        <v>44000</v>
      </c>
      <c r="O608" s="304"/>
      <c r="P608" s="35"/>
      <c r="Q608" s="35"/>
      <c r="R608" s="35"/>
      <c r="S608" s="35"/>
    </row>
    <row r="609" spans="1:19" s="2" customFormat="1" x14ac:dyDescent="0.2">
      <c r="A609" s="160" t="s">
        <v>170</v>
      </c>
      <c r="B609" s="161" t="s">
        <v>33</v>
      </c>
      <c r="C609" s="162">
        <f t="shared" ref="C609:O609" si="972">SUM(C610)</f>
        <v>66000</v>
      </c>
      <c r="D609" s="163"/>
      <c r="E609" s="163">
        <f t="shared" si="972"/>
        <v>0</v>
      </c>
      <c r="F609" s="164">
        <f t="shared" si="972"/>
        <v>66000</v>
      </c>
      <c r="G609" s="164">
        <f t="shared" si="972"/>
        <v>66000</v>
      </c>
      <c r="H609" s="164">
        <f t="shared" si="972"/>
        <v>50000</v>
      </c>
      <c r="I609" s="164">
        <f t="shared" si="972"/>
        <v>50000</v>
      </c>
      <c r="J609" s="164">
        <f t="shared" si="972"/>
        <v>50000</v>
      </c>
      <c r="K609" s="164">
        <f t="shared" si="972"/>
        <v>50000</v>
      </c>
      <c r="L609" s="165"/>
      <c r="M609" s="164">
        <f t="shared" si="972"/>
        <v>-16000</v>
      </c>
      <c r="N609" s="164">
        <f t="shared" si="972"/>
        <v>-16000</v>
      </c>
      <c r="O609" s="164">
        <f t="shared" si="972"/>
        <v>0</v>
      </c>
      <c r="P609" s="50"/>
      <c r="Q609" s="50"/>
      <c r="R609" s="50"/>
      <c r="S609" s="50"/>
    </row>
    <row r="610" spans="1:19" s="2" customFormat="1" x14ac:dyDescent="0.2">
      <c r="A610" s="179">
        <v>3294</v>
      </c>
      <c r="B610" s="180" t="s">
        <v>37</v>
      </c>
      <c r="C610" s="290">
        <v>66000</v>
      </c>
      <c r="D610" s="291"/>
      <c r="E610" s="291">
        <v>0</v>
      </c>
      <c r="F610" s="305">
        <v>66000</v>
      </c>
      <c r="G610" s="305">
        <v>66000</v>
      </c>
      <c r="H610" s="305">
        <v>50000</v>
      </c>
      <c r="I610" s="305">
        <v>50000</v>
      </c>
      <c r="J610" s="305">
        <v>50000</v>
      </c>
      <c r="K610" s="105">
        <f t="shared" ref="K610" si="973">H610-E610</f>
        <v>50000</v>
      </c>
      <c r="L610" s="104"/>
      <c r="M610" s="105">
        <f t="shared" ref="M610" si="974">H610-F610</f>
        <v>-16000</v>
      </c>
      <c r="N610" s="105">
        <f>I610-G610</f>
        <v>-16000</v>
      </c>
      <c r="O610" s="305"/>
      <c r="P610" s="50"/>
      <c r="Q610" s="50"/>
      <c r="R610" s="50"/>
      <c r="S610" s="50"/>
    </row>
    <row r="611" spans="1:19" s="2" customFormat="1" ht="25.5" x14ac:dyDescent="0.2">
      <c r="A611" s="422">
        <v>41</v>
      </c>
      <c r="B611" s="414" t="s">
        <v>369</v>
      </c>
      <c r="C611" s="443">
        <f t="shared" ref="C611:O611" si="975">SUM(C612)</f>
        <v>398000</v>
      </c>
      <c r="D611" s="444"/>
      <c r="E611" s="444">
        <f t="shared" si="975"/>
        <v>0</v>
      </c>
      <c r="F611" s="445">
        <f t="shared" si="975"/>
        <v>199000</v>
      </c>
      <c r="G611" s="445">
        <f t="shared" si="975"/>
        <v>199000</v>
      </c>
      <c r="H611" s="445">
        <f t="shared" si="975"/>
        <v>200000</v>
      </c>
      <c r="I611" s="445">
        <f t="shared" si="975"/>
        <v>200000</v>
      </c>
      <c r="J611" s="445">
        <f t="shared" si="975"/>
        <v>200000</v>
      </c>
      <c r="K611" s="306">
        <f t="shared" si="975"/>
        <v>200000</v>
      </c>
      <c r="L611" s="307"/>
      <c r="M611" s="306">
        <f t="shared" si="975"/>
        <v>1000</v>
      </c>
      <c r="N611" s="306">
        <f t="shared" si="975"/>
        <v>1000</v>
      </c>
      <c r="O611" s="306">
        <f t="shared" si="975"/>
        <v>0</v>
      </c>
      <c r="P611" s="50"/>
      <c r="Q611" s="50"/>
      <c r="R611" s="50"/>
      <c r="S611" s="50"/>
    </row>
    <row r="612" spans="1:19" s="2" customFormat="1" x14ac:dyDescent="0.2">
      <c r="A612" s="308">
        <v>412</v>
      </c>
      <c r="B612" s="309" t="s">
        <v>370</v>
      </c>
      <c r="C612" s="310">
        <f t="shared" ref="C612:O612" si="976">SUM(C613)</f>
        <v>398000</v>
      </c>
      <c r="D612" s="311"/>
      <c r="E612" s="311">
        <f t="shared" si="976"/>
        <v>0</v>
      </c>
      <c r="F612" s="312">
        <f t="shared" si="976"/>
        <v>199000</v>
      </c>
      <c r="G612" s="312">
        <f t="shared" si="976"/>
        <v>199000</v>
      </c>
      <c r="H612" s="312">
        <f t="shared" si="976"/>
        <v>200000</v>
      </c>
      <c r="I612" s="312">
        <f t="shared" si="976"/>
        <v>200000</v>
      </c>
      <c r="J612" s="312">
        <f t="shared" si="976"/>
        <v>200000</v>
      </c>
      <c r="K612" s="312">
        <f t="shared" si="976"/>
        <v>200000</v>
      </c>
      <c r="L612" s="313"/>
      <c r="M612" s="312">
        <f t="shared" si="976"/>
        <v>1000</v>
      </c>
      <c r="N612" s="312">
        <f t="shared" si="976"/>
        <v>1000</v>
      </c>
      <c r="O612" s="312">
        <f t="shared" si="976"/>
        <v>0</v>
      </c>
      <c r="P612" s="50"/>
      <c r="Q612" s="50"/>
      <c r="R612" s="50"/>
      <c r="S612" s="50"/>
    </row>
    <row r="613" spans="1:19" s="2" customFormat="1" x14ac:dyDescent="0.2">
      <c r="A613" s="314">
        <v>4123</v>
      </c>
      <c r="B613" s="315" t="s">
        <v>68</v>
      </c>
      <c r="C613" s="290">
        <v>398000</v>
      </c>
      <c r="D613" s="291"/>
      <c r="E613" s="291">
        <v>0</v>
      </c>
      <c r="F613" s="292">
        <v>199000</v>
      </c>
      <c r="G613" s="292">
        <v>199000</v>
      </c>
      <c r="H613" s="292">
        <v>200000</v>
      </c>
      <c r="I613" s="292">
        <f>300000-100000</f>
        <v>200000</v>
      </c>
      <c r="J613" s="292">
        <v>200000</v>
      </c>
      <c r="K613" s="105">
        <f t="shared" ref="K613" si="977">H613-E613</f>
        <v>200000</v>
      </c>
      <c r="L613" s="104"/>
      <c r="M613" s="105">
        <f>H613-F613</f>
        <v>1000</v>
      </c>
      <c r="N613" s="105">
        <f>I613-G613</f>
        <v>1000</v>
      </c>
      <c r="O613" s="292"/>
      <c r="P613" s="50"/>
      <c r="Q613" s="50"/>
      <c r="R613" s="50"/>
      <c r="S613" s="50"/>
    </row>
    <row r="614" spans="1:19" s="2" customFormat="1" ht="25.5" x14ac:dyDescent="0.2">
      <c r="A614" s="422">
        <v>42</v>
      </c>
      <c r="B614" s="414" t="s">
        <v>371</v>
      </c>
      <c r="C614" s="443">
        <f t="shared" ref="C614" si="978">SUM(C615,C621,C624)</f>
        <v>1158000</v>
      </c>
      <c r="D614" s="444"/>
      <c r="E614" s="444">
        <f t="shared" ref="E614:N614" si="979">SUM(E615,E621,E624)</f>
        <v>0</v>
      </c>
      <c r="F614" s="445">
        <f t="shared" si="979"/>
        <v>1596000</v>
      </c>
      <c r="G614" s="445">
        <f t="shared" si="979"/>
        <v>1944000</v>
      </c>
      <c r="H614" s="445">
        <f t="shared" si="979"/>
        <v>1065000</v>
      </c>
      <c r="I614" s="445">
        <f t="shared" si="979"/>
        <v>723000</v>
      </c>
      <c r="J614" s="445">
        <f t="shared" si="979"/>
        <v>823000</v>
      </c>
      <c r="K614" s="306">
        <f t="shared" si="979"/>
        <v>1065000</v>
      </c>
      <c r="L614" s="307"/>
      <c r="M614" s="306">
        <f t="shared" si="979"/>
        <v>-531000</v>
      </c>
      <c r="N614" s="306">
        <f t="shared" si="979"/>
        <v>-1221000</v>
      </c>
      <c r="O614" s="306">
        <f t="shared" ref="O614" si="980">SUM(O615,O621,O624)</f>
        <v>0</v>
      </c>
      <c r="P614" s="50"/>
      <c r="Q614" s="50"/>
      <c r="R614" s="50"/>
      <c r="S614" s="50"/>
    </row>
    <row r="615" spans="1:19" s="2" customFormat="1" x14ac:dyDescent="0.2">
      <c r="A615" s="308">
        <v>422</v>
      </c>
      <c r="B615" s="309" t="s">
        <v>53</v>
      </c>
      <c r="C615" s="310">
        <f t="shared" ref="C615" si="981">SUM(C616:C620)</f>
        <v>660000</v>
      </c>
      <c r="D615" s="311"/>
      <c r="E615" s="311">
        <f t="shared" ref="E615:N615" si="982">SUM(E616:E620)</f>
        <v>0</v>
      </c>
      <c r="F615" s="312">
        <f t="shared" si="982"/>
        <v>1098000</v>
      </c>
      <c r="G615" s="312">
        <f t="shared" si="982"/>
        <v>1446000</v>
      </c>
      <c r="H615" s="312">
        <f t="shared" si="982"/>
        <v>365000</v>
      </c>
      <c r="I615" s="312">
        <f t="shared" si="982"/>
        <v>423000</v>
      </c>
      <c r="J615" s="312">
        <f t="shared" si="982"/>
        <v>323000</v>
      </c>
      <c r="K615" s="312">
        <f t="shared" si="982"/>
        <v>365000</v>
      </c>
      <c r="L615" s="313"/>
      <c r="M615" s="312">
        <f t="shared" si="982"/>
        <v>-733000</v>
      </c>
      <c r="N615" s="312">
        <f t="shared" si="982"/>
        <v>-1023000</v>
      </c>
      <c r="O615" s="312">
        <f t="shared" ref="O615" si="983">SUM(O616:O620)</f>
        <v>0</v>
      </c>
      <c r="P615" s="50"/>
      <c r="Q615" s="50"/>
      <c r="R615" s="50"/>
      <c r="S615" s="50"/>
    </row>
    <row r="616" spans="1:19" s="2" customFormat="1" x14ac:dyDescent="0.2">
      <c r="A616" s="314">
        <v>4221</v>
      </c>
      <c r="B616" s="315" t="s">
        <v>54</v>
      </c>
      <c r="C616" s="290">
        <v>100000</v>
      </c>
      <c r="D616" s="291"/>
      <c r="E616" s="291">
        <v>0</v>
      </c>
      <c r="F616" s="292">
        <v>139000</v>
      </c>
      <c r="G616" s="292">
        <v>139000</v>
      </c>
      <c r="H616" s="292">
        <v>100000</v>
      </c>
      <c r="I616" s="292">
        <v>10000</v>
      </c>
      <c r="J616" s="292">
        <v>10000</v>
      </c>
      <c r="K616" s="105">
        <f t="shared" ref="K616:K620" si="984">H616-E616</f>
        <v>100000</v>
      </c>
      <c r="L616" s="104"/>
      <c r="M616" s="105">
        <f t="shared" ref="M616:N618" si="985">H616-F616</f>
        <v>-39000</v>
      </c>
      <c r="N616" s="105">
        <f t="shared" si="985"/>
        <v>-129000</v>
      </c>
      <c r="O616" s="292"/>
      <c r="P616" s="50"/>
      <c r="Q616" s="50"/>
      <c r="R616" s="50"/>
      <c r="S616" s="50"/>
    </row>
    <row r="617" spans="1:19" s="2" customFormat="1" x14ac:dyDescent="0.2">
      <c r="A617" s="314">
        <v>4222</v>
      </c>
      <c r="B617" s="315" t="s">
        <v>58</v>
      </c>
      <c r="C617" s="290">
        <v>149000</v>
      </c>
      <c r="D617" s="291"/>
      <c r="E617" s="291">
        <v>0</v>
      </c>
      <c r="F617" s="292">
        <v>249000</v>
      </c>
      <c r="G617" s="292">
        <v>498000</v>
      </c>
      <c r="H617" s="292">
        <v>100000</v>
      </c>
      <c r="I617" s="292">
        <v>100000</v>
      </c>
      <c r="J617" s="292">
        <v>100000</v>
      </c>
      <c r="K617" s="105">
        <f t="shared" si="984"/>
        <v>100000</v>
      </c>
      <c r="L617" s="104"/>
      <c r="M617" s="105">
        <f t="shared" si="985"/>
        <v>-149000</v>
      </c>
      <c r="N617" s="105">
        <f t="shared" si="985"/>
        <v>-398000</v>
      </c>
      <c r="O617" s="292"/>
      <c r="P617" s="50"/>
      <c r="Q617" s="50"/>
      <c r="R617" s="50"/>
      <c r="S617" s="50"/>
    </row>
    <row r="618" spans="1:19" s="2" customFormat="1" x14ac:dyDescent="0.2">
      <c r="A618" s="314">
        <v>4223</v>
      </c>
      <c r="B618" s="315" t="s">
        <v>59</v>
      </c>
      <c r="C618" s="290">
        <v>398000</v>
      </c>
      <c r="D618" s="291"/>
      <c r="E618" s="291">
        <v>0</v>
      </c>
      <c r="F618" s="292">
        <v>697000</v>
      </c>
      <c r="G618" s="292">
        <v>796000</v>
      </c>
      <c r="H618" s="292">
        <v>150000</v>
      </c>
      <c r="I618" s="292">
        <v>200000</v>
      </c>
      <c r="J618" s="292"/>
      <c r="K618" s="105">
        <f t="shared" si="984"/>
        <v>150000</v>
      </c>
      <c r="L618" s="104"/>
      <c r="M618" s="105">
        <f t="shared" si="985"/>
        <v>-547000</v>
      </c>
      <c r="N618" s="105">
        <f t="shared" si="985"/>
        <v>-596000</v>
      </c>
      <c r="O618" s="292"/>
      <c r="P618" s="50"/>
      <c r="Q618" s="50"/>
      <c r="R618" s="50"/>
      <c r="S618" s="50"/>
    </row>
    <row r="619" spans="1:19" s="2" customFormat="1" x14ac:dyDescent="0.2">
      <c r="A619" s="316">
        <v>4226</v>
      </c>
      <c r="B619" s="317" t="s">
        <v>400</v>
      </c>
      <c r="C619" s="290"/>
      <c r="D619" s="291"/>
      <c r="E619" s="291">
        <v>0</v>
      </c>
      <c r="F619" s="318"/>
      <c r="G619" s="318"/>
      <c r="H619" s="318"/>
      <c r="I619" s="318">
        <v>13000</v>
      </c>
      <c r="J619" s="318">
        <v>13000</v>
      </c>
      <c r="K619" s="105">
        <f t="shared" ref="K619" si="986">H619-E619</f>
        <v>0</v>
      </c>
      <c r="L619" s="104"/>
      <c r="M619" s="105">
        <f t="shared" ref="M619" si="987">H619-F619</f>
        <v>0</v>
      </c>
      <c r="N619" s="105">
        <f t="shared" ref="N619" si="988">I619-G619</f>
        <v>13000</v>
      </c>
      <c r="O619" s="318"/>
      <c r="P619" s="50"/>
      <c r="Q619" s="50"/>
      <c r="R619" s="50"/>
      <c r="S619" s="50"/>
    </row>
    <row r="620" spans="1:19" s="2" customFormat="1" x14ac:dyDescent="0.2">
      <c r="A620" s="314">
        <v>4227</v>
      </c>
      <c r="B620" s="315" t="s">
        <v>60</v>
      </c>
      <c r="C620" s="290">
        <v>13000</v>
      </c>
      <c r="D620" s="291"/>
      <c r="E620" s="291">
        <v>0</v>
      </c>
      <c r="F620" s="292">
        <v>13000</v>
      </c>
      <c r="G620" s="292">
        <v>13000</v>
      </c>
      <c r="H620" s="292">
        <v>15000</v>
      </c>
      <c r="I620" s="292">
        <f>200000-100000</f>
        <v>100000</v>
      </c>
      <c r="J620" s="292">
        <v>200000</v>
      </c>
      <c r="K620" s="105">
        <f t="shared" si="984"/>
        <v>15000</v>
      </c>
      <c r="L620" s="104"/>
      <c r="M620" s="105">
        <f>H620-F620</f>
        <v>2000</v>
      </c>
      <c r="N620" s="105">
        <f>I620-G620</f>
        <v>87000</v>
      </c>
      <c r="O620" s="292"/>
      <c r="P620" s="50"/>
      <c r="Q620" s="50"/>
      <c r="R620" s="50"/>
      <c r="S620" s="50"/>
    </row>
    <row r="621" spans="1:19" s="2" customFormat="1" x14ac:dyDescent="0.2">
      <c r="A621" s="308">
        <v>423</v>
      </c>
      <c r="B621" s="309" t="s">
        <v>61</v>
      </c>
      <c r="C621" s="310">
        <f>SUM(C622:C623)</f>
        <v>199000</v>
      </c>
      <c r="D621" s="311"/>
      <c r="E621" s="311">
        <f t="shared" ref="E621:N621" si="989">SUM(E622:E623)</f>
        <v>0</v>
      </c>
      <c r="F621" s="311">
        <f t="shared" si="989"/>
        <v>199000</v>
      </c>
      <c r="G621" s="311">
        <f t="shared" si="989"/>
        <v>199000</v>
      </c>
      <c r="H621" s="311">
        <f t="shared" si="989"/>
        <v>200000</v>
      </c>
      <c r="I621" s="311">
        <f t="shared" si="989"/>
        <v>100000</v>
      </c>
      <c r="J621" s="311">
        <f t="shared" si="989"/>
        <v>300000</v>
      </c>
      <c r="K621" s="311">
        <f t="shared" si="989"/>
        <v>200000</v>
      </c>
      <c r="L621" s="311"/>
      <c r="M621" s="311">
        <f t="shared" si="989"/>
        <v>1000</v>
      </c>
      <c r="N621" s="311">
        <f t="shared" si="989"/>
        <v>-99000</v>
      </c>
      <c r="O621" s="311">
        <f t="shared" ref="O621" si="990">SUM(O622,O623)</f>
        <v>0</v>
      </c>
      <c r="P621" s="50"/>
      <c r="Q621" s="50"/>
      <c r="R621" s="50"/>
      <c r="S621" s="50"/>
    </row>
    <row r="622" spans="1:19" s="2" customFormat="1" x14ac:dyDescent="0.2">
      <c r="A622" s="314">
        <v>4231</v>
      </c>
      <c r="B622" s="315" t="s">
        <v>62</v>
      </c>
      <c r="C622" s="290">
        <v>199000</v>
      </c>
      <c r="D622" s="291"/>
      <c r="E622" s="291">
        <v>0</v>
      </c>
      <c r="F622" s="292">
        <v>199000</v>
      </c>
      <c r="G622" s="292">
        <v>199000</v>
      </c>
      <c r="H622" s="292">
        <v>200000</v>
      </c>
      <c r="I622" s="292"/>
      <c r="J622" s="292"/>
      <c r="K622" s="105">
        <f t="shared" ref="K622:K623" si="991">H622-E622</f>
        <v>200000</v>
      </c>
      <c r="L622" s="104"/>
      <c r="M622" s="105">
        <f t="shared" ref="M622:M623" si="992">H622-F622</f>
        <v>1000</v>
      </c>
      <c r="N622" s="105">
        <f>I622-G622</f>
        <v>-199000</v>
      </c>
      <c r="O622" s="292"/>
      <c r="P622" s="50"/>
      <c r="Q622" s="50"/>
      <c r="R622" s="50"/>
      <c r="S622" s="50"/>
    </row>
    <row r="623" spans="1:19" s="2" customFormat="1" x14ac:dyDescent="0.2">
      <c r="A623" s="316">
        <v>4233</v>
      </c>
      <c r="B623" s="317" t="s">
        <v>227</v>
      </c>
      <c r="C623" s="290"/>
      <c r="D623" s="291"/>
      <c r="E623" s="291"/>
      <c r="F623" s="318"/>
      <c r="G623" s="318"/>
      <c r="H623" s="318"/>
      <c r="I623" s="318">
        <v>100000</v>
      </c>
      <c r="J623" s="318">
        <v>300000</v>
      </c>
      <c r="K623" s="105">
        <f t="shared" si="991"/>
        <v>0</v>
      </c>
      <c r="L623" s="104"/>
      <c r="M623" s="105">
        <f t="shared" si="992"/>
        <v>0</v>
      </c>
      <c r="N623" s="105">
        <f>I623-G623</f>
        <v>100000</v>
      </c>
      <c r="O623" s="318"/>
      <c r="P623" s="50"/>
      <c r="Q623" s="50"/>
      <c r="R623" s="50"/>
      <c r="S623" s="50"/>
    </row>
    <row r="624" spans="1:19" x14ac:dyDescent="0.2">
      <c r="A624" s="308">
        <v>426</v>
      </c>
      <c r="B624" s="309" t="s">
        <v>73</v>
      </c>
      <c r="C624" s="162">
        <f t="shared" ref="C624:O624" si="993">SUM(C625)</f>
        <v>299000</v>
      </c>
      <c r="D624" s="163"/>
      <c r="E624" s="163">
        <f t="shared" si="993"/>
        <v>0</v>
      </c>
      <c r="F624" s="298">
        <f t="shared" si="993"/>
        <v>299000</v>
      </c>
      <c r="G624" s="298">
        <f t="shared" si="993"/>
        <v>299000</v>
      </c>
      <c r="H624" s="298">
        <f t="shared" si="993"/>
        <v>500000</v>
      </c>
      <c r="I624" s="298">
        <f t="shared" si="993"/>
        <v>200000</v>
      </c>
      <c r="J624" s="298">
        <f t="shared" si="993"/>
        <v>200000</v>
      </c>
      <c r="K624" s="298">
        <f t="shared" si="993"/>
        <v>500000</v>
      </c>
      <c r="L624" s="165"/>
      <c r="M624" s="298">
        <f t="shared" si="993"/>
        <v>201000</v>
      </c>
      <c r="N624" s="298">
        <f t="shared" si="993"/>
        <v>-99000</v>
      </c>
      <c r="O624" s="298">
        <f t="shared" si="993"/>
        <v>0</v>
      </c>
      <c r="P624" s="35"/>
      <c r="Q624" s="35"/>
      <c r="R624" s="35"/>
      <c r="S624" s="35"/>
    </row>
    <row r="625" spans="1:19" s="4" customFormat="1" x14ac:dyDescent="0.2">
      <c r="A625" s="314">
        <v>4262</v>
      </c>
      <c r="B625" s="315" t="s">
        <v>88</v>
      </c>
      <c r="C625" s="255">
        <v>299000</v>
      </c>
      <c r="D625" s="256"/>
      <c r="E625" s="256">
        <v>0</v>
      </c>
      <c r="F625" s="303">
        <v>299000</v>
      </c>
      <c r="G625" s="303">
        <v>299000</v>
      </c>
      <c r="H625" s="303">
        <v>500000</v>
      </c>
      <c r="I625" s="303">
        <v>200000</v>
      </c>
      <c r="J625" s="303">
        <v>200000</v>
      </c>
      <c r="K625" s="105">
        <f t="shared" ref="K625" si="994">H625-E625</f>
        <v>500000</v>
      </c>
      <c r="L625" s="104"/>
      <c r="M625" s="105">
        <f t="shared" ref="M625" si="995">H625-F625</f>
        <v>201000</v>
      </c>
      <c r="N625" s="105">
        <f>I625-G625</f>
        <v>-99000</v>
      </c>
      <c r="O625" s="303"/>
      <c r="P625" s="35"/>
      <c r="Q625" s="35"/>
      <c r="R625" s="35"/>
      <c r="S625" s="35"/>
    </row>
    <row r="626" spans="1:19" ht="25.5" x14ac:dyDescent="0.2">
      <c r="A626" s="422">
        <v>45</v>
      </c>
      <c r="B626" s="414" t="s">
        <v>336</v>
      </c>
      <c r="C626" s="440">
        <f t="shared" ref="C626:O626" si="996">SUM(C627)</f>
        <v>50000</v>
      </c>
      <c r="D626" s="441"/>
      <c r="E626" s="441">
        <f t="shared" si="996"/>
        <v>0</v>
      </c>
      <c r="F626" s="446">
        <f t="shared" si="996"/>
        <v>185000</v>
      </c>
      <c r="G626" s="446">
        <f t="shared" si="996"/>
        <v>185000</v>
      </c>
      <c r="H626" s="446">
        <f t="shared" si="996"/>
        <v>500000</v>
      </c>
      <c r="I626" s="446">
        <f t="shared" si="996"/>
        <v>200000</v>
      </c>
      <c r="J626" s="446">
        <f t="shared" si="996"/>
        <v>800000</v>
      </c>
      <c r="K626" s="319">
        <f t="shared" si="996"/>
        <v>500000</v>
      </c>
      <c r="L626" s="295"/>
      <c r="M626" s="319">
        <f t="shared" si="996"/>
        <v>315000</v>
      </c>
      <c r="N626" s="319">
        <f t="shared" si="996"/>
        <v>15000</v>
      </c>
      <c r="O626" s="319">
        <f t="shared" si="996"/>
        <v>0</v>
      </c>
      <c r="P626" s="35"/>
      <c r="Q626" s="35"/>
      <c r="R626" s="35"/>
      <c r="S626" s="35"/>
    </row>
    <row r="627" spans="1:19" x14ac:dyDescent="0.2">
      <c r="A627" s="308">
        <v>451</v>
      </c>
      <c r="B627" s="309" t="s">
        <v>55</v>
      </c>
      <c r="C627" s="162">
        <f t="shared" ref="C627:O627" si="997">SUM(C628)</f>
        <v>50000</v>
      </c>
      <c r="D627" s="163"/>
      <c r="E627" s="163">
        <f t="shared" si="997"/>
        <v>0</v>
      </c>
      <c r="F627" s="298">
        <f t="shared" si="997"/>
        <v>185000</v>
      </c>
      <c r="G627" s="298">
        <f t="shared" si="997"/>
        <v>185000</v>
      </c>
      <c r="H627" s="298">
        <f t="shared" si="997"/>
        <v>500000</v>
      </c>
      <c r="I627" s="298">
        <f t="shared" si="997"/>
        <v>200000</v>
      </c>
      <c r="J627" s="298">
        <f t="shared" si="997"/>
        <v>800000</v>
      </c>
      <c r="K627" s="298">
        <f t="shared" si="997"/>
        <v>500000</v>
      </c>
      <c r="L627" s="165"/>
      <c r="M627" s="298">
        <f t="shared" si="997"/>
        <v>315000</v>
      </c>
      <c r="N627" s="298">
        <f t="shared" si="997"/>
        <v>15000</v>
      </c>
      <c r="O627" s="298">
        <f t="shared" si="997"/>
        <v>0</v>
      </c>
      <c r="P627" s="35"/>
      <c r="Q627" s="35"/>
      <c r="R627" s="35"/>
      <c r="S627" s="35"/>
    </row>
    <row r="628" spans="1:19" s="4" customFormat="1" x14ac:dyDescent="0.2">
      <c r="A628" s="314">
        <v>4511</v>
      </c>
      <c r="B628" s="315" t="s">
        <v>55</v>
      </c>
      <c r="C628" s="255">
        <v>50000</v>
      </c>
      <c r="D628" s="256"/>
      <c r="E628" s="256">
        <v>0</v>
      </c>
      <c r="F628" s="279">
        <v>185000</v>
      </c>
      <c r="G628" s="279">
        <v>185000</v>
      </c>
      <c r="H628" s="279">
        <v>500000</v>
      </c>
      <c r="I628" s="279">
        <f>800000-600000</f>
        <v>200000</v>
      </c>
      <c r="J628" s="279">
        <v>800000</v>
      </c>
      <c r="K628" s="105">
        <f t="shared" ref="K628" si="998">H628-E628</f>
        <v>500000</v>
      </c>
      <c r="L628" s="104"/>
      <c r="M628" s="105">
        <f>H628-F628</f>
        <v>315000</v>
      </c>
      <c r="N628" s="105">
        <f>I628-G628</f>
        <v>15000</v>
      </c>
      <c r="O628" s="279"/>
      <c r="P628" s="35"/>
      <c r="Q628" s="35"/>
      <c r="R628" s="35"/>
      <c r="S628" s="35"/>
    </row>
    <row r="629" spans="1:19" ht="27.75" customHeight="1" x14ac:dyDescent="0.2">
      <c r="A629" s="223" t="s">
        <v>348</v>
      </c>
      <c r="B629" s="224" t="s">
        <v>401</v>
      </c>
      <c r="C629" s="225">
        <f t="shared" ref="C629:O629" si="999">C630</f>
        <v>7685000</v>
      </c>
      <c r="D629" s="226"/>
      <c r="E629" s="226">
        <f t="shared" si="999"/>
        <v>7761900</v>
      </c>
      <c r="F629" s="227">
        <f t="shared" si="999"/>
        <v>7685000</v>
      </c>
      <c r="G629" s="227">
        <f t="shared" si="999"/>
        <v>7685000</v>
      </c>
      <c r="H629" s="227">
        <f t="shared" si="999"/>
        <v>14000000</v>
      </c>
      <c r="I629" s="227">
        <f t="shared" si="999"/>
        <v>16260000</v>
      </c>
      <c r="J629" s="227">
        <f t="shared" si="999"/>
        <v>3000000</v>
      </c>
      <c r="K629" s="227">
        <f t="shared" si="999"/>
        <v>6238100</v>
      </c>
      <c r="L629" s="228"/>
      <c r="M629" s="227">
        <f t="shared" si="999"/>
        <v>6315000</v>
      </c>
      <c r="N629" s="227">
        <f t="shared" si="999"/>
        <v>8575000</v>
      </c>
      <c r="O629" s="227">
        <f t="shared" si="999"/>
        <v>0</v>
      </c>
      <c r="P629" s="35"/>
      <c r="Q629" s="35"/>
      <c r="R629" s="35"/>
      <c r="S629" s="35"/>
    </row>
    <row r="630" spans="1:19" x14ac:dyDescent="0.2">
      <c r="A630" s="701" t="s">
        <v>77</v>
      </c>
      <c r="B630" s="702"/>
      <c r="C630" s="229">
        <f>SUM(C631)</f>
        <v>7685000</v>
      </c>
      <c r="D630" s="230"/>
      <c r="E630" s="230">
        <f t="shared" ref="E630:O630" si="1000">SUM(E631)</f>
        <v>7761900</v>
      </c>
      <c r="F630" s="231">
        <f t="shared" si="1000"/>
        <v>7685000</v>
      </c>
      <c r="G630" s="231">
        <f t="shared" si="1000"/>
        <v>7685000</v>
      </c>
      <c r="H630" s="231">
        <f t="shared" si="1000"/>
        <v>14000000</v>
      </c>
      <c r="I630" s="231">
        <f t="shared" si="1000"/>
        <v>16260000</v>
      </c>
      <c r="J630" s="231">
        <f t="shared" si="1000"/>
        <v>3000000</v>
      </c>
      <c r="K630" s="240">
        <f t="shared" si="1000"/>
        <v>6238100</v>
      </c>
      <c r="L630" s="241"/>
      <c r="M630" s="240">
        <f t="shared" si="1000"/>
        <v>6315000</v>
      </c>
      <c r="N630" s="240">
        <f t="shared" si="1000"/>
        <v>8575000</v>
      </c>
      <c r="O630" s="240">
        <f t="shared" si="1000"/>
        <v>0</v>
      </c>
      <c r="P630" s="35"/>
      <c r="Q630" s="35"/>
      <c r="R630" s="35"/>
      <c r="S630" s="35"/>
    </row>
    <row r="631" spans="1:19" x14ac:dyDescent="0.2">
      <c r="A631" s="438">
        <v>32</v>
      </c>
      <c r="B631" s="439" t="s">
        <v>325</v>
      </c>
      <c r="C631" s="440">
        <f>SUM(C632)</f>
        <v>7685000</v>
      </c>
      <c r="D631" s="441"/>
      <c r="E631" s="441">
        <f t="shared" ref="E631:O631" si="1001">SUM(E632)</f>
        <v>7761900</v>
      </c>
      <c r="F631" s="442">
        <f t="shared" si="1001"/>
        <v>7685000</v>
      </c>
      <c r="G631" s="442">
        <f t="shared" si="1001"/>
        <v>7685000</v>
      </c>
      <c r="H631" s="442">
        <f t="shared" si="1001"/>
        <v>14000000</v>
      </c>
      <c r="I631" s="442">
        <f t="shared" si="1001"/>
        <v>16260000</v>
      </c>
      <c r="J631" s="442">
        <f t="shared" si="1001"/>
        <v>3000000</v>
      </c>
      <c r="K631" s="294">
        <f t="shared" si="1001"/>
        <v>6238100</v>
      </c>
      <c r="L631" s="295"/>
      <c r="M631" s="294">
        <f t="shared" si="1001"/>
        <v>6315000</v>
      </c>
      <c r="N631" s="294">
        <f t="shared" si="1001"/>
        <v>8575000</v>
      </c>
      <c r="O631" s="294">
        <f t="shared" si="1001"/>
        <v>0</v>
      </c>
      <c r="P631" s="35"/>
      <c r="Q631" s="35"/>
      <c r="R631" s="35"/>
      <c r="S631" s="35"/>
    </row>
    <row r="632" spans="1:19" x14ac:dyDescent="0.2">
      <c r="A632" s="160" t="s">
        <v>159</v>
      </c>
      <c r="B632" s="161" t="s">
        <v>123</v>
      </c>
      <c r="C632" s="162">
        <f>SUM(C633)</f>
        <v>7685000</v>
      </c>
      <c r="D632" s="163"/>
      <c r="E632" s="163">
        <f>SUM(E633)</f>
        <v>7761900</v>
      </c>
      <c r="F632" s="164">
        <f t="shared" ref="F632:O632" si="1002">SUM(F633)</f>
        <v>7685000</v>
      </c>
      <c r="G632" s="164">
        <f t="shared" si="1002"/>
        <v>7685000</v>
      </c>
      <c r="H632" s="164">
        <f t="shared" si="1002"/>
        <v>14000000</v>
      </c>
      <c r="I632" s="164">
        <f t="shared" si="1002"/>
        <v>16260000</v>
      </c>
      <c r="J632" s="164">
        <f t="shared" si="1002"/>
        <v>3000000</v>
      </c>
      <c r="K632" s="164">
        <f t="shared" si="1002"/>
        <v>6238100</v>
      </c>
      <c r="L632" s="165"/>
      <c r="M632" s="164">
        <f t="shared" si="1002"/>
        <v>6315000</v>
      </c>
      <c r="N632" s="164">
        <f t="shared" si="1002"/>
        <v>8575000</v>
      </c>
      <c r="O632" s="164">
        <f t="shared" si="1002"/>
        <v>0</v>
      </c>
      <c r="P632" s="35"/>
      <c r="Q632" s="35"/>
      <c r="R632" s="35"/>
      <c r="S632" s="35"/>
    </row>
    <row r="633" spans="1:19" x14ac:dyDescent="0.2">
      <c r="A633" s="179">
        <v>3239</v>
      </c>
      <c r="B633" s="180" t="s">
        <v>31</v>
      </c>
      <c r="C633" s="169">
        <v>7685000</v>
      </c>
      <c r="D633" s="170"/>
      <c r="E633" s="170">
        <v>7761900</v>
      </c>
      <c r="F633" s="304">
        <v>7685000</v>
      </c>
      <c r="G633" s="304">
        <v>7685000</v>
      </c>
      <c r="H633" s="478">
        <v>14000000</v>
      </c>
      <c r="I633" s="304">
        <v>16260000</v>
      </c>
      <c r="J633" s="304">
        <v>3000000</v>
      </c>
      <c r="K633" s="105">
        <f t="shared" ref="K633" si="1003">H633-E633</f>
        <v>6238100</v>
      </c>
      <c r="L633" s="104"/>
      <c r="M633" s="105">
        <f>H633-F633</f>
        <v>6315000</v>
      </c>
      <c r="N633" s="105">
        <f>I633-G633</f>
        <v>8575000</v>
      </c>
      <c r="O633" s="304"/>
      <c r="P633" s="35"/>
      <c r="Q633" s="35"/>
      <c r="R633" s="35"/>
      <c r="S633" s="35"/>
    </row>
    <row r="634" spans="1:19" ht="25.5" x14ac:dyDescent="0.2">
      <c r="A634" s="223" t="s">
        <v>357</v>
      </c>
      <c r="B634" s="224" t="s">
        <v>359</v>
      </c>
      <c r="C634" s="225">
        <f t="shared" ref="C634:O634" si="1004">C635</f>
        <v>1976000</v>
      </c>
      <c r="D634" s="226"/>
      <c r="E634" s="226">
        <f t="shared" si="1004"/>
        <v>236600</v>
      </c>
      <c r="F634" s="227">
        <f t="shared" si="1004"/>
        <v>5000</v>
      </c>
      <c r="G634" s="227">
        <f t="shared" si="1004"/>
        <v>5000</v>
      </c>
      <c r="H634" s="227">
        <f t="shared" si="1004"/>
        <v>1517000</v>
      </c>
      <c r="I634" s="227">
        <f t="shared" si="1004"/>
        <v>1000</v>
      </c>
      <c r="J634" s="227">
        <f t="shared" si="1004"/>
        <v>1000</v>
      </c>
      <c r="K634" s="227">
        <f t="shared" si="1004"/>
        <v>1280400</v>
      </c>
      <c r="L634" s="228"/>
      <c r="M634" s="227">
        <f t="shared" si="1004"/>
        <v>1512000</v>
      </c>
      <c r="N634" s="227">
        <f t="shared" si="1004"/>
        <v>-4000</v>
      </c>
      <c r="O634" s="227">
        <f t="shared" si="1004"/>
        <v>0</v>
      </c>
      <c r="P634" s="35"/>
      <c r="Q634" s="35"/>
      <c r="R634" s="35"/>
      <c r="S634" s="35"/>
    </row>
    <row r="635" spans="1:19" ht="18" customHeight="1" x14ac:dyDescent="0.2">
      <c r="A635" s="701" t="s">
        <v>77</v>
      </c>
      <c r="B635" s="702"/>
      <c r="C635" s="229">
        <f>SUM(C636,C644,C648)</f>
        <v>1976000</v>
      </c>
      <c r="D635" s="230"/>
      <c r="E635" s="230">
        <f t="shared" ref="E635:O635" si="1005">SUM(E636,E644,E648)</f>
        <v>236600</v>
      </c>
      <c r="F635" s="231">
        <f t="shared" si="1005"/>
        <v>5000</v>
      </c>
      <c r="G635" s="231">
        <f t="shared" si="1005"/>
        <v>5000</v>
      </c>
      <c r="H635" s="231">
        <f t="shared" si="1005"/>
        <v>1517000</v>
      </c>
      <c r="I635" s="231">
        <f t="shared" si="1005"/>
        <v>1000</v>
      </c>
      <c r="J635" s="231">
        <f t="shared" si="1005"/>
        <v>1000</v>
      </c>
      <c r="K635" s="240">
        <f t="shared" si="1005"/>
        <v>1280400</v>
      </c>
      <c r="L635" s="241"/>
      <c r="M635" s="240">
        <f t="shared" si="1005"/>
        <v>1512000</v>
      </c>
      <c r="N635" s="240">
        <f t="shared" si="1005"/>
        <v>-4000</v>
      </c>
      <c r="O635" s="240">
        <f t="shared" si="1005"/>
        <v>0</v>
      </c>
      <c r="P635" s="35"/>
      <c r="Q635" s="35"/>
      <c r="R635" s="35"/>
      <c r="S635" s="35"/>
    </row>
    <row r="636" spans="1:19" ht="18" customHeight="1" x14ac:dyDescent="0.2">
      <c r="A636" s="438">
        <v>32</v>
      </c>
      <c r="B636" s="439" t="s">
        <v>325</v>
      </c>
      <c r="C636" s="440">
        <f>SUM(C637,C640,C642)</f>
        <v>1740000</v>
      </c>
      <c r="D636" s="441"/>
      <c r="E636" s="441">
        <f t="shared" ref="E636:O636" si="1006">SUM(E637,E640,E642)</f>
        <v>0</v>
      </c>
      <c r="F636" s="442">
        <f t="shared" si="1006"/>
        <v>5000</v>
      </c>
      <c r="G636" s="442">
        <f t="shared" si="1006"/>
        <v>5000</v>
      </c>
      <c r="H636" s="442">
        <f t="shared" si="1006"/>
        <v>1501000</v>
      </c>
      <c r="I636" s="442">
        <f t="shared" si="1006"/>
        <v>1000</v>
      </c>
      <c r="J636" s="442">
        <f t="shared" si="1006"/>
        <v>1000</v>
      </c>
      <c r="K636" s="294">
        <f t="shared" si="1006"/>
        <v>1501000</v>
      </c>
      <c r="L636" s="295"/>
      <c r="M636" s="294">
        <f t="shared" si="1006"/>
        <v>1496000</v>
      </c>
      <c r="N636" s="294">
        <f t="shared" si="1006"/>
        <v>-4000</v>
      </c>
      <c r="O636" s="294">
        <f t="shared" si="1006"/>
        <v>0</v>
      </c>
      <c r="P636" s="35"/>
      <c r="Q636" s="35"/>
      <c r="R636" s="35"/>
      <c r="S636" s="35"/>
    </row>
    <row r="637" spans="1:19" x14ac:dyDescent="0.2">
      <c r="A637" s="160" t="s">
        <v>153</v>
      </c>
      <c r="B637" s="161" t="s">
        <v>16</v>
      </c>
      <c r="C637" s="162">
        <f>SUM(C638:C639)</f>
        <v>1735000</v>
      </c>
      <c r="D637" s="163"/>
      <c r="E637" s="163">
        <f t="shared" ref="E637:O637" si="1007">SUM(E638:E639)</f>
        <v>0</v>
      </c>
      <c r="F637" s="298">
        <f t="shared" si="1007"/>
        <v>0</v>
      </c>
      <c r="G637" s="298">
        <f t="shared" si="1007"/>
        <v>0</v>
      </c>
      <c r="H637" s="298">
        <f t="shared" si="1007"/>
        <v>1500000</v>
      </c>
      <c r="I637" s="298">
        <f t="shared" si="1007"/>
        <v>0</v>
      </c>
      <c r="J637" s="298">
        <f t="shared" si="1007"/>
        <v>0</v>
      </c>
      <c r="K637" s="298">
        <f t="shared" si="1007"/>
        <v>1500000</v>
      </c>
      <c r="L637" s="165"/>
      <c r="M637" s="298">
        <f t="shared" si="1007"/>
        <v>1500000</v>
      </c>
      <c r="N637" s="298">
        <f t="shared" si="1007"/>
        <v>0</v>
      </c>
      <c r="O637" s="298">
        <f t="shared" si="1007"/>
        <v>0</v>
      </c>
      <c r="P637" s="35"/>
      <c r="Q637" s="35"/>
      <c r="R637" s="35"/>
      <c r="S637" s="35"/>
    </row>
    <row r="638" spans="1:19" x14ac:dyDescent="0.2">
      <c r="A638" s="179">
        <v>3221</v>
      </c>
      <c r="B638" s="180" t="s">
        <v>17</v>
      </c>
      <c r="C638" s="255">
        <v>1735000</v>
      </c>
      <c r="D638" s="256"/>
      <c r="E638" s="256">
        <v>0</v>
      </c>
      <c r="F638" s="279"/>
      <c r="G638" s="279"/>
      <c r="H638" s="279">
        <v>1500000</v>
      </c>
      <c r="I638" s="279"/>
      <c r="J638" s="279"/>
      <c r="K638" s="105">
        <f t="shared" ref="K638:K639" si="1008">H638-E638</f>
        <v>1500000</v>
      </c>
      <c r="L638" s="104"/>
      <c r="M638" s="105">
        <f>H638-F638</f>
        <v>1500000</v>
      </c>
      <c r="N638" s="105">
        <f>I638-G638</f>
        <v>0</v>
      </c>
      <c r="O638" s="279"/>
      <c r="P638" s="35"/>
      <c r="Q638" s="35"/>
      <c r="R638" s="35"/>
      <c r="S638" s="35"/>
    </row>
    <row r="639" spans="1:19" x14ac:dyDescent="0.2">
      <c r="A639" s="266">
        <v>3222</v>
      </c>
      <c r="B639" s="267" t="s">
        <v>18</v>
      </c>
      <c r="C639" s="255"/>
      <c r="D639" s="256"/>
      <c r="E639" s="256">
        <v>0</v>
      </c>
      <c r="F639" s="258"/>
      <c r="G639" s="258"/>
      <c r="H639" s="258"/>
      <c r="I639" s="258"/>
      <c r="J639" s="258"/>
      <c r="K639" s="105">
        <f t="shared" si="1008"/>
        <v>0</v>
      </c>
      <c r="L639" s="104"/>
      <c r="M639" s="105">
        <f>H639-F639</f>
        <v>0</v>
      </c>
      <c r="N639" s="105">
        <f>I639-G639</f>
        <v>0</v>
      </c>
      <c r="O639" s="258"/>
      <c r="P639" s="35"/>
      <c r="Q639" s="35"/>
      <c r="R639" s="35"/>
      <c r="S639" s="35"/>
    </row>
    <row r="640" spans="1:19" x14ac:dyDescent="0.2">
      <c r="A640" s="243">
        <v>323</v>
      </c>
      <c r="B640" s="244" t="s">
        <v>123</v>
      </c>
      <c r="C640" s="162">
        <f>SUM(C641)</f>
        <v>4000</v>
      </c>
      <c r="D640" s="163"/>
      <c r="E640" s="163">
        <f>SUM(E641)</f>
        <v>0</v>
      </c>
      <c r="F640" s="298">
        <f t="shared" ref="F640:O640" si="1009">SUM(F641)</f>
        <v>4000</v>
      </c>
      <c r="G640" s="298">
        <f t="shared" si="1009"/>
        <v>4000</v>
      </c>
      <c r="H640" s="298">
        <f t="shared" si="1009"/>
        <v>0</v>
      </c>
      <c r="I640" s="298">
        <f t="shared" si="1009"/>
        <v>0</v>
      </c>
      <c r="J640" s="298">
        <f t="shared" si="1009"/>
        <v>0</v>
      </c>
      <c r="K640" s="298">
        <f t="shared" si="1009"/>
        <v>0</v>
      </c>
      <c r="L640" s="165"/>
      <c r="M640" s="298">
        <f t="shared" si="1009"/>
        <v>-4000</v>
      </c>
      <c r="N640" s="298">
        <f t="shared" si="1009"/>
        <v>-4000</v>
      </c>
      <c r="O640" s="298">
        <f t="shared" si="1009"/>
        <v>0</v>
      </c>
      <c r="P640" s="35"/>
      <c r="Q640" s="35"/>
      <c r="R640" s="35"/>
      <c r="S640" s="35"/>
    </row>
    <row r="641" spans="1:19" x14ac:dyDescent="0.2">
      <c r="A641" s="179">
        <v>3237</v>
      </c>
      <c r="B641" s="180" t="s">
        <v>30</v>
      </c>
      <c r="C641" s="255">
        <v>4000</v>
      </c>
      <c r="D641" s="256"/>
      <c r="E641" s="256">
        <v>0</v>
      </c>
      <c r="F641" s="279">
        <v>4000</v>
      </c>
      <c r="G641" s="279">
        <v>4000</v>
      </c>
      <c r="H641" s="279"/>
      <c r="I641" s="279"/>
      <c r="J641" s="279"/>
      <c r="K641" s="105">
        <f t="shared" ref="K641" si="1010">H641-E641</f>
        <v>0</v>
      </c>
      <c r="L641" s="104"/>
      <c r="M641" s="105">
        <f t="shared" ref="M641" si="1011">H641-F641</f>
        <v>-4000</v>
      </c>
      <c r="N641" s="105">
        <f>I641-G641</f>
        <v>-4000</v>
      </c>
      <c r="O641" s="279"/>
      <c r="P641" s="35"/>
      <c r="Q641" s="35"/>
      <c r="R641" s="35"/>
      <c r="S641" s="35"/>
    </row>
    <row r="642" spans="1:19" x14ac:dyDescent="0.2">
      <c r="A642" s="243">
        <v>329</v>
      </c>
      <c r="B642" s="244" t="s">
        <v>33</v>
      </c>
      <c r="C642" s="162">
        <f>SUM(C643)</f>
        <v>1000</v>
      </c>
      <c r="D642" s="163"/>
      <c r="E642" s="163">
        <f>SUM(E643)</f>
        <v>0</v>
      </c>
      <c r="F642" s="298">
        <f t="shared" ref="F642:O642" si="1012">SUM(F643)</f>
        <v>1000</v>
      </c>
      <c r="G642" s="298">
        <f t="shared" si="1012"/>
        <v>1000</v>
      </c>
      <c r="H642" s="298">
        <f t="shared" si="1012"/>
        <v>1000</v>
      </c>
      <c r="I642" s="298">
        <f t="shared" si="1012"/>
        <v>1000</v>
      </c>
      <c r="J642" s="298">
        <f t="shared" si="1012"/>
        <v>1000</v>
      </c>
      <c r="K642" s="298">
        <f t="shared" si="1012"/>
        <v>1000</v>
      </c>
      <c r="L642" s="165"/>
      <c r="M642" s="298">
        <f t="shared" si="1012"/>
        <v>0</v>
      </c>
      <c r="N642" s="298">
        <f t="shared" si="1012"/>
        <v>0</v>
      </c>
      <c r="O642" s="298">
        <f t="shared" si="1012"/>
        <v>0</v>
      </c>
      <c r="P642" s="35"/>
      <c r="Q642" s="35"/>
      <c r="R642" s="35"/>
      <c r="S642" s="35"/>
    </row>
    <row r="643" spans="1:19" x14ac:dyDescent="0.2">
      <c r="A643" s="179">
        <v>3292</v>
      </c>
      <c r="B643" s="180" t="s">
        <v>361</v>
      </c>
      <c r="C643" s="255">
        <v>1000</v>
      </c>
      <c r="D643" s="256"/>
      <c r="E643" s="256">
        <v>0</v>
      </c>
      <c r="F643" s="279">
        <v>1000</v>
      </c>
      <c r="G643" s="279">
        <v>1000</v>
      </c>
      <c r="H643" s="279">
        <v>1000</v>
      </c>
      <c r="I643" s="279">
        <v>1000</v>
      </c>
      <c r="J643" s="279">
        <v>1000</v>
      </c>
      <c r="K643" s="105">
        <f t="shared" ref="K643" si="1013">H643-E643</f>
        <v>1000</v>
      </c>
      <c r="L643" s="104"/>
      <c r="M643" s="105">
        <f t="shared" ref="M643" si="1014">H643-F643</f>
        <v>0</v>
      </c>
      <c r="N643" s="105">
        <f>I643-G643</f>
        <v>0</v>
      </c>
      <c r="O643" s="279"/>
      <c r="P643" s="35"/>
      <c r="Q643" s="35"/>
      <c r="R643" s="35"/>
      <c r="S643" s="35"/>
    </row>
    <row r="644" spans="1:19" ht="25.5" x14ac:dyDescent="0.2">
      <c r="A644" s="447" t="s">
        <v>330</v>
      </c>
      <c r="B644" s="448" t="s">
        <v>331</v>
      </c>
      <c r="C644" s="440">
        <f>SUM(C645)</f>
        <v>0</v>
      </c>
      <c r="D644" s="441"/>
      <c r="E644" s="441">
        <f t="shared" ref="E644:O644" si="1015">SUM(E645)</f>
        <v>16600</v>
      </c>
      <c r="F644" s="442">
        <f t="shared" si="1015"/>
        <v>0</v>
      </c>
      <c r="G644" s="442">
        <f t="shared" si="1015"/>
        <v>0</v>
      </c>
      <c r="H644" s="442">
        <f t="shared" si="1015"/>
        <v>16000</v>
      </c>
      <c r="I644" s="442">
        <f t="shared" si="1015"/>
        <v>0</v>
      </c>
      <c r="J644" s="442">
        <f t="shared" si="1015"/>
        <v>0</v>
      </c>
      <c r="K644" s="294">
        <f t="shared" si="1015"/>
        <v>-600</v>
      </c>
      <c r="L644" s="295"/>
      <c r="M644" s="294">
        <f t="shared" si="1015"/>
        <v>16000</v>
      </c>
      <c r="N644" s="294">
        <f t="shared" si="1015"/>
        <v>0</v>
      </c>
      <c r="O644" s="294">
        <f t="shared" si="1015"/>
        <v>0</v>
      </c>
      <c r="P644" s="35"/>
      <c r="Q644" s="35"/>
      <c r="R644" s="35"/>
      <c r="S644" s="35"/>
    </row>
    <row r="645" spans="1:19" x14ac:dyDescent="0.2">
      <c r="A645" s="320">
        <v>422</v>
      </c>
      <c r="B645" s="321" t="s">
        <v>364</v>
      </c>
      <c r="C645" s="162">
        <f>SUM(C646:C647)</f>
        <v>0</v>
      </c>
      <c r="D645" s="163"/>
      <c r="E645" s="163">
        <f t="shared" ref="E645:O645" si="1016">SUM(E646:E647)</f>
        <v>16600</v>
      </c>
      <c r="F645" s="165">
        <f t="shared" si="1016"/>
        <v>0</v>
      </c>
      <c r="G645" s="165">
        <f t="shared" si="1016"/>
        <v>0</v>
      </c>
      <c r="H645" s="165">
        <f t="shared" si="1016"/>
        <v>16000</v>
      </c>
      <c r="I645" s="165">
        <f t="shared" si="1016"/>
        <v>0</v>
      </c>
      <c r="J645" s="165">
        <f t="shared" si="1016"/>
        <v>0</v>
      </c>
      <c r="K645" s="165">
        <f t="shared" si="1016"/>
        <v>-600</v>
      </c>
      <c r="L645" s="165"/>
      <c r="M645" s="165">
        <f t="shared" si="1016"/>
        <v>16000</v>
      </c>
      <c r="N645" s="165">
        <f t="shared" si="1016"/>
        <v>0</v>
      </c>
      <c r="O645" s="165">
        <f t="shared" si="1016"/>
        <v>0</v>
      </c>
      <c r="P645" s="35"/>
      <c r="Q645" s="35"/>
      <c r="R645" s="35"/>
      <c r="S645" s="35"/>
    </row>
    <row r="646" spans="1:19" x14ac:dyDescent="0.2">
      <c r="A646" s="316">
        <v>4221</v>
      </c>
      <c r="B646" s="317" t="s">
        <v>54</v>
      </c>
      <c r="C646" s="255"/>
      <c r="D646" s="256"/>
      <c r="E646" s="256">
        <v>12400</v>
      </c>
      <c r="F646" s="258"/>
      <c r="G646" s="258"/>
      <c r="H646" s="258">
        <v>12000</v>
      </c>
      <c r="I646" s="258"/>
      <c r="J646" s="258"/>
      <c r="K646" s="105">
        <f t="shared" ref="K646:K647" si="1017">H646-E646</f>
        <v>-400</v>
      </c>
      <c r="L646" s="104"/>
      <c r="M646" s="105">
        <f>H646-F646</f>
        <v>12000</v>
      </c>
      <c r="N646" s="105">
        <f>I646-G646</f>
        <v>0</v>
      </c>
      <c r="O646" s="258"/>
      <c r="P646" s="35"/>
      <c r="Q646" s="35"/>
      <c r="R646" s="35"/>
      <c r="S646" s="35"/>
    </row>
    <row r="647" spans="1:19" x14ac:dyDescent="0.2">
      <c r="A647" s="316">
        <v>4227</v>
      </c>
      <c r="B647" s="317" t="s">
        <v>60</v>
      </c>
      <c r="C647" s="255"/>
      <c r="D647" s="256"/>
      <c r="E647" s="256">
        <v>4200</v>
      </c>
      <c r="F647" s="258"/>
      <c r="G647" s="258"/>
      <c r="H647" s="258">
        <v>4000</v>
      </c>
      <c r="I647" s="258"/>
      <c r="J647" s="258"/>
      <c r="K647" s="105">
        <f t="shared" si="1017"/>
        <v>-200</v>
      </c>
      <c r="L647" s="104"/>
      <c r="M647" s="105">
        <f>H647-F647</f>
        <v>4000</v>
      </c>
      <c r="N647" s="105">
        <f>I647-G647</f>
        <v>0</v>
      </c>
      <c r="O647" s="258"/>
      <c r="P647" s="35"/>
      <c r="Q647" s="35"/>
      <c r="R647" s="35"/>
      <c r="S647" s="35"/>
    </row>
    <row r="648" spans="1:19" ht="25.5" x14ac:dyDescent="0.2">
      <c r="A648" s="422">
        <v>45</v>
      </c>
      <c r="B648" s="414" t="s">
        <v>336</v>
      </c>
      <c r="C648" s="440">
        <f>SUM(C649)</f>
        <v>236000</v>
      </c>
      <c r="D648" s="441"/>
      <c r="E648" s="441">
        <f t="shared" ref="E648:O648" si="1018">SUM(E649)</f>
        <v>220000</v>
      </c>
      <c r="F648" s="446">
        <f t="shared" si="1018"/>
        <v>0</v>
      </c>
      <c r="G648" s="446">
        <f t="shared" si="1018"/>
        <v>0</v>
      </c>
      <c r="H648" s="446">
        <f t="shared" si="1018"/>
        <v>0</v>
      </c>
      <c r="I648" s="446">
        <f t="shared" si="1018"/>
        <v>0</v>
      </c>
      <c r="J648" s="446">
        <f t="shared" si="1018"/>
        <v>0</v>
      </c>
      <c r="K648" s="319">
        <f t="shared" si="1018"/>
        <v>-220000</v>
      </c>
      <c r="L648" s="295"/>
      <c r="M648" s="319">
        <f t="shared" si="1018"/>
        <v>0</v>
      </c>
      <c r="N648" s="319">
        <f t="shared" si="1018"/>
        <v>0</v>
      </c>
      <c r="O648" s="319">
        <f t="shared" si="1018"/>
        <v>0</v>
      </c>
      <c r="P648" s="35"/>
      <c r="Q648" s="35"/>
      <c r="R648" s="35"/>
      <c r="S648" s="35"/>
    </row>
    <row r="649" spans="1:19" x14ac:dyDescent="0.2">
      <c r="A649" s="243">
        <v>451</v>
      </c>
      <c r="B649" s="244" t="s">
        <v>55</v>
      </c>
      <c r="C649" s="162">
        <f>C650</f>
        <v>236000</v>
      </c>
      <c r="D649" s="163"/>
      <c r="E649" s="163">
        <f>E650</f>
        <v>220000</v>
      </c>
      <c r="F649" s="298">
        <f t="shared" ref="F649:O649" si="1019">F650</f>
        <v>0</v>
      </c>
      <c r="G649" s="298">
        <f t="shared" si="1019"/>
        <v>0</v>
      </c>
      <c r="H649" s="298">
        <f t="shared" si="1019"/>
        <v>0</v>
      </c>
      <c r="I649" s="298">
        <f t="shared" si="1019"/>
        <v>0</v>
      </c>
      <c r="J649" s="298">
        <f t="shared" si="1019"/>
        <v>0</v>
      </c>
      <c r="K649" s="298">
        <f t="shared" si="1019"/>
        <v>-220000</v>
      </c>
      <c r="L649" s="165"/>
      <c r="M649" s="298">
        <f t="shared" si="1019"/>
        <v>0</v>
      </c>
      <c r="N649" s="298">
        <f t="shared" si="1019"/>
        <v>0</v>
      </c>
      <c r="O649" s="298">
        <f t="shared" si="1019"/>
        <v>0</v>
      </c>
      <c r="P649" s="35"/>
      <c r="Q649" s="35"/>
      <c r="R649" s="35"/>
      <c r="S649" s="35"/>
    </row>
    <row r="650" spans="1:19" x14ac:dyDescent="0.2">
      <c r="A650" s="179">
        <v>4511</v>
      </c>
      <c r="B650" s="180" t="s">
        <v>55</v>
      </c>
      <c r="C650" s="255">
        <v>236000</v>
      </c>
      <c r="D650" s="256"/>
      <c r="E650" s="256">
        <v>220000</v>
      </c>
      <c r="F650" s="279"/>
      <c r="G650" s="279"/>
      <c r="H650" s="279"/>
      <c r="I650" s="279"/>
      <c r="J650" s="279"/>
      <c r="K650" s="105">
        <f t="shared" ref="K650" si="1020">H650-E650</f>
        <v>-220000</v>
      </c>
      <c r="L650" s="104"/>
      <c r="M650" s="105">
        <f>H650-F650</f>
        <v>0</v>
      </c>
      <c r="N650" s="105">
        <f>I650-G650</f>
        <v>0</v>
      </c>
      <c r="O650" s="279"/>
      <c r="P650" s="35"/>
      <c r="Q650" s="35"/>
      <c r="R650" s="35"/>
      <c r="S650" s="35"/>
    </row>
    <row r="651" spans="1:19" ht="25.5" x14ac:dyDescent="0.2">
      <c r="A651" s="223" t="s">
        <v>358</v>
      </c>
      <c r="B651" s="224" t="s">
        <v>360</v>
      </c>
      <c r="C651" s="225">
        <f t="shared" ref="C651:O651" si="1021">C652</f>
        <v>757000</v>
      </c>
      <c r="D651" s="226"/>
      <c r="E651" s="226">
        <f t="shared" si="1021"/>
        <v>12000</v>
      </c>
      <c r="F651" s="227">
        <f t="shared" si="1021"/>
        <v>896000</v>
      </c>
      <c r="G651" s="227">
        <f t="shared" si="1021"/>
        <v>3299000</v>
      </c>
      <c r="H651" s="227">
        <f t="shared" si="1021"/>
        <v>1900000</v>
      </c>
      <c r="I651" s="227">
        <f t="shared" si="1021"/>
        <v>2241000</v>
      </c>
      <c r="J651" s="227">
        <f t="shared" si="1021"/>
        <v>45000</v>
      </c>
      <c r="K651" s="227">
        <f t="shared" si="1021"/>
        <v>1888000</v>
      </c>
      <c r="L651" s="228"/>
      <c r="M651" s="227">
        <f t="shared" si="1021"/>
        <v>1004000</v>
      </c>
      <c r="N651" s="227">
        <f t="shared" si="1021"/>
        <v>-1058000</v>
      </c>
      <c r="O651" s="227">
        <f t="shared" si="1021"/>
        <v>0</v>
      </c>
      <c r="P651" s="35"/>
      <c r="Q651" s="35"/>
      <c r="R651" s="35"/>
      <c r="S651" s="35"/>
    </row>
    <row r="652" spans="1:19" x14ac:dyDescent="0.2">
      <c r="A652" s="701" t="s">
        <v>77</v>
      </c>
      <c r="B652" s="702"/>
      <c r="C652" s="229">
        <f>SUM(C653,C665,C671)</f>
        <v>757000</v>
      </c>
      <c r="D652" s="230"/>
      <c r="E652" s="230">
        <f t="shared" ref="E652:O652" si="1022">SUM(E653,E665,E671)</f>
        <v>12000</v>
      </c>
      <c r="F652" s="231">
        <f t="shared" si="1022"/>
        <v>896000</v>
      </c>
      <c r="G652" s="231">
        <f t="shared" si="1022"/>
        <v>3299000</v>
      </c>
      <c r="H652" s="231">
        <f t="shared" si="1022"/>
        <v>1900000</v>
      </c>
      <c r="I652" s="231">
        <f t="shared" si="1022"/>
        <v>2241000</v>
      </c>
      <c r="J652" s="231">
        <f t="shared" si="1022"/>
        <v>45000</v>
      </c>
      <c r="K652" s="240">
        <f t="shared" si="1022"/>
        <v>1888000</v>
      </c>
      <c r="L652" s="241"/>
      <c r="M652" s="240">
        <f t="shared" si="1022"/>
        <v>1004000</v>
      </c>
      <c r="N652" s="240">
        <f t="shared" si="1022"/>
        <v>-1058000</v>
      </c>
      <c r="O652" s="240">
        <f t="shared" si="1022"/>
        <v>0</v>
      </c>
      <c r="P652" s="35"/>
      <c r="Q652" s="35"/>
      <c r="R652" s="35"/>
      <c r="S652" s="35"/>
    </row>
    <row r="653" spans="1:19" ht="20.25" customHeight="1" x14ac:dyDescent="0.2">
      <c r="A653" s="438">
        <v>32</v>
      </c>
      <c r="B653" s="439" t="s">
        <v>325</v>
      </c>
      <c r="C653" s="440">
        <f>SUM(C654,C658,C661,C663)</f>
        <v>135000</v>
      </c>
      <c r="D653" s="441"/>
      <c r="E653" s="441">
        <f t="shared" ref="E653:N653" si="1023">SUM(E654,E658,E661,E663)</f>
        <v>1000</v>
      </c>
      <c r="F653" s="442">
        <f t="shared" si="1023"/>
        <v>329000</v>
      </c>
      <c r="G653" s="442">
        <f t="shared" si="1023"/>
        <v>14000</v>
      </c>
      <c r="H653" s="442">
        <f t="shared" si="1023"/>
        <v>263000</v>
      </c>
      <c r="I653" s="442">
        <f t="shared" si="1023"/>
        <v>13000</v>
      </c>
      <c r="J653" s="442">
        <f t="shared" si="1023"/>
        <v>45000</v>
      </c>
      <c r="K653" s="294">
        <f t="shared" si="1023"/>
        <v>262000</v>
      </c>
      <c r="L653" s="295"/>
      <c r="M653" s="294">
        <f t="shared" si="1023"/>
        <v>-66000</v>
      </c>
      <c r="N653" s="294">
        <f t="shared" si="1023"/>
        <v>-1000</v>
      </c>
      <c r="O653" s="294">
        <f t="shared" ref="O653" si="1024">SUM(O654,O658,O661,O663)</f>
        <v>0</v>
      </c>
      <c r="P653" s="35"/>
      <c r="Q653" s="35"/>
      <c r="R653" s="35"/>
      <c r="S653" s="35"/>
    </row>
    <row r="654" spans="1:19" x14ac:dyDescent="0.2">
      <c r="A654" s="160" t="s">
        <v>153</v>
      </c>
      <c r="B654" s="161" t="s">
        <v>16</v>
      </c>
      <c r="C654" s="322">
        <f t="shared" ref="C654:G654" si="1025">SUM(C656:C657)</f>
        <v>125000</v>
      </c>
      <c r="D654" s="323"/>
      <c r="E654" s="323">
        <f t="shared" ref="E654" si="1026">SUM(E656:E657)</f>
        <v>0</v>
      </c>
      <c r="F654" s="324">
        <f t="shared" si="1025"/>
        <v>329000</v>
      </c>
      <c r="G654" s="324">
        <f t="shared" si="1025"/>
        <v>0</v>
      </c>
      <c r="H654" s="324">
        <f>SUM(H655:H657)</f>
        <v>250000</v>
      </c>
      <c r="I654" s="324">
        <f t="shared" ref="I654:J654" si="1027">SUM(I655:I657)</f>
        <v>0</v>
      </c>
      <c r="J654" s="324">
        <f t="shared" si="1027"/>
        <v>0</v>
      </c>
      <c r="K654" s="324">
        <f t="shared" ref="K654" si="1028">SUM(K655:K657)</f>
        <v>250000</v>
      </c>
      <c r="L654" s="325"/>
      <c r="M654" s="324">
        <f t="shared" ref="M654" si="1029">SUM(M655:M657)</f>
        <v>-79000</v>
      </c>
      <c r="N654" s="324">
        <f t="shared" ref="N654" si="1030">SUM(N655:N657)</f>
        <v>0</v>
      </c>
      <c r="O654" s="324">
        <f t="shared" ref="O654" si="1031">SUM(O655:O657)</f>
        <v>0</v>
      </c>
      <c r="P654" s="35"/>
      <c r="Q654" s="35"/>
      <c r="R654" s="35"/>
      <c r="S654" s="35"/>
    </row>
    <row r="655" spans="1:19" x14ac:dyDescent="0.2">
      <c r="A655" s="266">
        <v>3222</v>
      </c>
      <c r="B655" s="267" t="s">
        <v>362</v>
      </c>
      <c r="C655" s="282"/>
      <c r="D655" s="283"/>
      <c r="E655" s="283"/>
      <c r="F655" s="326"/>
      <c r="G655" s="326"/>
      <c r="H655" s="326">
        <v>250000</v>
      </c>
      <c r="I655" s="326"/>
      <c r="J655" s="326"/>
      <c r="K655" s="105">
        <f t="shared" ref="K655" si="1032">H655-E655</f>
        <v>250000</v>
      </c>
      <c r="L655" s="104"/>
      <c r="M655" s="105">
        <f t="shared" ref="M655" si="1033">H655-F655</f>
        <v>250000</v>
      </c>
      <c r="N655" s="105">
        <f t="shared" ref="N655" si="1034">I655-G655</f>
        <v>0</v>
      </c>
      <c r="O655" s="326"/>
      <c r="P655" s="35"/>
      <c r="Q655" s="35"/>
      <c r="R655" s="35"/>
      <c r="S655" s="35"/>
    </row>
    <row r="656" spans="1:19" x14ac:dyDescent="0.2">
      <c r="A656" s="179">
        <v>3227</v>
      </c>
      <c r="B656" s="180" t="s">
        <v>22</v>
      </c>
      <c r="C656" s="282">
        <v>125000</v>
      </c>
      <c r="D656" s="283"/>
      <c r="E656" s="283">
        <v>0</v>
      </c>
      <c r="F656" s="284"/>
      <c r="G656" s="284"/>
      <c r="H656" s="284"/>
      <c r="I656" s="284"/>
      <c r="J656" s="284"/>
      <c r="K656" s="105">
        <f t="shared" ref="K656:K657" si="1035">H656-E656</f>
        <v>0</v>
      </c>
      <c r="L656" s="104"/>
      <c r="M656" s="105">
        <f>H656-F656</f>
        <v>0</v>
      </c>
      <c r="N656" s="105">
        <f>I656-G656</f>
        <v>0</v>
      </c>
      <c r="O656" s="284"/>
      <c r="P656" s="35"/>
      <c r="Q656" s="35"/>
      <c r="R656" s="35"/>
      <c r="S656" s="35"/>
    </row>
    <row r="657" spans="1:19" x14ac:dyDescent="0.2">
      <c r="A657" s="327">
        <v>3229</v>
      </c>
      <c r="B657" s="328" t="s">
        <v>362</v>
      </c>
      <c r="C657" s="282"/>
      <c r="D657" s="283"/>
      <c r="E657" s="283"/>
      <c r="F657" s="284">
        <v>329000</v>
      </c>
      <c r="G657" s="284"/>
      <c r="H657" s="284"/>
      <c r="I657" s="284"/>
      <c r="J657" s="284"/>
      <c r="K657" s="105">
        <f t="shared" si="1035"/>
        <v>0</v>
      </c>
      <c r="L657" s="104"/>
      <c r="M657" s="105">
        <f>H657-F657</f>
        <v>-329000</v>
      </c>
      <c r="N657" s="105">
        <f>I657-G657</f>
        <v>0</v>
      </c>
      <c r="O657" s="284"/>
      <c r="P657" s="35"/>
      <c r="Q657" s="35"/>
      <c r="R657" s="35"/>
      <c r="S657" s="35"/>
    </row>
    <row r="658" spans="1:19" x14ac:dyDescent="0.2">
      <c r="A658" s="329">
        <v>323</v>
      </c>
      <c r="B658" s="330" t="s">
        <v>123</v>
      </c>
      <c r="C658" s="322">
        <f>SUM(C659:C660)</f>
        <v>5000</v>
      </c>
      <c r="D658" s="323"/>
      <c r="E658" s="323">
        <f>SUM(E659:E660)</f>
        <v>1000</v>
      </c>
      <c r="F658" s="324">
        <f t="shared" ref="F658:G658" si="1036">SUM(F659:F660)</f>
        <v>0</v>
      </c>
      <c r="G658" s="324">
        <f t="shared" si="1036"/>
        <v>5000</v>
      </c>
      <c r="H658" s="324">
        <f t="shared" ref="H658:I658" si="1037">SUM(H659:H660)</f>
        <v>8000</v>
      </c>
      <c r="I658" s="324">
        <f t="shared" si="1037"/>
        <v>13000</v>
      </c>
      <c r="J658" s="324">
        <f t="shared" ref="J658:K658" si="1038">SUM(J659:J660)</f>
        <v>45000</v>
      </c>
      <c r="K658" s="324">
        <f t="shared" si="1038"/>
        <v>7000</v>
      </c>
      <c r="L658" s="325"/>
      <c r="M658" s="324">
        <f t="shared" ref="M658:O658" si="1039">SUM(M659:M660)</f>
        <v>8000</v>
      </c>
      <c r="N658" s="324">
        <f t="shared" ref="N658" si="1040">SUM(N659:N660)</f>
        <v>8000</v>
      </c>
      <c r="O658" s="324">
        <f t="shared" si="1039"/>
        <v>0</v>
      </c>
      <c r="P658" s="35"/>
      <c r="Q658" s="35"/>
      <c r="R658" s="35"/>
      <c r="S658" s="35"/>
    </row>
    <row r="659" spans="1:19" s="4" customFormat="1" x14ac:dyDescent="0.2">
      <c r="A659" s="327">
        <v>3233</v>
      </c>
      <c r="B659" s="328" t="s">
        <v>26</v>
      </c>
      <c r="C659" s="282">
        <v>2000</v>
      </c>
      <c r="D659" s="283"/>
      <c r="E659" s="283">
        <v>1000</v>
      </c>
      <c r="F659" s="284"/>
      <c r="G659" s="284"/>
      <c r="H659" s="284"/>
      <c r="I659" s="284"/>
      <c r="J659" s="284">
        <v>10000</v>
      </c>
      <c r="K659" s="105">
        <f t="shared" ref="K659:K662" si="1041">H659-E659</f>
        <v>-1000</v>
      </c>
      <c r="L659" s="104"/>
      <c r="M659" s="105">
        <f t="shared" ref="M659:M662" si="1042">H659-F659</f>
        <v>0</v>
      </c>
      <c r="N659" s="105">
        <f>I659-G659</f>
        <v>0</v>
      </c>
      <c r="O659" s="284"/>
      <c r="P659" s="35"/>
      <c r="Q659" s="35"/>
      <c r="R659" s="35"/>
      <c r="S659" s="35"/>
    </row>
    <row r="660" spans="1:19" s="4" customFormat="1" x14ac:dyDescent="0.2">
      <c r="A660" s="327">
        <v>3239</v>
      </c>
      <c r="B660" s="328" t="s">
        <v>31</v>
      </c>
      <c r="C660" s="282">
        <v>3000</v>
      </c>
      <c r="D660" s="283"/>
      <c r="E660" s="283">
        <v>0</v>
      </c>
      <c r="F660" s="284"/>
      <c r="G660" s="284">
        <v>5000</v>
      </c>
      <c r="H660" s="284">
        <v>8000</v>
      </c>
      <c r="I660" s="284">
        <v>13000</v>
      </c>
      <c r="J660" s="284">
        <v>35000</v>
      </c>
      <c r="K660" s="105">
        <f t="shared" si="1041"/>
        <v>8000</v>
      </c>
      <c r="L660" s="104"/>
      <c r="M660" s="105">
        <f t="shared" si="1042"/>
        <v>8000</v>
      </c>
      <c r="N660" s="105">
        <f>I660-G660</f>
        <v>8000</v>
      </c>
      <c r="O660" s="284"/>
      <c r="P660" s="35"/>
      <c r="Q660" s="35"/>
      <c r="R660" s="35"/>
      <c r="S660" s="35"/>
    </row>
    <row r="661" spans="1:19" x14ac:dyDescent="0.2">
      <c r="A661" s="329">
        <v>329</v>
      </c>
      <c r="B661" s="330" t="s">
        <v>33</v>
      </c>
      <c r="C661" s="322">
        <f>SUM(C662)</f>
        <v>1000</v>
      </c>
      <c r="D661" s="323"/>
      <c r="E661" s="323">
        <f>SUM(E662)</f>
        <v>0</v>
      </c>
      <c r="F661" s="324"/>
      <c r="G661" s="324"/>
      <c r="H661" s="324"/>
      <c r="I661" s="324"/>
      <c r="J661" s="324"/>
      <c r="K661" s="105">
        <f t="shared" si="1041"/>
        <v>0</v>
      </c>
      <c r="L661" s="104"/>
      <c r="M661" s="105">
        <f t="shared" si="1042"/>
        <v>0</v>
      </c>
      <c r="N661" s="105">
        <f>I661-G661</f>
        <v>0</v>
      </c>
      <c r="O661" s="324"/>
      <c r="P661" s="35"/>
      <c r="Q661" s="35"/>
      <c r="R661" s="35"/>
      <c r="S661" s="35"/>
    </row>
    <row r="662" spans="1:19" x14ac:dyDescent="0.2">
      <c r="A662" s="327">
        <v>3293</v>
      </c>
      <c r="B662" s="328" t="s">
        <v>36</v>
      </c>
      <c r="C662" s="282">
        <v>1000</v>
      </c>
      <c r="D662" s="283"/>
      <c r="E662" s="283">
        <v>0</v>
      </c>
      <c r="F662" s="324"/>
      <c r="G662" s="324"/>
      <c r="H662" s="324"/>
      <c r="I662" s="324"/>
      <c r="J662" s="324"/>
      <c r="K662" s="105">
        <f t="shared" si="1041"/>
        <v>0</v>
      </c>
      <c r="L662" s="104"/>
      <c r="M662" s="105">
        <f t="shared" si="1042"/>
        <v>0</v>
      </c>
      <c r="N662" s="105">
        <f>I662-G662</f>
        <v>0</v>
      </c>
      <c r="O662" s="324"/>
      <c r="P662" s="35"/>
      <c r="Q662" s="35"/>
      <c r="R662" s="35"/>
      <c r="S662" s="35"/>
    </row>
    <row r="663" spans="1:19" x14ac:dyDescent="0.2">
      <c r="A663" s="329">
        <v>324</v>
      </c>
      <c r="B663" s="330" t="s">
        <v>363</v>
      </c>
      <c r="C663" s="322">
        <f>SUM(C664)</f>
        <v>4000</v>
      </c>
      <c r="D663" s="323"/>
      <c r="E663" s="323">
        <f>SUM(E664)</f>
        <v>0</v>
      </c>
      <c r="F663" s="324">
        <f t="shared" ref="F663:O663" si="1043">SUM(F664)</f>
        <v>0</v>
      </c>
      <c r="G663" s="324">
        <f t="shared" si="1043"/>
        <v>9000</v>
      </c>
      <c r="H663" s="324">
        <f t="shared" si="1043"/>
        <v>5000</v>
      </c>
      <c r="I663" s="324">
        <f t="shared" si="1043"/>
        <v>0</v>
      </c>
      <c r="J663" s="324">
        <f t="shared" si="1043"/>
        <v>0</v>
      </c>
      <c r="K663" s="324">
        <f t="shared" si="1043"/>
        <v>5000</v>
      </c>
      <c r="L663" s="325"/>
      <c r="M663" s="324">
        <f t="shared" si="1043"/>
        <v>5000</v>
      </c>
      <c r="N663" s="324">
        <f t="shared" si="1043"/>
        <v>-9000</v>
      </c>
      <c r="O663" s="324">
        <f t="shared" si="1043"/>
        <v>0</v>
      </c>
      <c r="P663" s="35"/>
      <c r="Q663" s="35"/>
      <c r="R663" s="35"/>
      <c r="S663" s="35"/>
    </row>
    <row r="664" spans="1:19" x14ac:dyDescent="0.2">
      <c r="A664" s="327">
        <v>3241</v>
      </c>
      <c r="B664" s="328" t="s">
        <v>363</v>
      </c>
      <c r="C664" s="282">
        <v>4000</v>
      </c>
      <c r="D664" s="283"/>
      <c r="E664" s="283">
        <v>0</v>
      </c>
      <c r="F664" s="284"/>
      <c r="G664" s="284">
        <v>9000</v>
      </c>
      <c r="H664" s="284">
        <v>5000</v>
      </c>
      <c r="I664" s="284"/>
      <c r="J664" s="284"/>
      <c r="K664" s="105">
        <f t="shared" ref="K664" si="1044">H664-E664</f>
        <v>5000</v>
      </c>
      <c r="L664" s="104"/>
      <c r="M664" s="105">
        <f t="shared" ref="M664" si="1045">H664-F664</f>
        <v>5000</v>
      </c>
      <c r="N664" s="105">
        <f>I664-G664</f>
        <v>-9000</v>
      </c>
      <c r="O664" s="284"/>
      <c r="P664" s="35"/>
      <c r="Q664" s="35"/>
      <c r="R664" s="35"/>
      <c r="S664" s="35"/>
    </row>
    <row r="665" spans="1:19" ht="25.5" x14ac:dyDescent="0.2">
      <c r="A665" s="447" t="s">
        <v>330</v>
      </c>
      <c r="B665" s="448" t="s">
        <v>331</v>
      </c>
      <c r="C665" s="440">
        <f>SUM(C666,C669)</f>
        <v>232000</v>
      </c>
      <c r="D665" s="441"/>
      <c r="E665" s="441">
        <f t="shared" ref="E665:O665" si="1046">SUM(E666,E669)</f>
        <v>11000</v>
      </c>
      <c r="F665" s="442">
        <f t="shared" si="1046"/>
        <v>567000</v>
      </c>
      <c r="G665" s="442">
        <f t="shared" si="1046"/>
        <v>3285000</v>
      </c>
      <c r="H665" s="442">
        <f t="shared" si="1046"/>
        <v>1250000</v>
      </c>
      <c r="I665" s="442">
        <f t="shared" si="1046"/>
        <v>2228000</v>
      </c>
      <c r="J665" s="442">
        <f t="shared" si="1046"/>
        <v>0</v>
      </c>
      <c r="K665" s="294">
        <f t="shared" si="1046"/>
        <v>1239000</v>
      </c>
      <c r="L665" s="295"/>
      <c r="M665" s="294">
        <f t="shared" si="1046"/>
        <v>683000</v>
      </c>
      <c r="N665" s="294">
        <f t="shared" si="1046"/>
        <v>-1057000</v>
      </c>
      <c r="O665" s="294">
        <f t="shared" si="1046"/>
        <v>0</v>
      </c>
      <c r="P665" s="35"/>
      <c r="Q665" s="35"/>
      <c r="R665" s="35"/>
      <c r="S665" s="35"/>
    </row>
    <row r="666" spans="1:19" x14ac:dyDescent="0.2">
      <c r="A666" s="329">
        <v>422</v>
      </c>
      <c r="B666" s="330" t="s">
        <v>364</v>
      </c>
      <c r="C666" s="322">
        <f>SUM(C667:C668)</f>
        <v>134000</v>
      </c>
      <c r="D666" s="323"/>
      <c r="E666" s="323">
        <f>SUM(E667:E668)</f>
        <v>11000</v>
      </c>
      <c r="F666" s="324">
        <f t="shared" ref="F666:G666" si="1047">SUM(F667:F668)</f>
        <v>0</v>
      </c>
      <c r="G666" s="324">
        <f t="shared" si="1047"/>
        <v>2665000</v>
      </c>
      <c r="H666" s="324">
        <f t="shared" ref="H666:I666" si="1048">SUM(H667:H668)</f>
        <v>590000</v>
      </c>
      <c r="I666" s="324">
        <f t="shared" si="1048"/>
        <v>1613000</v>
      </c>
      <c r="J666" s="324">
        <f t="shared" ref="J666:K666" si="1049">SUM(J667:J668)</f>
        <v>0</v>
      </c>
      <c r="K666" s="324">
        <f t="shared" si="1049"/>
        <v>579000</v>
      </c>
      <c r="L666" s="325"/>
      <c r="M666" s="324">
        <f t="shared" ref="M666:O666" si="1050">SUM(M667:M668)</f>
        <v>590000</v>
      </c>
      <c r="N666" s="324">
        <f t="shared" ref="N666" si="1051">SUM(N667:N668)</f>
        <v>-1052000</v>
      </c>
      <c r="O666" s="324">
        <f t="shared" si="1050"/>
        <v>0</v>
      </c>
      <c r="P666" s="35"/>
      <c r="Q666" s="35"/>
      <c r="R666" s="35"/>
      <c r="S666" s="35"/>
    </row>
    <row r="667" spans="1:19" x14ac:dyDescent="0.2">
      <c r="A667" s="327">
        <v>4223</v>
      </c>
      <c r="B667" s="328" t="s">
        <v>59</v>
      </c>
      <c r="C667" s="282">
        <v>48000</v>
      </c>
      <c r="D667" s="283"/>
      <c r="E667" s="283">
        <v>11000</v>
      </c>
      <c r="F667" s="284"/>
      <c r="G667" s="284"/>
      <c r="H667" s="284">
        <v>100000</v>
      </c>
      <c r="I667" s="284"/>
      <c r="J667" s="284"/>
      <c r="K667" s="105">
        <f t="shared" ref="K667:K668" si="1052">H667-E667</f>
        <v>89000</v>
      </c>
      <c r="L667" s="104"/>
      <c r="M667" s="105">
        <f>H667-F667</f>
        <v>100000</v>
      </c>
      <c r="N667" s="105">
        <f>I667-G667</f>
        <v>0</v>
      </c>
      <c r="O667" s="284"/>
      <c r="P667" s="35"/>
      <c r="Q667" s="35"/>
      <c r="R667" s="35"/>
      <c r="S667" s="35"/>
    </row>
    <row r="668" spans="1:19" x14ac:dyDescent="0.2">
      <c r="A668" s="327">
        <v>4227</v>
      </c>
      <c r="B668" s="328" t="s">
        <v>60</v>
      </c>
      <c r="C668" s="282">
        <v>86000</v>
      </c>
      <c r="D668" s="283"/>
      <c r="E668" s="283">
        <v>0</v>
      </c>
      <c r="F668" s="284"/>
      <c r="G668" s="284">
        <v>2665000</v>
      </c>
      <c r="H668" s="284">
        <v>490000</v>
      </c>
      <c r="I668" s="284">
        <f>2613000-1000000</f>
        <v>1613000</v>
      </c>
      <c r="J668" s="284"/>
      <c r="K668" s="105">
        <f t="shared" si="1052"/>
        <v>490000</v>
      </c>
      <c r="L668" s="104"/>
      <c r="M668" s="105">
        <f>H668-F668</f>
        <v>490000</v>
      </c>
      <c r="N668" s="105">
        <f>I668-G668</f>
        <v>-1052000</v>
      </c>
      <c r="O668" s="284"/>
      <c r="P668" s="35"/>
      <c r="Q668" s="35"/>
      <c r="R668" s="35"/>
      <c r="S668" s="35"/>
    </row>
    <row r="669" spans="1:19" x14ac:dyDescent="0.2">
      <c r="A669" s="329">
        <v>423</v>
      </c>
      <c r="B669" s="330" t="s">
        <v>61</v>
      </c>
      <c r="C669" s="322">
        <f>SUM(C670)</f>
        <v>98000</v>
      </c>
      <c r="D669" s="323"/>
      <c r="E669" s="323">
        <f>SUM(E670)</f>
        <v>0</v>
      </c>
      <c r="F669" s="324">
        <f t="shared" ref="F669:O669" si="1053">SUM(F670)</f>
        <v>567000</v>
      </c>
      <c r="G669" s="324">
        <f t="shared" si="1053"/>
        <v>620000</v>
      </c>
      <c r="H669" s="324">
        <f t="shared" si="1053"/>
        <v>660000</v>
      </c>
      <c r="I669" s="324">
        <f t="shared" si="1053"/>
        <v>615000</v>
      </c>
      <c r="J669" s="324">
        <f t="shared" si="1053"/>
        <v>0</v>
      </c>
      <c r="K669" s="324">
        <f t="shared" si="1053"/>
        <v>660000</v>
      </c>
      <c r="L669" s="325"/>
      <c r="M669" s="324">
        <f t="shared" si="1053"/>
        <v>93000</v>
      </c>
      <c r="N669" s="324">
        <f t="shared" si="1053"/>
        <v>-5000</v>
      </c>
      <c r="O669" s="324">
        <f t="shared" si="1053"/>
        <v>0</v>
      </c>
      <c r="P669" s="35"/>
      <c r="Q669" s="35"/>
      <c r="R669" s="35"/>
      <c r="S669" s="35"/>
    </row>
    <row r="670" spans="1:19" x14ac:dyDescent="0.2">
      <c r="A670" s="327">
        <v>4231</v>
      </c>
      <c r="B670" s="328" t="s">
        <v>62</v>
      </c>
      <c r="C670" s="282">
        <v>98000</v>
      </c>
      <c r="D670" s="283"/>
      <c r="E670" s="283">
        <v>0</v>
      </c>
      <c r="F670" s="284">
        <v>567000</v>
      </c>
      <c r="G670" s="284">
        <v>620000</v>
      </c>
      <c r="H670" s="284">
        <v>660000</v>
      </c>
      <c r="I670" s="284">
        <v>615000</v>
      </c>
      <c r="J670" s="284"/>
      <c r="K670" s="105">
        <f t="shared" ref="K670" si="1054">H670-E670</f>
        <v>660000</v>
      </c>
      <c r="L670" s="104"/>
      <c r="M670" s="105">
        <f t="shared" ref="M670" si="1055">H670-F670</f>
        <v>93000</v>
      </c>
      <c r="N670" s="105">
        <f>I670-G670</f>
        <v>-5000</v>
      </c>
      <c r="O670" s="284"/>
      <c r="P670" s="35"/>
      <c r="Q670" s="35"/>
      <c r="R670" s="35"/>
      <c r="S670" s="35"/>
    </row>
    <row r="671" spans="1:19" ht="25.5" x14ac:dyDescent="0.2">
      <c r="A671" s="422">
        <v>45</v>
      </c>
      <c r="B671" s="414" t="s">
        <v>336</v>
      </c>
      <c r="C671" s="440">
        <f>SUM(C672)</f>
        <v>390000</v>
      </c>
      <c r="D671" s="441"/>
      <c r="E671" s="441">
        <f t="shared" ref="E671:O671" si="1056">SUM(E672)</f>
        <v>0</v>
      </c>
      <c r="F671" s="446">
        <f t="shared" si="1056"/>
        <v>0</v>
      </c>
      <c r="G671" s="446">
        <f t="shared" si="1056"/>
        <v>0</v>
      </c>
      <c r="H671" s="446">
        <f t="shared" si="1056"/>
        <v>387000</v>
      </c>
      <c r="I671" s="446">
        <f t="shared" si="1056"/>
        <v>0</v>
      </c>
      <c r="J671" s="446">
        <f t="shared" si="1056"/>
        <v>0</v>
      </c>
      <c r="K671" s="319">
        <f t="shared" si="1056"/>
        <v>387000</v>
      </c>
      <c r="L671" s="295"/>
      <c r="M671" s="319">
        <f t="shared" si="1056"/>
        <v>387000</v>
      </c>
      <c r="N671" s="319">
        <f t="shared" si="1056"/>
        <v>0</v>
      </c>
      <c r="O671" s="319">
        <f t="shared" si="1056"/>
        <v>0</v>
      </c>
      <c r="P671" s="35"/>
      <c r="Q671" s="35"/>
      <c r="R671" s="35"/>
      <c r="S671" s="35"/>
    </row>
    <row r="672" spans="1:19" x14ac:dyDescent="0.2">
      <c r="A672" s="243">
        <v>453</v>
      </c>
      <c r="B672" s="244" t="s">
        <v>289</v>
      </c>
      <c r="C672" s="162">
        <f>SUM(C673)</f>
        <v>390000</v>
      </c>
      <c r="D672" s="163"/>
      <c r="E672" s="163">
        <f>SUM(E673)</f>
        <v>0</v>
      </c>
      <c r="F672" s="298">
        <f t="shared" ref="F672:O672" si="1057">SUM(F673)</f>
        <v>0</v>
      </c>
      <c r="G672" s="298">
        <f t="shared" si="1057"/>
        <v>0</v>
      </c>
      <c r="H672" s="298">
        <f t="shared" si="1057"/>
        <v>387000</v>
      </c>
      <c r="I672" s="298">
        <f t="shared" si="1057"/>
        <v>0</v>
      </c>
      <c r="J672" s="298">
        <f t="shared" si="1057"/>
        <v>0</v>
      </c>
      <c r="K672" s="298">
        <f t="shared" si="1057"/>
        <v>387000</v>
      </c>
      <c r="L672" s="165"/>
      <c r="M672" s="298">
        <f t="shared" si="1057"/>
        <v>387000</v>
      </c>
      <c r="N672" s="298">
        <f t="shared" si="1057"/>
        <v>0</v>
      </c>
      <c r="O672" s="298">
        <f t="shared" si="1057"/>
        <v>0</v>
      </c>
      <c r="P672" s="35"/>
      <c r="Q672" s="35"/>
      <c r="R672" s="35"/>
      <c r="S672" s="35"/>
    </row>
    <row r="673" spans="1:19" x14ac:dyDescent="0.2">
      <c r="A673" s="179">
        <v>4531</v>
      </c>
      <c r="B673" s="180" t="s">
        <v>289</v>
      </c>
      <c r="C673" s="255">
        <v>390000</v>
      </c>
      <c r="D673" s="256"/>
      <c r="E673" s="256">
        <v>0</v>
      </c>
      <c r="F673" s="279"/>
      <c r="G673" s="279"/>
      <c r="H673" s="279">
        <v>387000</v>
      </c>
      <c r="I673" s="279"/>
      <c r="J673" s="279"/>
      <c r="K673" s="105">
        <f t="shared" ref="K673" si="1058">H673-E673</f>
        <v>387000</v>
      </c>
      <c r="L673" s="104"/>
      <c r="M673" s="105">
        <f>H673-F673</f>
        <v>387000</v>
      </c>
      <c r="N673" s="105">
        <f>I673-G673</f>
        <v>0</v>
      </c>
      <c r="O673" s="279"/>
      <c r="P673" s="35"/>
      <c r="Q673" s="35"/>
      <c r="R673" s="35"/>
      <c r="S673" s="35"/>
    </row>
    <row r="674" spans="1:19" x14ac:dyDescent="0.2">
      <c r="A674" s="223" t="s">
        <v>345</v>
      </c>
      <c r="B674" s="224" t="s">
        <v>346</v>
      </c>
      <c r="C674" s="225">
        <f t="shared" ref="C674:O674" si="1059">C675</f>
        <v>1728000</v>
      </c>
      <c r="D674" s="226"/>
      <c r="E674" s="226">
        <f t="shared" si="1059"/>
        <v>233000</v>
      </c>
      <c r="F674" s="227">
        <f t="shared" si="1059"/>
        <v>2401000</v>
      </c>
      <c r="G674" s="227">
        <f t="shared" si="1059"/>
        <v>2734000</v>
      </c>
      <c r="H674" s="227">
        <f t="shared" si="1059"/>
        <v>2018000</v>
      </c>
      <c r="I674" s="227">
        <f t="shared" si="1059"/>
        <v>2000000</v>
      </c>
      <c r="J674" s="227">
        <f t="shared" si="1059"/>
        <v>2700000</v>
      </c>
      <c r="K674" s="227">
        <f t="shared" si="1059"/>
        <v>1785000</v>
      </c>
      <c r="L674" s="228"/>
      <c r="M674" s="227">
        <f t="shared" si="1059"/>
        <v>-383000</v>
      </c>
      <c r="N674" s="227">
        <f t="shared" si="1059"/>
        <v>-734000</v>
      </c>
      <c r="O674" s="227">
        <f t="shared" si="1059"/>
        <v>0</v>
      </c>
      <c r="P674" s="35"/>
      <c r="Q674" s="35"/>
      <c r="R674" s="35"/>
      <c r="S674" s="35"/>
    </row>
    <row r="675" spans="1:19" x14ac:dyDescent="0.2">
      <c r="A675" s="701" t="s">
        <v>77</v>
      </c>
      <c r="B675" s="702"/>
      <c r="C675" s="229">
        <f t="shared" ref="C675:G675" si="1060">SUM(C676,C690,C693,C702)</f>
        <v>1728000</v>
      </c>
      <c r="D675" s="230"/>
      <c r="E675" s="230">
        <f t="shared" ref="E675" si="1061">SUM(E676,E690,E693,E702)</f>
        <v>233000</v>
      </c>
      <c r="F675" s="231">
        <f t="shared" si="1060"/>
        <v>2401000</v>
      </c>
      <c r="G675" s="231">
        <f t="shared" si="1060"/>
        <v>2734000</v>
      </c>
      <c r="H675" s="231">
        <f t="shared" ref="H675:I675" si="1062">SUM(H676,H690,H693,H702)</f>
        <v>2018000</v>
      </c>
      <c r="I675" s="231">
        <f t="shared" si="1062"/>
        <v>2000000</v>
      </c>
      <c r="J675" s="231">
        <f t="shared" ref="J675:K675" si="1063">SUM(J676,J690,J693,J702)</f>
        <v>2700000</v>
      </c>
      <c r="K675" s="240">
        <f t="shared" si="1063"/>
        <v>1785000</v>
      </c>
      <c r="L675" s="241"/>
      <c r="M675" s="240">
        <f t="shared" ref="M675:O675" si="1064">SUM(M676,M690,M693,M702)</f>
        <v>-383000</v>
      </c>
      <c r="N675" s="240">
        <f t="shared" ref="N675" si="1065">SUM(N676,N690,N693,N702)</f>
        <v>-734000</v>
      </c>
      <c r="O675" s="240">
        <f t="shared" si="1064"/>
        <v>0</v>
      </c>
      <c r="P675" s="35"/>
      <c r="Q675" s="35"/>
      <c r="R675" s="35"/>
      <c r="S675" s="35"/>
    </row>
    <row r="676" spans="1:19" x14ac:dyDescent="0.2">
      <c r="A676" s="449">
        <v>32</v>
      </c>
      <c r="B676" s="450" t="s">
        <v>372</v>
      </c>
      <c r="C676" s="440">
        <f t="shared" ref="C676:G676" si="1066">SUM(C677,C680,C682)</f>
        <v>677000</v>
      </c>
      <c r="D676" s="441"/>
      <c r="E676" s="441">
        <f t="shared" ref="E676" si="1067">SUM(E677,E680,E682)</f>
        <v>26000</v>
      </c>
      <c r="F676" s="442">
        <f t="shared" si="1066"/>
        <v>945000</v>
      </c>
      <c r="G676" s="442">
        <f t="shared" si="1066"/>
        <v>1104000</v>
      </c>
      <c r="H676" s="442">
        <f t="shared" ref="H676:I676" si="1068">SUM(H677,H680,H682)</f>
        <v>230000</v>
      </c>
      <c r="I676" s="442">
        <f t="shared" si="1068"/>
        <v>500000</v>
      </c>
      <c r="J676" s="442">
        <f t="shared" ref="J676:K676" si="1069">SUM(J677,J680,J682)</f>
        <v>700000</v>
      </c>
      <c r="K676" s="294">
        <f t="shared" si="1069"/>
        <v>204000</v>
      </c>
      <c r="L676" s="295"/>
      <c r="M676" s="294">
        <f t="shared" ref="M676:O676" si="1070">SUM(M677,M680,M682)</f>
        <v>-715000</v>
      </c>
      <c r="N676" s="294">
        <f t="shared" ref="N676" si="1071">SUM(N677,N680,N682)</f>
        <v>-604000</v>
      </c>
      <c r="O676" s="294">
        <f t="shared" si="1070"/>
        <v>0</v>
      </c>
      <c r="P676" s="35"/>
      <c r="Q676" s="35"/>
      <c r="R676" s="35"/>
      <c r="S676" s="35"/>
    </row>
    <row r="677" spans="1:19" x14ac:dyDescent="0.2">
      <c r="A677" s="308">
        <v>321</v>
      </c>
      <c r="B677" s="309" t="s">
        <v>12</v>
      </c>
      <c r="C677" s="162">
        <f t="shared" ref="C677:G677" si="1072">SUM(C678:C679)</f>
        <v>24000</v>
      </c>
      <c r="D677" s="163"/>
      <c r="E677" s="163">
        <f t="shared" ref="E677" si="1073">SUM(E678:E679)</f>
        <v>0</v>
      </c>
      <c r="F677" s="298">
        <f t="shared" si="1072"/>
        <v>24000</v>
      </c>
      <c r="G677" s="298">
        <f t="shared" si="1072"/>
        <v>24000</v>
      </c>
      <c r="H677" s="298">
        <f t="shared" ref="H677:I677" si="1074">SUM(H678:H679)</f>
        <v>20000</v>
      </c>
      <c r="I677" s="298">
        <f t="shared" si="1074"/>
        <v>60000</v>
      </c>
      <c r="J677" s="298">
        <f t="shared" ref="J677:K677" si="1075">SUM(J678:J679)</f>
        <v>80000</v>
      </c>
      <c r="K677" s="298">
        <f t="shared" si="1075"/>
        <v>20000</v>
      </c>
      <c r="L677" s="165"/>
      <c r="M677" s="298">
        <f t="shared" ref="M677:O677" si="1076">SUM(M678:M679)</f>
        <v>-4000</v>
      </c>
      <c r="N677" s="298">
        <f t="shared" ref="N677" si="1077">SUM(N678:N679)</f>
        <v>36000</v>
      </c>
      <c r="O677" s="298">
        <f t="shared" si="1076"/>
        <v>0</v>
      </c>
      <c r="P677" s="35"/>
      <c r="Q677" s="35"/>
      <c r="R677" s="35"/>
      <c r="S677" s="35"/>
    </row>
    <row r="678" spans="1:19" s="4" customFormat="1" x14ac:dyDescent="0.2">
      <c r="A678" s="314">
        <v>3211</v>
      </c>
      <c r="B678" s="315" t="s">
        <v>13</v>
      </c>
      <c r="C678" s="255">
        <v>5000</v>
      </c>
      <c r="D678" s="256"/>
      <c r="E678" s="256">
        <v>0</v>
      </c>
      <c r="F678" s="279">
        <v>5000</v>
      </c>
      <c r="G678" s="279">
        <v>5000</v>
      </c>
      <c r="H678" s="279">
        <v>20000</v>
      </c>
      <c r="I678" s="279">
        <v>60000</v>
      </c>
      <c r="J678" s="279">
        <v>80000</v>
      </c>
      <c r="K678" s="105">
        <f t="shared" ref="K678:K679" si="1078">H678-E678</f>
        <v>20000</v>
      </c>
      <c r="L678" s="104"/>
      <c r="M678" s="105">
        <f>H678-F678</f>
        <v>15000</v>
      </c>
      <c r="N678" s="105">
        <f>I678-G678</f>
        <v>55000</v>
      </c>
      <c r="O678" s="279"/>
      <c r="P678" s="35"/>
      <c r="Q678" s="35"/>
      <c r="R678" s="35"/>
      <c r="S678" s="35"/>
    </row>
    <row r="679" spans="1:19" s="4" customFormat="1" x14ac:dyDescent="0.2">
      <c r="A679" s="331">
        <v>3212</v>
      </c>
      <c r="B679" s="332" t="s">
        <v>14</v>
      </c>
      <c r="C679" s="255">
        <v>19000</v>
      </c>
      <c r="D679" s="256"/>
      <c r="E679" s="256">
        <v>0</v>
      </c>
      <c r="F679" s="279">
        <v>19000</v>
      </c>
      <c r="G679" s="279">
        <v>19000</v>
      </c>
      <c r="H679" s="279"/>
      <c r="I679" s="279"/>
      <c r="J679" s="279"/>
      <c r="K679" s="105">
        <f t="shared" si="1078"/>
        <v>0</v>
      </c>
      <c r="L679" s="104"/>
      <c r="M679" s="105">
        <f>H679-F679</f>
        <v>-19000</v>
      </c>
      <c r="N679" s="105">
        <f>I679-G679</f>
        <v>-19000</v>
      </c>
      <c r="O679" s="279"/>
      <c r="P679" s="35"/>
      <c r="Q679" s="35"/>
      <c r="R679" s="35"/>
      <c r="S679" s="35"/>
    </row>
    <row r="680" spans="1:19" x14ac:dyDescent="0.2">
      <c r="A680" s="308">
        <v>322</v>
      </c>
      <c r="B680" s="309" t="s">
        <v>16</v>
      </c>
      <c r="C680" s="162">
        <f t="shared" ref="C680:O680" si="1079">SUM(C681)</f>
        <v>32000</v>
      </c>
      <c r="D680" s="163"/>
      <c r="E680" s="163">
        <f t="shared" si="1079"/>
        <v>0</v>
      </c>
      <c r="F680" s="298">
        <f t="shared" si="1079"/>
        <v>32000</v>
      </c>
      <c r="G680" s="298">
        <f t="shared" si="1079"/>
        <v>32000</v>
      </c>
      <c r="H680" s="298">
        <f t="shared" si="1079"/>
        <v>20000</v>
      </c>
      <c r="I680" s="298">
        <f t="shared" si="1079"/>
        <v>30000</v>
      </c>
      <c r="J680" s="298">
        <f t="shared" si="1079"/>
        <v>40000</v>
      </c>
      <c r="K680" s="298">
        <f t="shared" si="1079"/>
        <v>20000</v>
      </c>
      <c r="L680" s="165"/>
      <c r="M680" s="298">
        <f t="shared" si="1079"/>
        <v>-12000</v>
      </c>
      <c r="N680" s="298">
        <f t="shared" si="1079"/>
        <v>-2000</v>
      </c>
      <c r="O680" s="298">
        <f t="shared" si="1079"/>
        <v>0</v>
      </c>
      <c r="P680" s="35"/>
      <c r="Q680" s="35"/>
      <c r="R680" s="35"/>
      <c r="S680" s="35"/>
    </row>
    <row r="681" spans="1:19" s="4" customFormat="1" x14ac:dyDescent="0.2">
      <c r="A681" s="314">
        <v>3223</v>
      </c>
      <c r="B681" s="315" t="s">
        <v>19</v>
      </c>
      <c r="C681" s="255">
        <v>32000</v>
      </c>
      <c r="D681" s="256"/>
      <c r="E681" s="256">
        <v>0</v>
      </c>
      <c r="F681" s="279">
        <v>32000</v>
      </c>
      <c r="G681" s="279">
        <v>32000</v>
      </c>
      <c r="H681" s="279">
        <v>20000</v>
      </c>
      <c r="I681" s="279">
        <v>30000</v>
      </c>
      <c r="J681" s="279">
        <v>40000</v>
      </c>
      <c r="K681" s="105">
        <f t="shared" ref="K681" si="1080">H681-E681</f>
        <v>20000</v>
      </c>
      <c r="L681" s="104"/>
      <c r="M681" s="105">
        <f t="shared" ref="M681" si="1081">H681-F681</f>
        <v>-12000</v>
      </c>
      <c r="N681" s="105">
        <f>I681-G681</f>
        <v>-2000</v>
      </c>
      <c r="O681" s="279"/>
      <c r="P681" s="35"/>
      <c r="Q681" s="35"/>
      <c r="R681" s="35"/>
      <c r="S681" s="35"/>
    </row>
    <row r="682" spans="1:19" x14ac:dyDescent="0.2">
      <c r="A682" s="308">
        <v>323</v>
      </c>
      <c r="B682" s="309" t="s">
        <v>23</v>
      </c>
      <c r="C682" s="162">
        <f t="shared" ref="C682:G682" si="1082">SUM(C683:C689)</f>
        <v>621000</v>
      </c>
      <c r="D682" s="163"/>
      <c r="E682" s="163">
        <f t="shared" ref="E682" si="1083">SUM(E683:E689)</f>
        <v>26000</v>
      </c>
      <c r="F682" s="298">
        <f t="shared" si="1082"/>
        <v>889000</v>
      </c>
      <c r="G682" s="298">
        <f t="shared" si="1082"/>
        <v>1048000</v>
      </c>
      <c r="H682" s="298">
        <f t="shared" ref="H682:I682" si="1084">SUM(H683:H689)</f>
        <v>190000</v>
      </c>
      <c r="I682" s="298">
        <f t="shared" si="1084"/>
        <v>410000</v>
      </c>
      <c r="J682" s="298">
        <f t="shared" ref="J682:K682" si="1085">SUM(J683:J689)</f>
        <v>580000</v>
      </c>
      <c r="K682" s="298">
        <f t="shared" si="1085"/>
        <v>164000</v>
      </c>
      <c r="L682" s="165"/>
      <c r="M682" s="298">
        <f t="shared" ref="M682:O682" si="1086">SUM(M683:M689)</f>
        <v>-699000</v>
      </c>
      <c r="N682" s="298">
        <f t="shared" ref="N682" si="1087">SUM(N683:N689)</f>
        <v>-638000</v>
      </c>
      <c r="O682" s="298">
        <f t="shared" si="1086"/>
        <v>0</v>
      </c>
      <c r="P682" s="35"/>
      <c r="Q682" s="35"/>
      <c r="R682" s="35"/>
      <c r="S682" s="35"/>
    </row>
    <row r="683" spans="1:19" s="4" customFormat="1" x14ac:dyDescent="0.2">
      <c r="A683" s="314">
        <v>3231</v>
      </c>
      <c r="B683" s="315" t="s">
        <v>24</v>
      </c>
      <c r="C683" s="255">
        <v>24000</v>
      </c>
      <c r="D683" s="256"/>
      <c r="E683" s="256">
        <v>0</v>
      </c>
      <c r="F683" s="279">
        <v>33000</v>
      </c>
      <c r="G683" s="279">
        <v>40000</v>
      </c>
      <c r="H683" s="279"/>
      <c r="I683" s="279">
        <v>5000</v>
      </c>
      <c r="J683" s="279">
        <v>5000</v>
      </c>
      <c r="K683" s="105">
        <f t="shared" ref="K683:K689" si="1088">H683-E683</f>
        <v>0</v>
      </c>
      <c r="L683" s="104"/>
      <c r="M683" s="105">
        <f t="shared" ref="M683:M689" si="1089">H683-F683</f>
        <v>-33000</v>
      </c>
      <c r="N683" s="105">
        <f t="shared" ref="N683:N689" si="1090">I683-G683</f>
        <v>-35000</v>
      </c>
      <c r="O683" s="279"/>
      <c r="P683" s="35"/>
      <c r="Q683" s="35"/>
      <c r="R683" s="35"/>
      <c r="S683" s="35"/>
    </row>
    <row r="684" spans="1:19" s="4" customFormat="1" x14ac:dyDescent="0.2">
      <c r="A684" s="314">
        <v>3232</v>
      </c>
      <c r="B684" s="315" t="s">
        <v>25</v>
      </c>
      <c r="C684" s="255">
        <v>38000</v>
      </c>
      <c r="D684" s="256"/>
      <c r="E684" s="256">
        <v>0</v>
      </c>
      <c r="F684" s="279">
        <v>38000</v>
      </c>
      <c r="G684" s="279">
        <v>38000</v>
      </c>
      <c r="H684" s="279">
        <v>5000</v>
      </c>
      <c r="I684" s="279">
        <v>35000</v>
      </c>
      <c r="J684" s="279">
        <v>50000</v>
      </c>
      <c r="K684" s="105">
        <f t="shared" si="1088"/>
        <v>5000</v>
      </c>
      <c r="L684" s="104"/>
      <c r="M684" s="105">
        <f t="shared" si="1089"/>
        <v>-33000</v>
      </c>
      <c r="N684" s="105">
        <f t="shared" si="1090"/>
        <v>-3000</v>
      </c>
      <c r="O684" s="279"/>
      <c r="P684" s="35"/>
      <c r="Q684" s="35"/>
      <c r="R684" s="35"/>
      <c r="S684" s="35"/>
    </row>
    <row r="685" spans="1:19" s="4" customFormat="1" x14ac:dyDescent="0.2">
      <c r="A685" s="314">
        <v>3233</v>
      </c>
      <c r="B685" s="315" t="s">
        <v>26</v>
      </c>
      <c r="C685" s="255">
        <v>4000</v>
      </c>
      <c r="D685" s="256"/>
      <c r="E685" s="256">
        <v>0</v>
      </c>
      <c r="F685" s="279">
        <v>4000</v>
      </c>
      <c r="G685" s="279">
        <v>4000</v>
      </c>
      <c r="H685" s="279">
        <v>5000</v>
      </c>
      <c r="I685" s="279">
        <v>30000</v>
      </c>
      <c r="J685" s="279">
        <v>50000</v>
      </c>
      <c r="K685" s="105">
        <f t="shared" si="1088"/>
        <v>5000</v>
      </c>
      <c r="L685" s="104"/>
      <c r="M685" s="105">
        <f t="shared" si="1089"/>
        <v>1000</v>
      </c>
      <c r="N685" s="105">
        <f t="shared" si="1090"/>
        <v>26000</v>
      </c>
      <c r="O685" s="279"/>
      <c r="P685" s="35"/>
      <c r="Q685" s="35"/>
      <c r="R685" s="35"/>
      <c r="S685" s="35"/>
    </row>
    <row r="686" spans="1:19" s="4" customFormat="1" x14ac:dyDescent="0.2">
      <c r="A686" s="314">
        <v>3234</v>
      </c>
      <c r="B686" s="315" t="s">
        <v>27</v>
      </c>
      <c r="C686" s="255">
        <v>8000</v>
      </c>
      <c r="D686" s="256"/>
      <c r="E686" s="256">
        <v>0</v>
      </c>
      <c r="F686" s="279">
        <v>8000</v>
      </c>
      <c r="G686" s="279">
        <v>8000</v>
      </c>
      <c r="H686" s="279"/>
      <c r="I686" s="279"/>
      <c r="J686" s="279"/>
      <c r="K686" s="105">
        <f t="shared" si="1088"/>
        <v>0</v>
      </c>
      <c r="L686" s="104"/>
      <c r="M686" s="105">
        <f t="shared" si="1089"/>
        <v>-8000</v>
      </c>
      <c r="N686" s="105">
        <f t="shared" si="1090"/>
        <v>-8000</v>
      </c>
      <c r="O686" s="279"/>
      <c r="P686" s="35"/>
      <c r="Q686" s="35"/>
      <c r="R686" s="35"/>
      <c r="S686" s="35"/>
    </row>
    <row r="687" spans="1:19" s="4" customFormat="1" x14ac:dyDescent="0.2">
      <c r="A687" s="314">
        <v>3236</v>
      </c>
      <c r="B687" s="315" t="s">
        <v>29</v>
      </c>
      <c r="C687" s="255">
        <v>3000</v>
      </c>
      <c r="D687" s="256"/>
      <c r="E687" s="256">
        <v>0</v>
      </c>
      <c r="F687" s="279">
        <v>3000</v>
      </c>
      <c r="G687" s="279">
        <v>3000</v>
      </c>
      <c r="H687" s="279"/>
      <c r="I687" s="279"/>
      <c r="J687" s="279"/>
      <c r="K687" s="105">
        <f t="shared" si="1088"/>
        <v>0</v>
      </c>
      <c r="L687" s="104"/>
      <c r="M687" s="105">
        <f t="shared" si="1089"/>
        <v>-3000</v>
      </c>
      <c r="N687" s="105">
        <f t="shared" si="1090"/>
        <v>-3000</v>
      </c>
      <c r="O687" s="279"/>
      <c r="P687" s="35"/>
      <c r="Q687" s="35"/>
      <c r="R687" s="35"/>
      <c r="S687" s="35"/>
    </row>
    <row r="688" spans="1:19" s="4" customFormat="1" x14ac:dyDescent="0.2">
      <c r="A688" s="314">
        <v>3237</v>
      </c>
      <c r="B688" s="315" t="s">
        <v>30</v>
      </c>
      <c r="C688" s="255">
        <v>491000</v>
      </c>
      <c r="D688" s="256"/>
      <c r="E688" s="256">
        <v>0</v>
      </c>
      <c r="F688" s="279">
        <v>723000</v>
      </c>
      <c r="G688" s="279">
        <v>862000</v>
      </c>
      <c r="H688" s="279">
        <v>100000</v>
      </c>
      <c r="I688" s="279">
        <v>170000</v>
      </c>
      <c r="J688" s="279">
        <v>250000</v>
      </c>
      <c r="K688" s="105">
        <f t="shared" si="1088"/>
        <v>100000</v>
      </c>
      <c r="L688" s="104"/>
      <c r="M688" s="105">
        <f t="shared" si="1089"/>
        <v>-623000</v>
      </c>
      <c r="N688" s="105">
        <f t="shared" si="1090"/>
        <v>-692000</v>
      </c>
      <c r="O688" s="279"/>
      <c r="P688" s="35"/>
      <c r="Q688" s="35"/>
      <c r="R688" s="35"/>
      <c r="S688" s="35"/>
    </row>
    <row r="689" spans="1:19" s="4" customFormat="1" x14ac:dyDescent="0.2">
      <c r="A689" s="314">
        <v>3238</v>
      </c>
      <c r="B689" s="315" t="s">
        <v>70</v>
      </c>
      <c r="C689" s="255">
        <v>53000</v>
      </c>
      <c r="D689" s="256"/>
      <c r="E689" s="256">
        <v>26000</v>
      </c>
      <c r="F689" s="279">
        <v>80000</v>
      </c>
      <c r="G689" s="279">
        <v>93000</v>
      </c>
      <c r="H689" s="279">
        <v>80000</v>
      </c>
      <c r="I689" s="279">
        <v>170000</v>
      </c>
      <c r="J689" s="279">
        <v>225000</v>
      </c>
      <c r="K689" s="105">
        <f t="shared" si="1088"/>
        <v>54000</v>
      </c>
      <c r="L689" s="104"/>
      <c r="M689" s="105">
        <f t="shared" si="1089"/>
        <v>0</v>
      </c>
      <c r="N689" s="105">
        <f t="shared" si="1090"/>
        <v>77000</v>
      </c>
      <c r="O689" s="279"/>
      <c r="P689" s="35"/>
      <c r="Q689" s="35"/>
      <c r="R689" s="35"/>
      <c r="S689" s="35"/>
    </row>
    <row r="690" spans="1:19" x14ac:dyDescent="0.2">
      <c r="A690" s="449">
        <v>38</v>
      </c>
      <c r="B690" s="450" t="s">
        <v>373</v>
      </c>
      <c r="C690" s="440">
        <f t="shared" ref="C690:O690" si="1091">SUM(C691)</f>
        <v>398000</v>
      </c>
      <c r="D690" s="441"/>
      <c r="E690" s="441">
        <f t="shared" si="1091"/>
        <v>207000</v>
      </c>
      <c r="F690" s="446">
        <f t="shared" si="1091"/>
        <v>464000</v>
      </c>
      <c r="G690" s="446">
        <f t="shared" si="1091"/>
        <v>464000</v>
      </c>
      <c r="H690" s="446">
        <f t="shared" si="1091"/>
        <v>500000</v>
      </c>
      <c r="I690" s="446">
        <f t="shared" si="1091"/>
        <v>700000</v>
      </c>
      <c r="J690" s="446">
        <f t="shared" si="1091"/>
        <v>700000</v>
      </c>
      <c r="K690" s="319">
        <f t="shared" si="1091"/>
        <v>293000</v>
      </c>
      <c r="L690" s="295"/>
      <c r="M690" s="319">
        <f t="shared" si="1091"/>
        <v>36000</v>
      </c>
      <c r="N690" s="319">
        <f t="shared" si="1091"/>
        <v>236000</v>
      </c>
      <c r="O690" s="319">
        <f t="shared" si="1091"/>
        <v>0</v>
      </c>
      <c r="P690" s="35"/>
      <c r="Q690" s="35"/>
      <c r="R690" s="35"/>
      <c r="S690" s="35"/>
    </row>
    <row r="691" spans="1:19" x14ac:dyDescent="0.2">
      <c r="A691" s="308">
        <v>381</v>
      </c>
      <c r="B691" s="309" t="s">
        <v>46</v>
      </c>
      <c r="C691" s="162">
        <f t="shared" ref="C691:O691" si="1092">SUM(C692)</f>
        <v>398000</v>
      </c>
      <c r="D691" s="163"/>
      <c r="E691" s="163">
        <f t="shared" si="1092"/>
        <v>207000</v>
      </c>
      <c r="F691" s="298">
        <f t="shared" si="1092"/>
        <v>464000</v>
      </c>
      <c r="G691" s="298">
        <f t="shared" si="1092"/>
        <v>464000</v>
      </c>
      <c r="H691" s="298">
        <f t="shared" si="1092"/>
        <v>500000</v>
      </c>
      <c r="I691" s="298">
        <f t="shared" si="1092"/>
        <v>700000</v>
      </c>
      <c r="J691" s="298">
        <f t="shared" si="1092"/>
        <v>700000</v>
      </c>
      <c r="K691" s="298">
        <f t="shared" si="1092"/>
        <v>293000</v>
      </c>
      <c r="L691" s="165"/>
      <c r="M691" s="298">
        <f t="shared" si="1092"/>
        <v>36000</v>
      </c>
      <c r="N691" s="298">
        <f t="shared" si="1092"/>
        <v>236000</v>
      </c>
      <c r="O691" s="298">
        <f t="shared" si="1092"/>
        <v>0</v>
      </c>
      <c r="P691" s="35"/>
      <c r="Q691" s="35"/>
      <c r="R691" s="35"/>
      <c r="S691" s="35"/>
    </row>
    <row r="692" spans="1:19" s="4" customFormat="1" x14ac:dyDescent="0.2">
      <c r="A692" s="314" t="s">
        <v>140</v>
      </c>
      <c r="B692" s="315" t="s">
        <v>46</v>
      </c>
      <c r="C692" s="255">
        <v>398000</v>
      </c>
      <c r="D692" s="256"/>
      <c r="E692" s="256">
        <v>207000</v>
      </c>
      <c r="F692" s="279">
        <v>464000</v>
      </c>
      <c r="G692" s="279">
        <v>464000</v>
      </c>
      <c r="H692" s="279">
        <v>500000</v>
      </c>
      <c r="I692" s="279">
        <v>700000</v>
      </c>
      <c r="J692" s="279">
        <v>700000</v>
      </c>
      <c r="K692" s="105">
        <f t="shared" ref="K692" si="1093">H692-E692</f>
        <v>293000</v>
      </c>
      <c r="L692" s="104"/>
      <c r="M692" s="105">
        <f>H692-F692</f>
        <v>36000</v>
      </c>
      <c r="N692" s="105">
        <f>I692-G692</f>
        <v>236000</v>
      </c>
      <c r="O692" s="279"/>
      <c r="P692" s="35"/>
      <c r="Q692" s="35"/>
      <c r="R692" s="35"/>
      <c r="S692" s="35"/>
    </row>
    <row r="693" spans="1:19" ht="25.5" x14ac:dyDescent="0.2">
      <c r="A693" s="449">
        <v>42</v>
      </c>
      <c r="B693" s="450" t="s">
        <v>371</v>
      </c>
      <c r="C693" s="440">
        <f t="shared" ref="C693:G693" si="1094">SUM(C694,C696)</f>
        <v>123000</v>
      </c>
      <c r="D693" s="441"/>
      <c r="E693" s="441">
        <f t="shared" ref="E693" si="1095">SUM(E694,E696)</f>
        <v>0</v>
      </c>
      <c r="F693" s="446">
        <f t="shared" si="1094"/>
        <v>196000</v>
      </c>
      <c r="G693" s="446">
        <f t="shared" si="1094"/>
        <v>237000</v>
      </c>
      <c r="H693" s="446">
        <f t="shared" ref="H693:I693" si="1096">SUM(H694,H696)</f>
        <v>88000</v>
      </c>
      <c r="I693" s="446">
        <f t="shared" si="1096"/>
        <v>100000</v>
      </c>
      <c r="J693" s="446">
        <f t="shared" ref="J693:K693" si="1097">SUM(J694,J696)</f>
        <v>100000</v>
      </c>
      <c r="K693" s="319">
        <f t="shared" si="1097"/>
        <v>88000</v>
      </c>
      <c r="L693" s="295"/>
      <c r="M693" s="319">
        <f t="shared" ref="M693:O693" si="1098">SUM(M694,M696)</f>
        <v>-108000</v>
      </c>
      <c r="N693" s="319">
        <f t="shared" ref="N693" si="1099">SUM(N694,N696)</f>
        <v>-137000</v>
      </c>
      <c r="O693" s="319">
        <f t="shared" si="1098"/>
        <v>0</v>
      </c>
      <c r="P693" s="35"/>
      <c r="Q693" s="35"/>
      <c r="R693" s="35"/>
      <c r="S693" s="35"/>
    </row>
    <row r="694" spans="1:19" x14ac:dyDescent="0.2">
      <c r="A694" s="308">
        <v>421</v>
      </c>
      <c r="B694" s="309" t="s">
        <v>51</v>
      </c>
      <c r="C694" s="162">
        <f t="shared" ref="C694:O694" si="1100">SUM(C695)</f>
        <v>20000</v>
      </c>
      <c r="D694" s="163"/>
      <c r="E694" s="163">
        <f t="shared" si="1100"/>
        <v>0</v>
      </c>
      <c r="F694" s="298">
        <f t="shared" si="1100"/>
        <v>40000</v>
      </c>
      <c r="G694" s="298">
        <f t="shared" si="1100"/>
        <v>67000</v>
      </c>
      <c r="H694" s="298">
        <f t="shared" si="1100"/>
        <v>30000</v>
      </c>
      <c r="I694" s="298">
        <f t="shared" si="1100"/>
        <v>30000</v>
      </c>
      <c r="J694" s="298">
        <f t="shared" si="1100"/>
        <v>30000</v>
      </c>
      <c r="K694" s="298">
        <f t="shared" si="1100"/>
        <v>30000</v>
      </c>
      <c r="L694" s="165"/>
      <c r="M694" s="298">
        <f t="shared" si="1100"/>
        <v>-10000</v>
      </c>
      <c r="N694" s="298">
        <f t="shared" si="1100"/>
        <v>-37000</v>
      </c>
      <c r="O694" s="298">
        <f t="shared" si="1100"/>
        <v>0</v>
      </c>
      <c r="P694" s="35"/>
      <c r="Q694" s="35"/>
      <c r="R694" s="35"/>
      <c r="S694" s="35"/>
    </row>
    <row r="695" spans="1:19" s="4" customFormat="1" x14ac:dyDescent="0.2">
      <c r="A695" s="314">
        <v>4212</v>
      </c>
      <c r="B695" s="315" t="s">
        <v>52</v>
      </c>
      <c r="C695" s="255">
        <v>20000</v>
      </c>
      <c r="D695" s="256"/>
      <c r="E695" s="256">
        <v>0</v>
      </c>
      <c r="F695" s="279">
        <v>40000</v>
      </c>
      <c r="G695" s="279">
        <v>67000</v>
      </c>
      <c r="H695" s="279">
        <v>30000</v>
      </c>
      <c r="I695" s="279">
        <v>30000</v>
      </c>
      <c r="J695" s="279">
        <v>30000</v>
      </c>
      <c r="K695" s="105">
        <f t="shared" ref="K695" si="1101">H695-E695</f>
        <v>30000</v>
      </c>
      <c r="L695" s="104"/>
      <c r="M695" s="105">
        <f>H695-F695</f>
        <v>-10000</v>
      </c>
      <c r="N695" s="105">
        <f>I695-G695</f>
        <v>-37000</v>
      </c>
      <c r="O695" s="279"/>
      <c r="P695" s="35"/>
      <c r="Q695" s="35"/>
      <c r="R695" s="35"/>
      <c r="S695" s="35"/>
    </row>
    <row r="696" spans="1:19" x14ac:dyDescent="0.2">
      <c r="A696" s="308">
        <v>422</v>
      </c>
      <c r="B696" s="309" t="s">
        <v>53</v>
      </c>
      <c r="C696" s="162">
        <f t="shared" ref="C696:G696" si="1102">SUM(C697:C701)</f>
        <v>103000</v>
      </c>
      <c r="D696" s="163"/>
      <c r="E696" s="163">
        <f t="shared" ref="E696" si="1103">SUM(E697:E701)</f>
        <v>0</v>
      </c>
      <c r="F696" s="298">
        <f t="shared" si="1102"/>
        <v>156000</v>
      </c>
      <c r="G696" s="298">
        <f t="shared" si="1102"/>
        <v>170000</v>
      </c>
      <c r="H696" s="298">
        <f t="shared" ref="H696:I696" si="1104">SUM(H697:H701)</f>
        <v>58000</v>
      </c>
      <c r="I696" s="298">
        <f t="shared" si="1104"/>
        <v>70000</v>
      </c>
      <c r="J696" s="298">
        <f t="shared" ref="J696:K696" si="1105">SUM(J697:J701)</f>
        <v>70000</v>
      </c>
      <c r="K696" s="298">
        <f t="shared" si="1105"/>
        <v>58000</v>
      </c>
      <c r="L696" s="165"/>
      <c r="M696" s="298">
        <f t="shared" ref="M696:O696" si="1106">SUM(M697:M701)</f>
        <v>-98000</v>
      </c>
      <c r="N696" s="298">
        <f t="shared" ref="N696" si="1107">SUM(N697:N701)</f>
        <v>-100000</v>
      </c>
      <c r="O696" s="298">
        <f t="shared" si="1106"/>
        <v>0</v>
      </c>
      <c r="P696" s="35"/>
      <c r="Q696" s="35"/>
      <c r="R696" s="35"/>
      <c r="S696" s="35"/>
    </row>
    <row r="697" spans="1:19" s="4" customFormat="1" x14ac:dyDescent="0.2">
      <c r="A697" s="314">
        <v>4221</v>
      </c>
      <c r="B697" s="315" t="s">
        <v>54</v>
      </c>
      <c r="C697" s="255">
        <v>14000</v>
      </c>
      <c r="D697" s="256"/>
      <c r="E697" s="256">
        <v>0</v>
      </c>
      <c r="F697" s="279">
        <v>14000</v>
      </c>
      <c r="G697" s="279">
        <v>14000</v>
      </c>
      <c r="H697" s="279">
        <v>40000</v>
      </c>
      <c r="I697" s="279">
        <v>50000</v>
      </c>
      <c r="J697" s="279">
        <v>50000</v>
      </c>
      <c r="K697" s="105">
        <f t="shared" ref="K697:K701" si="1108">H697-E697</f>
        <v>40000</v>
      </c>
      <c r="L697" s="104"/>
      <c r="M697" s="105">
        <f t="shared" ref="M697:M701" si="1109">H697-F697</f>
        <v>26000</v>
      </c>
      <c r="N697" s="105">
        <f>I697-G697</f>
        <v>36000</v>
      </c>
      <c r="O697" s="279"/>
      <c r="P697" s="35"/>
      <c r="Q697" s="35"/>
      <c r="R697" s="35"/>
      <c r="S697" s="35"/>
    </row>
    <row r="698" spans="1:19" s="4" customFormat="1" x14ac:dyDescent="0.2">
      <c r="A698" s="314">
        <v>4222</v>
      </c>
      <c r="B698" s="315" t="s">
        <v>58</v>
      </c>
      <c r="C698" s="255">
        <v>15000</v>
      </c>
      <c r="D698" s="256"/>
      <c r="E698" s="256">
        <v>0</v>
      </c>
      <c r="F698" s="279">
        <v>15000</v>
      </c>
      <c r="G698" s="279">
        <v>15000</v>
      </c>
      <c r="H698" s="279">
        <v>4000</v>
      </c>
      <c r="I698" s="279">
        <v>4000</v>
      </c>
      <c r="J698" s="279">
        <v>4000</v>
      </c>
      <c r="K698" s="105">
        <f t="shared" si="1108"/>
        <v>4000</v>
      </c>
      <c r="L698" s="104"/>
      <c r="M698" s="105">
        <f t="shared" si="1109"/>
        <v>-11000</v>
      </c>
      <c r="N698" s="105">
        <f>I698-G698</f>
        <v>-11000</v>
      </c>
      <c r="O698" s="279"/>
      <c r="P698" s="35"/>
      <c r="Q698" s="35"/>
      <c r="R698" s="35"/>
      <c r="S698" s="35"/>
    </row>
    <row r="699" spans="1:19" s="4" customFormat="1" x14ac:dyDescent="0.2">
      <c r="A699" s="314">
        <v>4223</v>
      </c>
      <c r="B699" s="315" t="s">
        <v>59</v>
      </c>
      <c r="C699" s="255">
        <v>66000</v>
      </c>
      <c r="D699" s="256"/>
      <c r="E699" s="256">
        <v>0</v>
      </c>
      <c r="F699" s="279">
        <v>119000</v>
      </c>
      <c r="G699" s="279">
        <v>133000</v>
      </c>
      <c r="H699" s="279">
        <v>4000</v>
      </c>
      <c r="I699" s="279">
        <v>4000</v>
      </c>
      <c r="J699" s="279">
        <v>4000</v>
      </c>
      <c r="K699" s="105">
        <f t="shared" si="1108"/>
        <v>4000</v>
      </c>
      <c r="L699" s="104"/>
      <c r="M699" s="105">
        <f t="shared" si="1109"/>
        <v>-115000</v>
      </c>
      <c r="N699" s="105">
        <f>I699-G699</f>
        <v>-129000</v>
      </c>
      <c r="O699" s="279"/>
      <c r="P699" s="35"/>
      <c r="Q699" s="35"/>
      <c r="R699" s="35"/>
      <c r="S699" s="35"/>
    </row>
    <row r="700" spans="1:19" s="4" customFormat="1" x14ac:dyDescent="0.2">
      <c r="A700" s="314">
        <v>4224</v>
      </c>
      <c r="B700" s="315" t="s">
        <v>285</v>
      </c>
      <c r="C700" s="255">
        <v>1000</v>
      </c>
      <c r="D700" s="256"/>
      <c r="E700" s="256">
        <v>0</v>
      </c>
      <c r="F700" s="279">
        <v>1000</v>
      </c>
      <c r="G700" s="279">
        <v>1000</v>
      </c>
      <c r="H700" s="279"/>
      <c r="I700" s="279"/>
      <c r="J700" s="279"/>
      <c r="K700" s="105">
        <f t="shared" si="1108"/>
        <v>0</v>
      </c>
      <c r="L700" s="104"/>
      <c r="M700" s="105">
        <f t="shared" si="1109"/>
        <v>-1000</v>
      </c>
      <c r="N700" s="105">
        <f>I700-G700</f>
        <v>-1000</v>
      </c>
      <c r="O700" s="279"/>
      <c r="P700" s="35"/>
      <c r="Q700" s="35"/>
      <c r="R700" s="35"/>
      <c r="S700" s="35"/>
    </row>
    <row r="701" spans="1:19" s="4" customFormat="1" x14ac:dyDescent="0.2">
      <c r="A701" s="314">
        <v>4225</v>
      </c>
      <c r="B701" s="315" t="s">
        <v>105</v>
      </c>
      <c r="C701" s="255">
        <v>7000</v>
      </c>
      <c r="D701" s="256"/>
      <c r="E701" s="256">
        <v>0</v>
      </c>
      <c r="F701" s="279">
        <v>7000</v>
      </c>
      <c r="G701" s="279">
        <v>7000</v>
      </c>
      <c r="H701" s="279">
        <v>10000</v>
      </c>
      <c r="I701" s="279">
        <v>12000</v>
      </c>
      <c r="J701" s="279">
        <v>12000</v>
      </c>
      <c r="K701" s="105">
        <f t="shared" si="1108"/>
        <v>10000</v>
      </c>
      <c r="L701" s="104"/>
      <c r="M701" s="105">
        <f t="shared" si="1109"/>
        <v>3000</v>
      </c>
      <c r="N701" s="105">
        <f>I701-G701</f>
        <v>5000</v>
      </c>
      <c r="O701" s="279"/>
      <c r="P701" s="35"/>
      <c r="Q701" s="35"/>
      <c r="R701" s="35"/>
      <c r="S701" s="35"/>
    </row>
    <row r="702" spans="1:19" ht="25.5" x14ac:dyDescent="0.2">
      <c r="A702" s="449">
        <v>45</v>
      </c>
      <c r="B702" s="450" t="s">
        <v>336</v>
      </c>
      <c r="C702" s="440">
        <f t="shared" ref="C702:O702" si="1110">SUM(C703)</f>
        <v>530000</v>
      </c>
      <c r="D702" s="441"/>
      <c r="E702" s="441">
        <f t="shared" si="1110"/>
        <v>0</v>
      </c>
      <c r="F702" s="446">
        <f t="shared" si="1110"/>
        <v>796000</v>
      </c>
      <c r="G702" s="446">
        <f t="shared" si="1110"/>
        <v>929000</v>
      </c>
      <c r="H702" s="446">
        <f t="shared" si="1110"/>
        <v>1200000</v>
      </c>
      <c r="I702" s="446">
        <f t="shared" si="1110"/>
        <v>700000</v>
      </c>
      <c r="J702" s="446">
        <f t="shared" si="1110"/>
        <v>1200000</v>
      </c>
      <c r="K702" s="319">
        <f t="shared" si="1110"/>
        <v>1200000</v>
      </c>
      <c r="L702" s="295"/>
      <c r="M702" s="319">
        <f t="shared" si="1110"/>
        <v>404000</v>
      </c>
      <c r="N702" s="319">
        <f t="shared" si="1110"/>
        <v>-229000</v>
      </c>
      <c r="O702" s="319">
        <f t="shared" si="1110"/>
        <v>0</v>
      </c>
      <c r="P702" s="35"/>
      <c r="Q702" s="35"/>
      <c r="R702" s="35"/>
      <c r="S702" s="35"/>
    </row>
    <row r="703" spans="1:19" x14ac:dyDescent="0.2">
      <c r="A703" s="308">
        <v>451</v>
      </c>
      <c r="B703" s="309" t="s">
        <v>55</v>
      </c>
      <c r="C703" s="162">
        <f t="shared" ref="C703:O703" si="1111">SUM(C704)</f>
        <v>530000</v>
      </c>
      <c r="D703" s="163"/>
      <c r="E703" s="163">
        <f t="shared" si="1111"/>
        <v>0</v>
      </c>
      <c r="F703" s="298">
        <f t="shared" si="1111"/>
        <v>796000</v>
      </c>
      <c r="G703" s="298">
        <f t="shared" si="1111"/>
        <v>929000</v>
      </c>
      <c r="H703" s="298">
        <f t="shared" si="1111"/>
        <v>1200000</v>
      </c>
      <c r="I703" s="298">
        <f t="shared" si="1111"/>
        <v>700000</v>
      </c>
      <c r="J703" s="298">
        <f t="shared" si="1111"/>
        <v>1200000</v>
      </c>
      <c r="K703" s="298">
        <f t="shared" si="1111"/>
        <v>1200000</v>
      </c>
      <c r="L703" s="165"/>
      <c r="M703" s="298">
        <f t="shared" si="1111"/>
        <v>404000</v>
      </c>
      <c r="N703" s="298">
        <f t="shared" si="1111"/>
        <v>-229000</v>
      </c>
      <c r="O703" s="298">
        <f t="shared" si="1111"/>
        <v>0</v>
      </c>
      <c r="P703" s="35"/>
      <c r="Q703" s="35"/>
      <c r="R703" s="35"/>
      <c r="S703" s="35"/>
    </row>
    <row r="704" spans="1:19" s="4" customFormat="1" x14ac:dyDescent="0.2">
      <c r="A704" s="314">
        <v>4511</v>
      </c>
      <c r="B704" s="315" t="s">
        <v>55</v>
      </c>
      <c r="C704" s="255">
        <v>530000</v>
      </c>
      <c r="D704" s="256"/>
      <c r="E704" s="256">
        <v>0</v>
      </c>
      <c r="F704" s="279">
        <v>796000</v>
      </c>
      <c r="G704" s="279">
        <v>929000</v>
      </c>
      <c r="H704" s="279">
        <v>1200000</v>
      </c>
      <c r="I704" s="279">
        <f>1200000-500000</f>
        <v>700000</v>
      </c>
      <c r="J704" s="279">
        <v>1200000</v>
      </c>
      <c r="K704" s="105">
        <f t="shared" ref="K704" si="1112">H704-E704</f>
        <v>1200000</v>
      </c>
      <c r="L704" s="104"/>
      <c r="M704" s="105">
        <f>H704-F704</f>
        <v>404000</v>
      </c>
      <c r="N704" s="105">
        <f>I704-G704</f>
        <v>-229000</v>
      </c>
      <c r="O704" s="279"/>
      <c r="P704" s="35"/>
      <c r="Q704" s="35"/>
      <c r="R704" s="35"/>
      <c r="S704" s="35"/>
    </row>
    <row r="705" spans="1:19" ht="38.25" x14ac:dyDescent="0.2">
      <c r="A705" s="333" t="s">
        <v>356</v>
      </c>
      <c r="B705" s="334" t="s">
        <v>347</v>
      </c>
      <c r="C705" s="225">
        <f t="shared" ref="C705:O705" si="1113">C706</f>
        <v>5110000</v>
      </c>
      <c r="D705" s="226"/>
      <c r="E705" s="226">
        <f t="shared" si="1113"/>
        <v>863000</v>
      </c>
      <c r="F705" s="335">
        <f t="shared" si="1113"/>
        <v>6183000</v>
      </c>
      <c r="G705" s="335">
        <f t="shared" si="1113"/>
        <v>6339000</v>
      </c>
      <c r="H705" s="335">
        <f t="shared" si="1113"/>
        <v>5440000</v>
      </c>
      <c r="I705" s="335">
        <f t="shared" si="1113"/>
        <v>4230000</v>
      </c>
      <c r="J705" s="335">
        <f t="shared" si="1113"/>
        <v>5890000</v>
      </c>
      <c r="K705" s="335">
        <f t="shared" si="1113"/>
        <v>4577000</v>
      </c>
      <c r="L705" s="228"/>
      <c r="M705" s="335">
        <f t="shared" si="1113"/>
        <v>-743000</v>
      </c>
      <c r="N705" s="335">
        <f t="shared" si="1113"/>
        <v>-2109000</v>
      </c>
      <c r="O705" s="335">
        <f t="shared" si="1113"/>
        <v>0</v>
      </c>
      <c r="P705" s="35"/>
      <c r="Q705" s="35"/>
      <c r="R705" s="35"/>
      <c r="S705" s="35"/>
    </row>
    <row r="706" spans="1:19" ht="18" customHeight="1" x14ac:dyDescent="0.2">
      <c r="A706" s="701" t="s">
        <v>77</v>
      </c>
      <c r="B706" s="702"/>
      <c r="C706" s="229">
        <f>SUM(C707,C721,C718)</f>
        <v>5110000</v>
      </c>
      <c r="D706" s="230"/>
      <c r="E706" s="230">
        <f t="shared" ref="E706:N706" si="1114">SUM(E707,E721,E718)</f>
        <v>863000</v>
      </c>
      <c r="F706" s="480">
        <f t="shared" si="1114"/>
        <v>6183000</v>
      </c>
      <c r="G706" s="480">
        <f t="shared" si="1114"/>
        <v>6339000</v>
      </c>
      <c r="H706" s="480">
        <f t="shared" si="1114"/>
        <v>5440000</v>
      </c>
      <c r="I706" s="480">
        <f t="shared" si="1114"/>
        <v>4230000</v>
      </c>
      <c r="J706" s="480">
        <f t="shared" si="1114"/>
        <v>5890000</v>
      </c>
      <c r="K706" s="336">
        <f t="shared" si="1114"/>
        <v>4577000</v>
      </c>
      <c r="L706" s="241">
        <f t="shared" si="1114"/>
        <v>0</v>
      </c>
      <c r="M706" s="336">
        <f t="shared" si="1114"/>
        <v>-743000</v>
      </c>
      <c r="N706" s="336">
        <f t="shared" si="1114"/>
        <v>-2109000</v>
      </c>
      <c r="O706" s="336">
        <f t="shared" ref="O706" si="1115">SUM(O707,O721)</f>
        <v>0</v>
      </c>
      <c r="P706" s="35"/>
      <c r="Q706" s="35"/>
      <c r="R706" s="35"/>
      <c r="S706" s="35"/>
    </row>
    <row r="707" spans="1:19" x14ac:dyDescent="0.2">
      <c r="A707" s="449">
        <v>32</v>
      </c>
      <c r="B707" s="450" t="s">
        <v>372</v>
      </c>
      <c r="C707" s="440">
        <f t="shared" ref="C707:G707" si="1116">SUM(C708,C711,C713)</f>
        <v>1167000</v>
      </c>
      <c r="D707" s="441"/>
      <c r="E707" s="441">
        <f t="shared" ref="E707" si="1117">SUM(E708,E711,E713)</f>
        <v>62000</v>
      </c>
      <c r="F707" s="446">
        <f t="shared" si="1116"/>
        <v>1406000</v>
      </c>
      <c r="G707" s="446">
        <f t="shared" si="1116"/>
        <v>1412000</v>
      </c>
      <c r="H707" s="446">
        <f t="shared" ref="H707:I707" si="1118">SUM(H708,H711,H713)</f>
        <v>395000</v>
      </c>
      <c r="I707" s="446">
        <f t="shared" si="1118"/>
        <v>655000</v>
      </c>
      <c r="J707" s="446">
        <f t="shared" ref="J707:K707" si="1119">SUM(J708,J711,J713)</f>
        <v>840000</v>
      </c>
      <c r="K707" s="337">
        <f t="shared" si="1119"/>
        <v>333000</v>
      </c>
      <c r="L707" s="338"/>
      <c r="M707" s="337">
        <f t="shared" ref="M707:O707" si="1120">SUM(M708,M711,M713)</f>
        <v>-1011000</v>
      </c>
      <c r="N707" s="337">
        <f t="shared" ref="N707" si="1121">SUM(N708,N711,N713)</f>
        <v>-757000</v>
      </c>
      <c r="O707" s="337">
        <f t="shared" si="1120"/>
        <v>0</v>
      </c>
      <c r="P707" s="35"/>
      <c r="Q707" s="35"/>
      <c r="R707" s="35"/>
      <c r="S707" s="35"/>
    </row>
    <row r="708" spans="1:19" x14ac:dyDescent="0.2">
      <c r="A708" s="308">
        <v>321</v>
      </c>
      <c r="B708" s="309" t="s">
        <v>12</v>
      </c>
      <c r="C708" s="162">
        <f t="shared" ref="C708:G708" si="1122">SUM(C709:C710)</f>
        <v>62000</v>
      </c>
      <c r="D708" s="163"/>
      <c r="E708" s="163">
        <f t="shared" ref="E708" si="1123">SUM(E709:E710)</f>
        <v>2000</v>
      </c>
      <c r="F708" s="298">
        <f t="shared" si="1122"/>
        <v>62000</v>
      </c>
      <c r="G708" s="298">
        <f t="shared" si="1122"/>
        <v>62000</v>
      </c>
      <c r="H708" s="298">
        <f t="shared" ref="H708:I708" si="1124">SUM(H709:H710)</f>
        <v>50000</v>
      </c>
      <c r="I708" s="298">
        <f t="shared" si="1124"/>
        <v>60000</v>
      </c>
      <c r="J708" s="298">
        <f t="shared" ref="J708:K708" si="1125">SUM(J709:J710)</f>
        <v>70000</v>
      </c>
      <c r="K708" s="298">
        <f t="shared" si="1125"/>
        <v>48000</v>
      </c>
      <c r="L708" s="165"/>
      <c r="M708" s="298">
        <f t="shared" ref="M708:O708" si="1126">SUM(M709:M710)</f>
        <v>-12000</v>
      </c>
      <c r="N708" s="298">
        <f t="shared" ref="N708" si="1127">SUM(N709:N710)</f>
        <v>-2000</v>
      </c>
      <c r="O708" s="298">
        <f t="shared" si="1126"/>
        <v>0</v>
      </c>
      <c r="P708" s="35"/>
      <c r="Q708" s="35"/>
      <c r="R708" s="35"/>
      <c r="S708" s="35"/>
    </row>
    <row r="709" spans="1:19" s="4" customFormat="1" x14ac:dyDescent="0.2">
      <c r="A709" s="314">
        <v>3211</v>
      </c>
      <c r="B709" s="315" t="s">
        <v>13</v>
      </c>
      <c r="C709" s="255">
        <v>12000</v>
      </c>
      <c r="D709" s="256"/>
      <c r="E709" s="256">
        <v>2000</v>
      </c>
      <c r="F709" s="279">
        <v>12000</v>
      </c>
      <c r="G709" s="279">
        <v>12000</v>
      </c>
      <c r="H709" s="279">
        <v>20000</v>
      </c>
      <c r="I709" s="279">
        <v>20000</v>
      </c>
      <c r="J709" s="279">
        <v>20000</v>
      </c>
      <c r="K709" s="105">
        <f t="shared" ref="K709:K710" si="1128">H709-E709</f>
        <v>18000</v>
      </c>
      <c r="L709" s="104"/>
      <c r="M709" s="105">
        <f>H709-F709</f>
        <v>8000</v>
      </c>
      <c r="N709" s="105">
        <f>I709-G709</f>
        <v>8000</v>
      </c>
      <c r="O709" s="279"/>
      <c r="P709" s="35"/>
      <c r="Q709" s="35"/>
      <c r="R709" s="35"/>
      <c r="S709" s="35"/>
    </row>
    <row r="710" spans="1:19" s="4" customFormat="1" x14ac:dyDescent="0.2">
      <c r="A710" s="314">
        <v>3213</v>
      </c>
      <c r="B710" s="315" t="s">
        <v>15</v>
      </c>
      <c r="C710" s="255">
        <v>50000</v>
      </c>
      <c r="D710" s="256"/>
      <c r="E710" s="256">
        <v>0</v>
      </c>
      <c r="F710" s="279">
        <v>50000</v>
      </c>
      <c r="G710" s="279">
        <v>50000</v>
      </c>
      <c r="H710" s="279">
        <v>30000</v>
      </c>
      <c r="I710" s="279">
        <v>40000</v>
      </c>
      <c r="J710" s="279">
        <v>50000</v>
      </c>
      <c r="K710" s="105">
        <f t="shared" si="1128"/>
        <v>30000</v>
      </c>
      <c r="L710" s="104"/>
      <c r="M710" s="105">
        <f>H710-F710</f>
        <v>-20000</v>
      </c>
      <c r="N710" s="105">
        <f>I710-G710</f>
        <v>-10000</v>
      </c>
      <c r="O710" s="279"/>
      <c r="P710" s="35"/>
      <c r="Q710" s="35"/>
      <c r="R710" s="35"/>
      <c r="S710" s="35"/>
    </row>
    <row r="711" spans="1:19" x14ac:dyDescent="0.2">
      <c r="A711" s="308">
        <v>322</v>
      </c>
      <c r="B711" s="309" t="s">
        <v>16</v>
      </c>
      <c r="C711" s="162">
        <f t="shared" ref="C711:O711" si="1129">SUM(C712)</f>
        <v>20000</v>
      </c>
      <c r="D711" s="163"/>
      <c r="E711" s="163">
        <f t="shared" si="1129"/>
        <v>10000</v>
      </c>
      <c r="F711" s="298">
        <f t="shared" si="1129"/>
        <v>20000</v>
      </c>
      <c r="G711" s="298">
        <f t="shared" si="1129"/>
        <v>20000</v>
      </c>
      <c r="H711" s="298">
        <f t="shared" si="1129"/>
        <v>20000</v>
      </c>
      <c r="I711" s="298">
        <f t="shared" si="1129"/>
        <v>20000</v>
      </c>
      <c r="J711" s="298">
        <f t="shared" si="1129"/>
        <v>20000</v>
      </c>
      <c r="K711" s="298">
        <f t="shared" si="1129"/>
        <v>10000</v>
      </c>
      <c r="L711" s="165"/>
      <c r="M711" s="298">
        <f t="shared" si="1129"/>
        <v>0</v>
      </c>
      <c r="N711" s="298">
        <f t="shared" si="1129"/>
        <v>0</v>
      </c>
      <c r="O711" s="298">
        <f t="shared" si="1129"/>
        <v>0</v>
      </c>
      <c r="P711" s="35"/>
      <c r="Q711" s="35"/>
      <c r="R711" s="35"/>
      <c r="S711" s="35"/>
    </row>
    <row r="712" spans="1:19" s="4" customFormat="1" x14ac:dyDescent="0.2">
      <c r="A712" s="314">
        <v>3223</v>
      </c>
      <c r="B712" s="315" t="s">
        <v>19</v>
      </c>
      <c r="C712" s="255">
        <v>20000</v>
      </c>
      <c r="D712" s="256"/>
      <c r="E712" s="256">
        <v>10000</v>
      </c>
      <c r="F712" s="279">
        <v>20000</v>
      </c>
      <c r="G712" s="279">
        <v>20000</v>
      </c>
      <c r="H712" s="279">
        <v>20000</v>
      </c>
      <c r="I712" s="279">
        <v>20000</v>
      </c>
      <c r="J712" s="279">
        <v>20000</v>
      </c>
      <c r="K712" s="105">
        <f t="shared" ref="K712" si="1130">H712-E712</f>
        <v>10000</v>
      </c>
      <c r="L712" s="104"/>
      <c r="M712" s="105">
        <f t="shared" ref="M712" si="1131">H712-F712</f>
        <v>0</v>
      </c>
      <c r="N712" s="105">
        <f>I712-G712</f>
        <v>0</v>
      </c>
      <c r="O712" s="279"/>
      <c r="P712" s="35"/>
      <c r="Q712" s="35"/>
      <c r="R712" s="35"/>
      <c r="S712" s="35"/>
    </row>
    <row r="713" spans="1:19" x14ac:dyDescent="0.2">
      <c r="A713" s="308">
        <v>323</v>
      </c>
      <c r="B713" s="309" t="s">
        <v>23</v>
      </c>
      <c r="C713" s="162">
        <f t="shared" ref="C713:G713" si="1132">SUM(C714:C717)</f>
        <v>1085000</v>
      </c>
      <c r="D713" s="163"/>
      <c r="E713" s="163">
        <f t="shared" ref="E713" si="1133">SUM(E714:E717)</f>
        <v>50000</v>
      </c>
      <c r="F713" s="298">
        <f t="shared" si="1132"/>
        <v>1324000</v>
      </c>
      <c r="G713" s="298">
        <f t="shared" si="1132"/>
        <v>1330000</v>
      </c>
      <c r="H713" s="298">
        <f t="shared" ref="H713:I713" si="1134">SUM(H714:H717)</f>
        <v>325000</v>
      </c>
      <c r="I713" s="298">
        <f t="shared" si="1134"/>
        <v>575000</v>
      </c>
      <c r="J713" s="298">
        <f t="shared" ref="J713:K713" si="1135">SUM(J714:J717)</f>
        <v>750000</v>
      </c>
      <c r="K713" s="298">
        <f t="shared" si="1135"/>
        <v>275000</v>
      </c>
      <c r="L713" s="165"/>
      <c r="M713" s="298">
        <f t="shared" ref="M713:O713" si="1136">SUM(M714:M717)</f>
        <v>-999000</v>
      </c>
      <c r="N713" s="298">
        <f t="shared" ref="N713" si="1137">SUM(N714:N717)</f>
        <v>-755000</v>
      </c>
      <c r="O713" s="298">
        <f t="shared" si="1136"/>
        <v>0</v>
      </c>
      <c r="P713" s="35"/>
      <c r="Q713" s="35"/>
      <c r="R713" s="35"/>
      <c r="S713" s="35"/>
    </row>
    <row r="714" spans="1:19" s="4" customFormat="1" x14ac:dyDescent="0.2">
      <c r="A714" s="314">
        <v>3232</v>
      </c>
      <c r="B714" s="315" t="s">
        <v>25</v>
      </c>
      <c r="C714" s="255">
        <v>398000</v>
      </c>
      <c r="D714" s="256"/>
      <c r="E714" s="256">
        <v>0</v>
      </c>
      <c r="F714" s="279">
        <v>448000</v>
      </c>
      <c r="G714" s="279">
        <v>454000</v>
      </c>
      <c r="H714" s="279">
        <v>75000</v>
      </c>
      <c r="I714" s="279">
        <v>150000</v>
      </c>
      <c r="J714" s="279">
        <v>200000</v>
      </c>
      <c r="K714" s="105">
        <f t="shared" ref="K714:K717" si="1138">H714-E714</f>
        <v>75000</v>
      </c>
      <c r="L714" s="104"/>
      <c r="M714" s="105">
        <f t="shared" ref="M714:M717" si="1139">H714-F714</f>
        <v>-373000</v>
      </c>
      <c r="N714" s="105">
        <f>I714-G714</f>
        <v>-304000</v>
      </c>
      <c r="O714" s="279"/>
      <c r="P714" s="35"/>
      <c r="Q714" s="35"/>
      <c r="R714" s="35"/>
      <c r="S714" s="35"/>
    </row>
    <row r="715" spans="1:19" s="4" customFormat="1" x14ac:dyDescent="0.2">
      <c r="A715" s="314">
        <v>3237</v>
      </c>
      <c r="B715" s="315" t="s">
        <v>30</v>
      </c>
      <c r="C715" s="255">
        <v>119000</v>
      </c>
      <c r="D715" s="256"/>
      <c r="E715" s="256">
        <v>0</v>
      </c>
      <c r="F715" s="279">
        <v>139000</v>
      </c>
      <c r="G715" s="279">
        <v>139000</v>
      </c>
      <c r="H715" s="279">
        <v>75000</v>
      </c>
      <c r="I715" s="279">
        <v>125000</v>
      </c>
      <c r="J715" s="279">
        <v>150000</v>
      </c>
      <c r="K715" s="105">
        <f t="shared" si="1138"/>
        <v>75000</v>
      </c>
      <c r="L715" s="104"/>
      <c r="M715" s="105">
        <f t="shared" si="1139"/>
        <v>-64000</v>
      </c>
      <c r="N715" s="105">
        <f>I715-G715</f>
        <v>-14000</v>
      </c>
      <c r="O715" s="279"/>
      <c r="P715" s="35"/>
      <c r="Q715" s="35"/>
      <c r="R715" s="35"/>
      <c r="S715" s="35"/>
    </row>
    <row r="716" spans="1:19" s="4" customFormat="1" x14ac:dyDescent="0.2">
      <c r="A716" s="314">
        <v>3238</v>
      </c>
      <c r="B716" s="315" t="s">
        <v>70</v>
      </c>
      <c r="C716" s="255">
        <v>498000</v>
      </c>
      <c r="D716" s="256"/>
      <c r="E716" s="256">
        <v>50000</v>
      </c>
      <c r="F716" s="279">
        <v>647000</v>
      </c>
      <c r="G716" s="279">
        <v>647000</v>
      </c>
      <c r="H716" s="279">
        <v>100000</v>
      </c>
      <c r="I716" s="279">
        <v>150000</v>
      </c>
      <c r="J716" s="279">
        <v>200000</v>
      </c>
      <c r="K716" s="105">
        <f t="shared" si="1138"/>
        <v>50000</v>
      </c>
      <c r="L716" s="104"/>
      <c r="M716" s="105">
        <f t="shared" si="1139"/>
        <v>-547000</v>
      </c>
      <c r="N716" s="105">
        <f>I716-G716</f>
        <v>-497000</v>
      </c>
      <c r="O716" s="279"/>
      <c r="P716" s="35"/>
      <c r="Q716" s="35"/>
      <c r="R716" s="35"/>
      <c r="S716" s="35"/>
    </row>
    <row r="717" spans="1:19" s="4" customFormat="1" x14ac:dyDescent="0.2">
      <c r="A717" s="314">
        <v>3239</v>
      </c>
      <c r="B717" s="339" t="s">
        <v>31</v>
      </c>
      <c r="C717" s="278">
        <v>70000</v>
      </c>
      <c r="D717" s="278"/>
      <c r="E717" s="278">
        <v>0</v>
      </c>
      <c r="F717" s="279">
        <v>90000</v>
      </c>
      <c r="G717" s="279">
        <v>90000</v>
      </c>
      <c r="H717" s="279">
        <v>75000</v>
      </c>
      <c r="I717" s="279">
        <v>150000</v>
      </c>
      <c r="J717" s="279">
        <v>200000</v>
      </c>
      <c r="K717" s="105">
        <f t="shared" si="1138"/>
        <v>75000</v>
      </c>
      <c r="L717" s="104"/>
      <c r="M717" s="105">
        <f t="shared" si="1139"/>
        <v>-15000</v>
      </c>
      <c r="N717" s="105">
        <f>I717-G717</f>
        <v>60000</v>
      </c>
      <c r="O717" s="279"/>
      <c r="P717" s="35"/>
      <c r="Q717" s="35"/>
      <c r="R717" s="35"/>
      <c r="S717" s="35"/>
    </row>
    <row r="718" spans="1:19" s="4" customFormat="1" ht="25.5" x14ac:dyDescent="0.2">
      <c r="A718" s="451">
        <v>41</v>
      </c>
      <c r="B718" s="431" t="s">
        <v>335</v>
      </c>
      <c r="C718" s="452">
        <f>SUM(C719)</f>
        <v>0</v>
      </c>
      <c r="D718" s="452"/>
      <c r="E718" s="452">
        <f t="shared" ref="E718:N719" si="1140">SUM(E719)</f>
        <v>25000</v>
      </c>
      <c r="F718" s="452">
        <f t="shared" si="1140"/>
        <v>0</v>
      </c>
      <c r="G718" s="452">
        <f t="shared" si="1140"/>
        <v>0</v>
      </c>
      <c r="H718" s="452">
        <f t="shared" si="1140"/>
        <v>0</v>
      </c>
      <c r="I718" s="452">
        <f t="shared" si="1140"/>
        <v>0</v>
      </c>
      <c r="J718" s="452">
        <f t="shared" si="1140"/>
        <v>0</v>
      </c>
      <c r="K718" s="340">
        <f t="shared" si="1140"/>
        <v>-25000</v>
      </c>
      <c r="L718" s="340">
        <f t="shared" si="1140"/>
        <v>0</v>
      </c>
      <c r="M718" s="340">
        <f t="shared" si="1140"/>
        <v>0</v>
      </c>
      <c r="N718" s="340">
        <f t="shared" si="1140"/>
        <v>0</v>
      </c>
      <c r="O718" s="104"/>
      <c r="P718" s="35"/>
      <c r="Q718" s="35"/>
      <c r="R718" s="35"/>
      <c r="S718" s="35"/>
    </row>
    <row r="719" spans="1:19" s="4" customFormat="1" x14ac:dyDescent="0.2">
      <c r="A719" s="320">
        <v>412</v>
      </c>
      <c r="B719" s="341" t="s">
        <v>67</v>
      </c>
      <c r="C719" s="342">
        <f>SUM(C720)</f>
        <v>0</v>
      </c>
      <c r="D719" s="342"/>
      <c r="E719" s="342">
        <f t="shared" si="1140"/>
        <v>25000</v>
      </c>
      <c r="F719" s="342">
        <f t="shared" si="1140"/>
        <v>0</v>
      </c>
      <c r="G719" s="342">
        <f t="shared" si="1140"/>
        <v>0</v>
      </c>
      <c r="H719" s="342">
        <f t="shared" si="1140"/>
        <v>0</v>
      </c>
      <c r="I719" s="342">
        <f t="shared" si="1140"/>
        <v>0</v>
      </c>
      <c r="J719" s="342">
        <f t="shared" si="1140"/>
        <v>0</v>
      </c>
      <c r="K719" s="342">
        <f t="shared" si="1140"/>
        <v>-25000</v>
      </c>
      <c r="L719" s="342">
        <f t="shared" si="1140"/>
        <v>0</v>
      </c>
      <c r="M719" s="342">
        <f t="shared" si="1140"/>
        <v>0</v>
      </c>
      <c r="N719" s="342">
        <f t="shared" si="1140"/>
        <v>0</v>
      </c>
      <c r="O719" s="104"/>
      <c r="P719" s="35"/>
      <c r="Q719" s="35"/>
      <c r="R719" s="35"/>
      <c r="S719" s="35"/>
    </row>
    <row r="720" spans="1:19" s="4" customFormat="1" x14ac:dyDescent="0.2">
      <c r="A720" s="316">
        <v>4123</v>
      </c>
      <c r="B720" s="339" t="s">
        <v>68</v>
      </c>
      <c r="C720" s="343"/>
      <c r="D720" s="343"/>
      <c r="E720" s="343">
        <v>25000</v>
      </c>
      <c r="F720" s="344"/>
      <c r="G720" s="111"/>
      <c r="H720" s="344"/>
      <c r="I720" s="344"/>
      <c r="J720" s="344"/>
      <c r="K720" s="105">
        <f t="shared" ref="K720" si="1141">H720-E720</f>
        <v>-25000</v>
      </c>
      <c r="L720" s="104"/>
      <c r="M720" s="105">
        <f t="shared" ref="M720" si="1142">H720-F720</f>
        <v>0</v>
      </c>
      <c r="N720" s="105">
        <f>I720-G720</f>
        <v>0</v>
      </c>
      <c r="O720" s="104"/>
      <c r="P720" s="35"/>
      <c r="Q720" s="35"/>
      <c r="R720" s="35"/>
      <c r="S720" s="35"/>
    </row>
    <row r="721" spans="1:19" ht="25.5" x14ac:dyDescent="0.2">
      <c r="A721" s="449">
        <v>42</v>
      </c>
      <c r="B721" s="450" t="s">
        <v>371</v>
      </c>
      <c r="C721" s="440">
        <f t="shared" ref="C721:G721" si="1143">SUM(C722,C727,C730)</f>
        <v>3943000</v>
      </c>
      <c r="D721" s="441"/>
      <c r="E721" s="441">
        <f t="shared" ref="E721" si="1144">SUM(E722,E727,E730)</f>
        <v>776000</v>
      </c>
      <c r="F721" s="446">
        <f t="shared" si="1143"/>
        <v>4777000</v>
      </c>
      <c r="G721" s="446">
        <f t="shared" si="1143"/>
        <v>4927000</v>
      </c>
      <c r="H721" s="446">
        <f t="shared" ref="H721:I721" si="1145">SUM(H722,H727,H730)</f>
        <v>5045000</v>
      </c>
      <c r="I721" s="446">
        <f t="shared" si="1145"/>
        <v>3575000</v>
      </c>
      <c r="J721" s="446">
        <f t="shared" ref="J721:K721" si="1146">SUM(J722,J727,J730)</f>
        <v>5050000</v>
      </c>
      <c r="K721" s="337">
        <f t="shared" si="1146"/>
        <v>4269000</v>
      </c>
      <c r="L721" s="338"/>
      <c r="M721" s="337">
        <f t="shared" ref="M721:O721" si="1147">SUM(M722,M727,M730)</f>
        <v>268000</v>
      </c>
      <c r="N721" s="337">
        <f t="shared" ref="N721" si="1148">SUM(N722,N727,N730)</f>
        <v>-1352000</v>
      </c>
      <c r="O721" s="337">
        <f t="shared" si="1147"/>
        <v>0</v>
      </c>
      <c r="P721" s="35"/>
      <c r="Q721" s="35"/>
      <c r="R721" s="35"/>
      <c r="S721" s="35"/>
    </row>
    <row r="722" spans="1:19" x14ac:dyDescent="0.2">
      <c r="A722" s="308">
        <v>422</v>
      </c>
      <c r="B722" s="309" t="s">
        <v>53</v>
      </c>
      <c r="C722" s="162">
        <f t="shared" ref="C722:G722" si="1149">SUM(C723:C726)</f>
        <v>2608000</v>
      </c>
      <c r="D722" s="163"/>
      <c r="E722" s="163">
        <f t="shared" ref="E722" si="1150">SUM(E723:E726)</f>
        <v>776000</v>
      </c>
      <c r="F722" s="298">
        <f t="shared" si="1149"/>
        <v>3185000</v>
      </c>
      <c r="G722" s="298">
        <f t="shared" si="1149"/>
        <v>3185000</v>
      </c>
      <c r="H722" s="298">
        <f t="shared" ref="H722:I722" si="1151">SUM(H723:H726)</f>
        <v>4645000</v>
      </c>
      <c r="I722" s="298">
        <f t="shared" si="1151"/>
        <v>2375000</v>
      </c>
      <c r="J722" s="298">
        <f t="shared" ref="J722:K722" si="1152">SUM(J723:J726)</f>
        <v>2450000</v>
      </c>
      <c r="K722" s="298">
        <f t="shared" si="1152"/>
        <v>3869000</v>
      </c>
      <c r="L722" s="165"/>
      <c r="M722" s="298">
        <f t="shared" ref="M722:O722" si="1153">SUM(M723:M726)</f>
        <v>1460000</v>
      </c>
      <c r="N722" s="298">
        <f t="shared" ref="N722" si="1154">SUM(N723:N726)</f>
        <v>-810000</v>
      </c>
      <c r="O722" s="298">
        <f t="shared" si="1153"/>
        <v>0</v>
      </c>
      <c r="P722" s="35"/>
      <c r="Q722" s="35"/>
      <c r="R722" s="35"/>
      <c r="S722" s="35"/>
    </row>
    <row r="723" spans="1:19" s="4" customFormat="1" x14ac:dyDescent="0.2">
      <c r="A723" s="314">
        <v>4221</v>
      </c>
      <c r="B723" s="315" t="s">
        <v>54</v>
      </c>
      <c r="C723" s="255">
        <v>149000</v>
      </c>
      <c r="D723" s="256"/>
      <c r="E723" s="256">
        <v>320000</v>
      </c>
      <c r="F723" s="279">
        <v>149000</v>
      </c>
      <c r="G723" s="279">
        <v>149000</v>
      </c>
      <c r="H723" s="279">
        <v>75000</v>
      </c>
      <c r="I723" s="279">
        <v>125000</v>
      </c>
      <c r="J723" s="279">
        <v>150000</v>
      </c>
      <c r="K723" s="105">
        <f t="shared" ref="K723:K726" si="1155">H723-E723</f>
        <v>-245000</v>
      </c>
      <c r="L723" s="104"/>
      <c r="M723" s="105">
        <f t="shared" ref="M723:N726" si="1156">H723-F723</f>
        <v>-74000</v>
      </c>
      <c r="N723" s="105">
        <f t="shared" si="1156"/>
        <v>-24000</v>
      </c>
      <c r="O723" s="279"/>
      <c r="P723" s="35"/>
      <c r="Q723" s="35"/>
      <c r="R723" s="35"/>
      <c r="S723" s="35"/>
    </row>
    <row r="724" spans="1:19" s="4" customFormat="1" x14ac:dyDescent="0.2">
      <c r="A724" s="314">
        <v>4222</v>
      </c>
      <c r="B724" s="315" t="s">
        <v>58</v>
      </c>
      <c r="C724" s="255">
        <v>199000</v>
      </c>
      <c r="D724" s="256"/>
      <c r="E724" s="256">
        <v>0</v>
      </c>
      <c r="F724" s="279">
        <v>249000</v>
      </c>
      <c r="G724" s="279">
        <v>249000</v>
      </c>
      <c r="H724" s="279">
        <v>50000</v>
      </c>
      <c r="I724" s="279">
        <v>150000</v>
      </c>
      <c r="J724" s="279">
        <v>200000</v>
      </c>
      <c r="K724" s="105">
        <f t="shared" si="1155"/>
        <v>50000</v>
      </c>
      <c r="L724" s="104"/>
      <c r="M724" s="105">
        <f t="shared" si="1156"/>
        <v>-199000</v>
      </c>
      <c r="N724" s="105">
        <f t="shared" si="1156"/>
        <v>-99000</v>
      </c>
      <c r="O724" s="279"/>
      <c r="P724" s="35"/>
      <c r="Q724" s="35"/>
      <c r="R724" s="35"/>
      <c r="S724" s="35"/>
    </row>
    <row r="725" spans="1:19" s="4" customFormat="1" x14ac:dyDescent="0.2">
      <c r="A725" s="314">
        <v>4223</v>
      </c>
      <c r="B725" s="315" t="s">
        <v>59</v>
      </c>
      <c r="C725" s="255">
        <v>1991000</v>
      </c>
      <c r="D725" s="256"/>
      <c r="E725" s="256">
        <v>456000</v>
      </c>
      <c r="F725" s="279">
        <v>2488000</v>
      </c>
      <c r="G725" s="279">
        <v>2488000</v>
      </c>
      <c r="H725" s="279">
        <v>4500000</v>
      </c>
      <c r="I725" s="279">
        <v>2000000</v>
      </c>
      <c r="J725" s="279">
        <v>2000000</v>
      </c>
      <c r="K725" s="105">
        <f t="shared" si="1155"/>
        <v>4044000</v>
      </c>
      <c r="L725" s="104"/>
      <c r="M725" s="105">
        <f t="shared" si="1156"/>
        <v>2012000</v>
      </c>
      <c r="N725" s="105">
        <f t="shared" si="1156"/>
        <v>-488000</v>
      </c>
      <c r="O725" s="279"/>
      <c r="P725" s="35"/>
      <c r="Q725" s="35"/>
      <c r="R725" s="35"/>
      <c r="S725" s="35"/>
    </row>
    <row r="726" spans="1:19" s="4" customFormat="1" x14ac:dyDescent="0.2">
      <c r="A726" s="331">
        <v>4227</v>
      </c>
      <c r="B726" s="332" t="s">
        <v>60</v>
      </c>
      <c r="C726" s="255">
        <v>269000</v>
      </c>
      <c r="D726" s="256"/>
      <c r="E726" s="256">
        <v>0</v>
      </c>
      <c r="F726" s="279">
        <v>299000</v>
      </c>
      <c r="G726" s="279">
        <v>299000</v>
      </c>
      <c r="H726" s="279">
        <v>20000</v>
      </c>
      <c r="I726" s="279">
        <v>100000</v>
      </c>
      <c r="J726" s="279">
        <v>100000</v>
      </c>
      <c r="K726" s="105">
        <f t="shared" si="1155"/>
        <v>20000</v>
      </c>
      <c r="L726" s="104"/>
      <c r="M726" s="105">
        <f t="shared" si="1156"/>
        <v>-279000</v>
      </c>
      <c r="N726" s="105">
        <f t="shared" si="1156"/>
        <v>-199000</v>
      </c>
      <c r="O726" s="279"/>
      <c r="P726" s="35"/>
      <c r="Q726" s="35"/>
      <c r="R726" s="35"/>
      <c r="S726" s="35"/>
    </row>
    <row r="727" spans="1:19" x14ac:dyDescent="0.2">
      <c r="A727" s="308">
        <v>423</v>
      </c>
      <c r="B727" s="309" t="s">
        <v>61</v>
      </c>
      <c r="C727" s="162">
        <f t="shared" ref="C727:G727" si="1157">SUM(C728:C729)</f>
        <v>1195000</v>
      </c>
      <c r="D727" s="163"/>
      <c r="E727" s="163">
        <f t="shared" ref="E727" si="1158">SUM(E728:E729)</f>
        <v>0</v>
      </c>
      <c r="F727" s="298">
        <f t="shared" si="1157"/>
        <v>1393000</v>
      </c>
      <c r="G727" s="298">
        <f t="shared" si="1157"/>
        <v>1443000</v>
      </c>
      <c r="H727" s="298">
        <f t="shared" ref="H727:I727" si="1159">SUM(H728:H729)</f>
        <v>300000</v>
      </c>
      <c r="I727" s="298">
        <f t="shared" si="1159"/>
        <v>1000000</v>
      </c>
      <c r="J727" s="298">
        <f t="shared" ref="J727:K727" si="1160">SUM(J728:J729)</f>
        <v>2400000</v>
      </c>
      <c r="K727" s="298">
        <f t="shared" si="1160"/>
        <v>300000</v>
      </c>
      <c r="L727" s="165"/>
      <c r="M727" s="298">
        <f t="shared" ref="M727:O727" si="1161">SUM(M728:M729)</f>
        <v>-1093000</v>
      </c>
      <c r="N727" s="298">
        <f t="shared" ref="N727" si="1162">SUM(N728:N729)</f>
        <v>-443000</v>
      </c>
      <c r="O727" s="298">
        <f t="shared" si="1161"/>
        <v>0</v>
      </c>
      <c r="P727" s="35"/>
      <c r="Q727" s="35"/>
      <c r="R727" s="35"/>
      <c r="S727" s="35"/>
    </row>
    <row r="728" spans="1:19" s="4" customFormat="1" x14ac:dyDescent="0.2">
      <c r="A728" s="314">
        <v>4231</v>
      </c>
      <c r="B728" s="315" t="s">
        <v>62</v>
      </c>
      <c r="C728" s="255">
        <v>697000</v>
      </c>
      <c r="D728" s="256"/>
      <c r="E728" s="256">
        <v>0</v>
      </c>
      <c r="F728" s="279">
        <v>796000</v>
      </c>
      <c r="G728" s="279">
        <v>796000</v>
      </c>
      <c r="H728" s="279">
        <v>300000</v>
      </c>
      <c r="I728" s="279">
        <v>1000000</v>
      </c>
      <c r="J728" s="279">
        <v>1000000</v>
      </c>
      <c r="K728" s="105">
        <f t="shared" ref="K728:K729" si="1163">H728-E728</f>
        <v>300000</v>
      </c>
      <c r="L728" s="104"/>
      <c r="M728" s="105">
        <f t="shared" ref="M728:M729" si="1164">H728-F728</f>
        <v>-496000</v>
      </c>
      <c r="N728" s="105">
        <f>I728-G728</f>
        <v>204000</v>
      </c>
      <c r="O728" s="279"/>
      <c r="P728" s="35"/>
      <c r="Q728" s="35"/>
      <c r="R728" s="35"/>
      <c r="S728" s="35"/>
    </row>
    <row r="729" spans="1:19" s="4" customFormat="1" x14ac:dyDescent="0.2">
      <c r="A729" s="314">
        <v>4233</v>
      </c>
      <c r="B729" s="315" t="s">
        <v>227</v>
      </c>
      <c r="C729" s="255">
        <v>498000</v>
      </c>
      <c r="D729" s="256"/>
      <c r="E729" s="256">
        <v>0</v>
      </c>
      <c r="F729" s="279">
        <v>597000</v>
      </c>
      <c r="G729" s="279">
        <v>647000</v>
      </c>
      <c r="H729" s="279"/>
      <c r="I729" s="279"/>
      <c r="J729" s="279">
        <v>1400000</v>
      </c>
      <c r="K729" s="105">
        <f t="shared" si="1163"/>
        <v>0</v>
      </c>
      <c r="L729" s="104"/>
      <c r="M729" s="105">
        <f t="shared" si="1164"/>
        <v>-597000</v>
      </c>
      <c r="N729" s="105">
        <f>I729-G729</f>
        <v>-647000</v>
      </c>
      <c r="O729" s="279"/>
      <c r="P729" s="35"/>
      <c r="Q729" s="35"/>
      <c r="R729" s="35"/>
      <c r="S729" s="35"/>
    </row>
    <row r="730" spans="1:19" x14ac:dyDescent="0.2">
      <c r="A730" s="308">
        <v>426</v>
      </c>
      <c r="B730" s="309" t="s">
        <v>73</v>
      </c>
      <c r="C730" s="162">
        <f t="shared" ref="C730:O730" si="1165">SUM(C731)</f>
        <v>140000</v>
      </c>
      <c r="D730" s="163"/>
      <c r="E730" s="163">
        <f t="shared" si="1165"/>
        <v>0</v>
      </c>
      <c r="F730" s="298">
        <f t="shared" si="1165"/>
        <v>199000</v>
      </c>
      <c r="G730" s="298">
        <f t="shared" si="1165"/>
        <v>299000</v>
      </c>
      <c r="H730" s="298">
        <f t="shared" si="1165"/>
        <v>100000</v>
      </c>
      <c r="I730" s="298">
        <f t="shared" si="1165"/>
        <v>200000</v>
      </c>
      <c r="J730" s="298">
        <f t="shared" si="1165"/>
        <v>200000</v>
      </c>
      <c r="K730" s="298">
        <f t="shared" si="1165"/>
        <v>100000</v>
      </c>
      <c r="L730" s="165"/>
      <c r="M730" s="298">
        <f t="shared" si="1165"/>
        <v>-99000</v>
      </c>
      <c r="N730" s="298">
        <f t="shared" si="1165"/>
        <v>-99000</v>
      </c>
      <c r="O730" s="298">
        <f t="shared" si="1165"/>
        <v>0</v>
      </c>
      <c r="P730" s="35"/>
      <c r="Q730" s="35"/>
      <c r="R730" s="35"/>
      <c r="S730" s="35"/>
    </row>
    <row r="731" spans="1:19" s="4" customFormat="1" x14ac:dyDescent="0.2">
      <c r="A731" s="314">
        <v>4262</v>
      </c>
      <c r="B731" s="315" t="s">
        <v>88</v>
      </c>
      <c r="C731" s="255">
        <v>140000</v>
      </c>
      <c r="D731" s="256"/>
      <c r="E731" s="256">
        <v>0</v>
      </c>
      <c r="F731" s="279">
        <v>199000</v>
      </c>
      <c r="G731" s="279">
        <v>299000</v>
      </c>
      <c r="H731" s="279">
        <v>100000</v>
      </c>
      <c r="I731" s="279">
        <v>200000</v>
      </c>
      <c r="J731" s="279">
        <v>200000</v>
      </c>
      <c r="K731" s="105">
        <f t="shared" ref="K731" si="1166">H731-E731</f>
        <v>100000</v>
      </c>
      <c r="L731" s="104"/>
      <c r="M731" s="105">
        <f t="shared" ref="M731" si="1167">H731-F731</f>
        <v>-99000</v>
      </c>
      <c r="N731" s="105">
        <f>I731-G731</f>
        <v>-99000</v>
      </c>
      <c r="O731" s="279"/>
      <c r="P731" s="35"/>
      <c r="Q731" s="35"/>
      <c r="R731" s="35"/>
      <c r="S731" s="35"/>
    </row>
    <row r="732" spans="1:19" ht="25.5" x14ac:dyDescent="0.2">
      <c r="A732" s="223" t="s">
        <v>349</v>
      </c>
      <c r="B732" s="224" t="s">
        <v>350</v>
      </c>
      <c r="C732" s="225">
        <f t="shared" ref="C732:O732" si="1168">C733</f>
        <v>7000</v>
      </c>
      <c r="D732" s="226"/>
      <c r="E732" s="226">
        <f t="shared" si="1168"/>
        <v>0</v>
      </c>
      <c r="F732" s="227">
        <f t="shared" si="1168"/>
        <v>3000</v>
      </c>
      <c r="G732" s="227">
        <f t="shared" si="1168"/>
        <v>0</v>
      </c>
      <c r="H732" s="227">
        <f t="shared" si="1168"/>
        <v>0</v>
      </c>
      <c r="I732" s="227">
        <f t="shared" si="1168"/>
        <v>0</v>
      </c>
      <c r="J732" s="227">
        <f t="shared" si="1168"/>
        <v>0</v>
      </c>
      <c r="K732" s="227">
        <f t="shared" si="1168"/>
        <v>0</v>
      </c>
      <c r="L732" s="228"/>
      <c r="M732" s="227">
        <f t="shared" si="1168"/>
        <v>-3000</v>
      </c>
      <c r="N732" s="227">
        <f t="shared" si="1168"/>
        <v>0</v>
      </c>
      <c r="O732" s="227">
        <f t="shared" si="1168"/>
        <v>0</v>
      </c>
      <c r="P732" s="35"/>
      <c r="Q732" s="35"/>
      <c r="R732" s="35"/>
      <c r="S732" s="35"/>
    </row>
    <row r="733" spans="1:19" x14ac:dyDescent="0.2">
      <c r="A733" s="701" t="s">
        <v>77</v>
      </c>
      <c r="B733" s="702"/>
      <c r="C733" s="229">
        <f t="shared" ref="C733:O735" si="1169">SUM(C734)</f>
        <v>7000</v>
      </c>
      <c r="D733" s="230"/>
      <c r="E733" s="230">
        <f t="shared" si="1169"/>
        <v>0</v>
      </c>
      <c r="F733" s="231">
        <f t="shared" si="1169"/>
        <v>3000</v>
      </c>
      <c r="G733" s="231">
        <f t="shared" si="1169"/>
        <v>0</v>
      </c>
      <c r="H733" s="231">
        <f t="shared" si="1169"/>
        <v>0</v>
      </c>
      <c r="I733" s="231">
        <f t="shared" si="1169"/>
        <v>0</v>
      </c>
      <c r="J733" s="231">
        <f t="shared" si="1169"/>
        <v>0</v>
      </c>
      <c r="K733" s="240">
        <f t="shared" si="1169"/>
        <v>0</v>
      </c>
      <c r="L733" s="241"/>
      <c r="M733" s="240">
        <f t="shared" si="1169"/>
        <v>-3000</v>
      </c>
      <c r="N733" s="240">
        <f t="shared" si="1169"/>
        <v>0</v>
      </c>
      <c r="O733" s="240">
        <f t="shared" si="1169"/>
        <v>0</v>
      </c>
      <c r="P733" s="35"/>
      <c r="Q733" s="35"/>
      <c r="R733" s="35"/>
      <c r="S733" s="35"/>
    </row>
    <row r="734" spans="1:19" ht="18" customHeight="1" x14ac:dyDescent="0.2">
      <c r="A734" s="438">
        <v>32</v>
      </c>
      <c r="B734" s="439" t="s">
        <v>325</v>
      </c>
      <c r="C734" s="440">
        <f t="shared" si="1169"/>
        <v>7000</v>
      </c>
      <c r="D734" s="441"/>
      <c r="E734" s="441">
        <f t="shared" si="1169"/>
        <v>0</v>
      </c>
      <c r="F734" s="442">
        <f t="shared" si="1169"/>
        <v>3000</v>
      </c>
      <c r="G734" s="442">
        <f t="shared" si="1169"/>
        <v>0</v>
      </c>
      <c r="H734" s="442">
        <f t="shared" si="1169"/>
        <v>0</v>
      </c>
      <c r="I734" s="442">
        <f t="shared" si="1169"/>
        <v>0</v>
      </c>
      <c r="J734" s="442">
        <f t="shared" si="1169"/>
        <v>0</v>
      </c>
      <c r="K734" s="294">
        <f t="shared" si="1169"/>
        <v>0</v>
      </c>
      <c r="L734" s="295"/>
      <c r="M734" s="294">
        <f t="shared" si="1169"/>
        <v>-3000</v>
      </c>
      <c r="N734" s="294">
        <f t="shared" si="1169"/>
        <v>0</v>
      </c>
      <c r="O734" s="294">
        <f t="shared" si="1169"/>
        <v>0</v>
      </c>
      <c r="P734" s="35"/>
      <c r="Q734" s="35"/>
      <c r="R734" s="35"/>
      <c r="S734" s="35"/>
    </row>
    <row r="735" spans="1:19" x14ac:dyDescent="0.2">
      <c r="A735" s="296" t="s">
        <v>149</v>
      </c>
      <c r="B735" s="297" t="s">
        <v>12</v>
      </c>
      <c r="C735" s="162">
        <f t="shared" si="1169"/>
        <v>7000</v>
      </c>
      <c r="D735" s="163"/>
      <c r="E735" s="163">
        <f t="shared" si="1169"/>
        <v>0</v>
      </c>
      <c r="F735" s="298">
        <f t="shared" si="1169"/>
        <v>3000</v>
      </c>
      <c r="G735" s="298">
        <f t="shared" si="1169"/>
        <v>0</v>
      </c>
      <c r="H735" s="298">
        <f t="shared" si="1169"/>
        <v>0</v>
      </c>
      <c r="I735" s="298">
        <f t="shared" si="1169"/>
        <v>0</v>
      </c>
      <c r="J735" s="298">
        <f t="shared" si="1169"/>
        <v>0</v>
      </c>
      <c r="K735" s="298">
        <f t="shared" si="1169"/>
        <v>0</v>
      </c>
      <c r="L735" s="165"/>
      <c r="M735" s="298">
        <f t="shared" si="1169"/>
        <v>-3000</v>
      </c>
      <c r="N735" s="298">
        <f t="shared" si="1169"/>
        <v>0</v>
      </c>
      <c r="O735" s="298">
        <f t="shared" si="1169"/>
        <v>0</v>
      </c>
      <c r="P735" s="35"/>
      <c r="Q735" s="35"/>
      <c r="R735" s="35"/>
      <c r="S735" s="35"/>
    </row>
    <row r="736" spans="1:19" x14ac:dyDescent="0.2">
      <c r="A736" s="185">
        <v>3213</v>
      </c>
      <c r="B736" s="299" t="s">
        <v>15</v>
      </c>
      <c r="C736" s="169">
        <v>7000</v>
      </c>
      <c r="D736" s="170"/>
      <c r="E736" s="170">
        <v>0</v>
      </c>
      <c r="F736" s="215">
        <v>3000</v>
      </c>
      <c r="G736" s="215"/>
      <c r="H736" s="215"/>
      <c r="I736" s="215"/>
      <c r="J736" s="215"/>
      <c r="K736" s="105">
        <f t="shared" ref="K736" si="1170">H736-E736</f>
        <v>0</v>
      </c>
      <c r="L736" s="104"/>
      <c r="M736" s="105">
        <f>H736-F736</f>
        <v>-3000</v>
      </c>
      <c r="N736" s="105">
        <f>I736-G736</f>
        <v>0</v>
      </c>
      <c r="O736" s="215"/>
      <c r="P736" s="35"/>
      <c r="Q736" s="35"/>
      <c r="R736" s="35"/>
      <c r="S736" s="35"/>
    </row>
    <row r="737" spans="1:19" ht="38.25" x14ac:dyDescent="0.2">
      <c r="A737" s="223" t="s">
        <v>351</v>
      </c>
      <c r="B737" s="224" t="s">
        <v>352</v>
      </c>
      <c r="C737" s="225">
        <f t="shared" ref="C737:O740" si="1171">SUM(C738)</f>
        <v>7000</v>
      </c>
      <c r="D737" s="226"/>
      <c r="E737" s="226">
        <f t="shared" si="1171"/>
        <v>0</v>
      </c>
      <c r="F737" s="227">
        <f t="shared" si="1171"/>
        <v>3000</v>
      </c>
      <c r="G737" s="227">
        <f t="shared" si="1171"/>
        <v>0</v>
      </c>
      <c r="H737" s="227">
        <f t="shared" si="1171"/>
        <v>0</v>
      </c>
      <c r="I737" s="227">
        <f t="shared" si="1171"/>
        <v>0</v>
      </c>
      <c r="J737" s="227">
        <f t="shared" si="1171"/>
        <v>0</v>
      </c>
      <c r="K737" s="227">
        <f t="shared" si="1171"/>
        <v>0</v>
      </c>
      <c r="L737" s="228"/>
      <c r="M737" s="227">
        <f t="shared" si="1171"/>
        <v>-3000</v>
      </c>
      <c r="N737" s="227">
        <f t="shared" si="1171"/>
        <v>0</v>
      </c>
      <c r="O737" s="227">
        <f t="shared" si="1171"/>
        <v>0</v>
      </c>
      <c r="P737" s="35"/>
      <c r="Q737" s="35"/>
      <c r="R737" s="35"/>
      <c r="S737" s="35"/>
    </row>
    <row r="738" spans="1:19" x14ac:dyDescent="0.2">
      <c r="A738" s="701" t="s">
        <v>77</v>
      </c>
      <c r="B738" s="702"/>
      <c r="C738" s="229">
        <f t="shared" si="1171"/>
        <v>7000</v>
      </c>
      <c r="D738" s="230"/>
      <c r="E738" s="230">
        <f t="shared" si="1171"/>
        <v>0</v>
      </c>
      <c r="F738" s="231">
        <f t="shared" si="1171"/>
        <v>3000</v>
      </c>
      <c r="G738" s="231">
        <f t="shared" si="1171"/>
        <v>0</v>
      </c>
      <c r="H738" s="231">
        <f t="shared" si="1171"/>
        <v>0</v>
      </c>
      <c r="I738" s="231">
        <f t="shared" si="1171"/>
        <v>0</v>
      </c>
      <c r="J738" s="231">
        <f t="shared" si="1171"/>
        <v>0</v>
      </c>
      <c r="K738" s="240">
        <f t="shared" si="1171"/>
        <v>0</v>
      </c>
      <c r="L738" s="241"/>
      <c r="M738" s="240">
        <f t="shared" si="1171"/>
        <v>-3000</v>
      </c>
      <c r="N738" s="240">
        <f t="shared" si="1171"/>
        <v>0</v>
      </c>
      <c r="O738" s="240">
        <f t="shared" si="1171"/>
        <v>0</v>
      </c>
      <c r="P738" s="35"/>
      <c r="Q738" s="35"/>
      <c r="R738" s="35"/>
      <c r="S738" s="35"/>
    </row>
    <row r="739" spans="1:19" ht="15.75" customHeight="1" x14ac:dyDescent="0.2">
      <c r="A739" s="438">
        <v>32</v>
      </c>
      <c r="B739" s="439" t="s">
        <v>325</v>
      </c>
      <c r="C739" s="440">
        <f t="shared" si="1171"/>
        <v>7000</v>
      </c>
      <c r="D739" s="441"/>
      <c r="E739" s="441">
        <f t="shared" si="1171"/>
        <v>0</v>
      </c>
      <c r="F739" s="442">
        <f t="shared" si="1171"/>
        <v>3000</v>
      </c>
      <c r="G739" s="442">
        <f t="shared" si="1171"/>
        <v>0</v>
      </c>
      <c r="H739" s="442">
        <f t="shared" si="1171"/>
        <v>0</v>
      </c>
      <c r="I739" s="442">
        <f t="shared" si="1171"/>
        <v>0</v>
      </c>
      <c r="J739" s="442">
        <f t="shared" si="1171"/>
        <v>0</v>
      </c>
      <c r="K739" s="294">
        <f t="shared" si="1171"/>
        <v>0</v>
      </c>
      <c r="L739" s="295"/>
      <c r="M739" s="294">
        <f t="shared" si="1171"/>
        <v>-3000</v>
      </c>
      <c r="N739" s="294">
        <f t="shared" si="1171"/>
        <v>0</v>
      </c>
      <c r="O739" s="294">
        <f t="shared" si="1171"/>
        <v>0</v>
      </c>
      <c r="P739" s="35"/>
      <c r="Q739" s="35"/>
      <c r="R739" s="35"/>
      <c r="S739" s="35"/>
    </row>
    <row r="740" spans="1:19" x14ac:dyDescent="0.2">
      <c r="A740" s="296" t="s">
        <v>149</v>
      </c>
      <c r="B740" s="297" t="s">
        <v>12</v>
      </c>
      <c r="C740" s="162">
        <f t="shared" si="1171"/>
        <v>7000</v>
      </c>
      <c r="D740" s="163"/>
      <c r="E740" s="163">
        <f t="shared" si="1171"/>
        <v>0</v>
      </c>
      <c r="F740" s="298">
        <f t="shared" si="1171"/>
        <v>3000</v>
      </c>
      <c r="G740" s="298">
        <f t="shared" si="1171"/>
        <v>0</v>
      </c>
      <c r="H740" s="298">
        <f t="shared" si="1171"/>
        <v>0</v>
      </c>
      <c r="I740" s="298">
        <f t="shared" si="1171"/>
        <v>0</v>
      </c>
      <c r="J740" s="298">
        <f t="shared" si="1171"/>
        <v>0</v>
      </c>
      <c r="K740" s="298">
        <f t="shared" si="1171"/>
        <v>0</v>
      </c>
      <c r="L740" s="165"/>
      <c r="M740" s="298">
        <f t="shared" si="1171"/>
        <v>-3000</v>
      </c>
      <c r="N740" s="298">
        <f t="shared" si="1171"/>
        <v>0</v>
      </c>
      <c r="O740" s="298">
        <f t="shared" si="1171"/>
        <v>0</v>
      </c>
      <c r="P740" s="35"/>
      <c r="Q740" s="35"/>
      <c r="R740" s="35"/>
      <c r="S740" s="35"/>
    </row>
    <row r="741" spans="1:19" s="4" customFormat="1" ht="12.75" customHeight="1" x14ac:dyDescent="0.2">
      <c r="A741" s="185">
        <v>3213</v>
      </c>
      <c r="B741" s="299" t="s">
        <v>15</v>
      </c>
      <c r="C741" s="169">
        <v>7000</v>
      </c>
      <c r="D741" s="170"/>
      <c r="E741" s="170">
        <v>0</v>
      </c>
      <c r="F741" s="215">
        <v>3000</v>
      </c>
      <c r="G741" s="215"/>
      <c r="H741" s="215"/>
      <c r="I741" s="215"/>
      <c r="J741" s="215"/>
      <c r="K741" s="105">
        <f t="shared" ref="K741" si="1172">H741-E741</f>
        <v>0</v>
      </c>
      <c r="L741" s="104"/>
      <c r="M741" s="105">
        <f>H741-F741</f>
        <v>-3000</v>
      </c>
      <c r="N741" s="105">
        <f>I741-G741</f>
        <v>0</v>
      </c>
      <c r="O741" s="215"/>
      <c r="P741" s="35"/>
      <c r="Q741" s="35"/>
      <c r="R741" s="35"/>
      <c r="S741" s="35"/>
    </row>
    <row r="742" spans="1:19" s="4" customFormat="1" ht="43.5" customHeight="1" x14ac:dyDescent="0.2">
      <c r="A742" s="345" t="s">
        <v>383</v>
      </c>
      <c r="B742" s="346" t="s">
        <v>384</v>
      </c>
      <c r="C742" s="225">
        <f>SUM(C743)</f>
        <v>0</v>
      </c>
      <c r="D742" s="347"/>
      <c r="E742" s="347">
        <f>SUM(E743)</f>
        <v>0</v>
      </c>
      <c r="F742" s="348">
        <f t="shared" ref="F742:O742" si="1173">SUM(F743)</f>
        <v>0</v>
      </c>
      <c r="G742" s="348">
        <f t="shared" si="1173"/>
        <v>0</v>
      </c>
      <c r="H742" s="348">
        <f t="shared" si="1173"/>
        <v>7423000</v>
      </c>
      <c r="I742" s="348">
        <f t="shared" si="1173"/>
        <v>5843000</v>
      </c>
      <c r="J742" s="348">
        <f t="shared" si="1173"/>
        <v>8000</v>
      </c>
      <c r="K742" s="348">
        <f t="shared" si="1173"/>
        <v>7423000</v>
      </c>
      <c r="L742" s="348"/>
      <c r="M742" s="348">
        <f t="shared" si="1173"/>
        <v>7423000</v>
      </c>
      <c r="N742" s="348">
        <f t="shared" si="1173"/>
        <v>5843000</v>
      </c>
      <c r="O742" s="348">
        <f t="shared" si="1173"/>
        <v>0</v>
      </c>
      <c r="P742" s="35"/>
      <c r="Q742" s="35"/>
      <c r="R742" s="35"/>
      <c r="S742" s="35"/>
    </row>
    <row r="743" spans="1:19" s="4" customFormat="1" ht="19.5" customHeight="1" x14ac:dyDescent="0.2">
      <c r="A743" s="699" t="s">
        <v>77</v>
      </c>
      <c r="B743" s="700"/>
      <c r="C743" s="229">
        <f t="shared" ref="C743:O743" si="1174">SUM(C744,C751,C755)</f>
        <v>0</v>
      </c>
      <c r="D743" s="230"/>
      <c r="E743" s="230">
        <f t="shared" si="1174"/>
        <v>0</v>
      </c>
      <c r="F743" s="232">
        <f t="shared" si="1174"/>
        <v>0</v>
      </c>
      <c r="G743" s="232">
        <f t="shared" si="1174"/>
        <v>0</v>
      </c>
      <c r="H743" s="232">
        <f t="shared" si="1174"/>
        <v>7423000</v>
      </c>
      <c r="I743" s="232">
        <f t="shared" si="1174"/>
        <v>5843000</v>
      </c>
      <c r="J743" s="232">
        <f t="shared" si="1174"/>
        <v>8000</v>
      </c>
      <c r="K743" s="241">
        <f t="shared" si="1174"/>
        <v>7423000</v>
      </c>
      <c r="L743" s="241"/>
      <c r="M743" s="241">
        <f t="shared" si="1174"/>
        <v>7423000</v>
      </c>
      <c r="N743" s="241">
        <f t="shared" si="1174"/>
        <v>5843000</v>
      </c>
      <c r="O743" s="241">
        <f t="shared" si="1174"/>
        <v>0</v>
      </c>
      <c r="P743" s="35"/>
      <c r="Q743" s="35"/>
      <c r="R743" s="35"/>
      <c r="S743" s="35"/>
    </row>
    <row r="744" spans="1:19" x14ac:dyDescent="0.2">
      <c r="A744" s="453">
        <v>32</v>
      </c>
      <c r="B744" s="454" t="s">
        <v>325</v>
      </c>
      <c r="C744" s="440">
        <f>SUM(C745,C747,C749)</f>
        <v>0</v>
      </c>
      <c r="D744" s="441"/>
      <c r="E744" s="441">
        <f t="shared" ref="E744:N744" si="1175">SUM(E745,E747,E749)</f>
        <v>0</v>
      </c>
      <c r="F744" s="455">
        <f t="shared" si="1175"/>
        <v>0</v>
      </c>
      <c r="G744" s="455">
        <f t="shared" si="1175"/>
        <v>0</v>
      </c>
      <c r="H744" s="455">
        <f t="shared" si="1175"/>
        <v>5508000</v>
      </c>
      <c r="I744" s="455">
        <f t="shared" si="1175"/>
        <v>5243000</v>
      </c>
      <c r="J744" s="455">
        <f t="shared" si="1175"/>
        <v>8000</v>
      </c>
      <c r="K744" s="295">
        <f t="shared" si="1175"/>
        <v>5508000</v>
      </c>
      <c r="L744" s="295"/>
      <c r="M744" s="295">
        <f t="shared" si="1175"/>
        <v>5508000</v>
      </c>
      <c r="N744" s="295">
        <f t="shared" si="1175"/>
        <v>5243000</v>
      </c>
      <c r="O744" s="295">
        <f>SUM(O749)</f>
        <v>0</v>
      </c>
      <c r="P744" s="35"/>
      <c r="Q744" s="35"/>
      <c r="R744" s="35"/>
      <c r="S744" s="35"/>
    </row>
    <row r="745" spans="1:19" x14ac:dyDescent="0.2">
      <c r="A745" s="320">
        <v>322</v>
      </c>
      <c r="B745" s="321" t="s">
        <v>16</v>
      </c>
      <c r="C745" s="322">
        <f t="shared" ref="C745:G745" si="1176">SUM(C746)</f>
        <v>0</v>
      </c>
      <c r="D745" s="323"/>
      <c r="E745" s="323">
        <f t="shared" si="1176"/>
        <v>0</v>
      </c>
      <c r="F745" s="325">
        <f t="shared" si="1176"/>
        <v>0</v>
      </c>
      <c r="G745" s="325">
        <f t="shared" si="1176"/>
        <v>0</v>
      </c>
      <c r="H745" s="325">
        <f>SUM(H746)</f>
        <v>5500000</v>
      </c>
      <c r="I745" s="325">
        <f t="shared" ref="I745" si="1177">SUM(I746)</f>
        <v>5235000</v>
      </c>
      <c r="J745" s="325">
        <f t="shared" ref="J745" si="1178">SUM(J746)</f>
        <v>0</v>
      </c>
      <c r="K745" s="325">
        <f t="shared" ref="K745" si="1179">SUM(K746)</f>
        <v>5500000</v>
      </c>
      <c r="L745" s="325"/>
      <c r="M745" s="325">
        <f t="shared" ref="M745" si="1180">SUM(M746)</f>
        <v>5500000</v>
      </c>
      <c r="N745" s="325">
        <f t="shared" ref="N745" si="1181">SUM(N746)</f>
        <v>5235000</v>
      </c>
      <c r="O745" s="325"/>
      <c r="P745" s="35"/>
      <c r="Q745" s="35"/>
      <c r="R745" s="35"/>
      <c r="S745" s="35"/>
    </row>
    <row r="746" spans="1:19" x14ac:dyDescent="0.2">
      <c r="A746" s="316">
        <v>3221</v>
      </c>
      <c r="B746" s="317" t="s">
        <v>17</v>
      </c>
      <c r="C746" s="322"/>
      <c r="D746" s="323"/>
      <c r="E746" s="323"/>
      <c r="F746" s="325"/>
      <c r="G746" s="325"/>
      <c r="H746" s="326">
        <v>5500000</v>
      </c>
      <c r="I746" s="326">
        <v>5235000</v>
      </c>
      <c r="J746" s="326"/>
      <c r="K746" s="105">
        <f t="shared" ref="K746" si="1182">H746-E746</f>
        <v>5500000</v>
      </c>
      <c r="L746" s="104"/>
      <c r="M746" s="105">
        <f t="shared" ref="M746" si="1183">H746-F746</f>
        <v>5500000</v>
      </c>
      <c r="N746" s="105">
        <f t="shared" ref="N746" si="1184">I746-G746</f>
        <v>5235000</v>
      </c>
      <c r="O746" s="325"/>
      <c r="P746" s="35"/>
      <c r="Q746" s="35"/>
      <c r="R746" s="35"/>
      <c r="S746" s="35"/>
    </row>
    <row r="747" spans="1:19" x14ac:dyDescent="0.2">
      <c r="A747" s="349">
        <v>323</v>
      </c>
      <c r="B747" s="350" t="s">
        <v>23</v>
      </c>
      <c r="C747" s="322">
        <f t="shared" ref="C747" si="1185">SUM(C748)</f>
        <v>0</v>
      </c>
      <c r="D747" s="323"/>
      <c r="E747" s="323">
        <f t="shared" ref="E747" si="1186">SUM(E748)</f>
        <v>0</v>
      </c>
      <c r="F747" s="325">
        <f t="shared" ref="F747" si="1187">SUM(F748)</f>
        <v>0</v>
      </c>
      <c r="G747" s="325">
        <f t="shared" ref="G747" si="1188">SUM(G748)</f>
        <v>0</v>
      </c>
      <c r="H747" s="325">
        <f t="shared" ref="H747" si="1189">SUM(H748)</f>
        <v>0</v>
      </c>
      <c r="I747" s="325">
        <f t="shared" ref="I747:N747" si="1190">SUM(I748)</f>
        <v>0</v>
      </c>
      <c r="J747" s="325">
        <f t="shared" si="1190"/>
        <v>0</v>
      </c>
      <c r="K747" s="325">
        <f t="shared" si="1190"/>
        <v>0</v>
      </c>
      <c r="L747" s="325"/>
      <c r="M747" s="325">
        <f t="shared" si="1190"/>
        <v>0</v>
      </c>
      <c r="N747" s="325">
        <f t="shared" si="1190"/>
        <v>0</v>
      </c>
      <c r="O747" s="325"/>
      <c r="P747" s="35"/>
      <c r="Q747" s="35"/>
      <c r="R747" s="35"/>
      <c r="S747" s="35"/>
    </row>
    <row r="748" spans="1:19" x14ac:dyDescent="0.2">
      <c r="A748" s="351">
        <v>3237</v>
      </c>
      <c r="B748" s="352" t="s">
        <v>30</v>
      </c>
      <c r="C748" s="322"/>
      <c r="D748" s="323"/>
      <c r="E748" s="323"/>
      <c r="F748" s="325"/>
      <c r="G748" s="325"/>
      <c r="H748" s="325"/>
      <c r="I748" s="325"/>
      <c r="J748" s="325"/>
      <c r="K748" s="325"/>
      <c r="L748" s="325"/>
      <c r="M748" s="325"/>
      <c r="N748" s="325"/>
      <c r="O748" s="325"/>
      <c r="P748" s="35"/>
      <c r="Q748" s="35"/>
      <c r="R748" s="35"/>
      <c r="S748" s="35"/>
    </row>
    <row r="749" spans="1:19" x14ac:dyDescent="0.2">
      <c r="A749" s="353">
        <v>329</v>
      </c>
      <c r="B749" s="354" t="s">
        <v>33</v>
      </c>
      <c r="C749" s="97">
        <f t="shared" ref="C749:O749" si="1191">SUM(C750)</f>
        <v>0</v>
      </c>
      <c r="D749" s="98"/>
      <c r="E749" s="98">
        <f t="shared" si="1191"/>
        <v>0</v>
      </c>
      <c r="F749" s="100">
        <f t="shared" si="1191"/>
        <v>0</v>
      </c>
      <c r="G749" s="100">
        <f t="shared" si="1191"/>
        <v>0</v>
      </c>
      <c r="H749" s="100">
        <f t="shared" si="1191"/>
        <v>8000</v>
      </c>
      <c r="I749" s="100">
        <f t="shared" si="1191"/>
        <v>8000</v>
      </c>
      <c r="J749" s="100">
        <f t="shared" si="1191"/>
        <v>8000</v>
      </c>
      <c r="K749" s="100">
        <f t="shared" si="1191"/>
        <v>8000</v>
      </c>
      <c r="L749" s="100"/>
      <c r="M749" s="100">
        <f t="shared" si="1191"/>
        <v>8000</v>
      </c>
      <c r="N749" s="100">
        <f t="shared" si="1191"/>
        <v>8000</v>
      </c>
      <c r="O749" s="100">
        <f t="shared" si="1191"/>
        <v>0</v>
      </c>
      <c r="P749" s="35"/>
      <c r="Q749" s="35"/>
      <c r="R749" s="35"/>
      <c r="S749" s="35"/>
    </row>
    <row r="750" spans="1:19" x14ac:dyDescent="0.2">
      <c r="A750" s="355">
        <v>3292</v>
      </c>
      <c r="B750" s="356" t="s">
        <v>35</v>
      </c>
      <c r="C750" s="103">
        <v>0</v>
      </c>
      <c r="D750" s="104"/>
      <c r="E750" s="104">
        <v>0</v>
      </c>
      <c r="F750" s="111"/>
      <c r="G750" s="111"/>
      <c r="H750" s="111">
        <v>8000</v>
      </c>
      <c r="I750" s="111">
        <v>8000</v>
      </c>
      <c r="J750" s="111">
        <v>8000</v>
      </c>
      <c r="K750" s="105">
        <f t="shared" ref="K750" si="1192">H750-E750</f>
        <v>8000</v>
      </c>
      <c r="L750" s="104"/>
      <c r="M750" s="105">
        <f>H750-F750</f>
        <v>8000</v>
      </c>
      <c r="N750" s="105">
        <f>I750-G750</f>
        <v>8000</v>
      </c>
      <c r="O750" s="111"/>
      <c r="P750" s="35"/>
      <c r="Q750" s="35"/>
      <c r="R750" s="35"/>
      <c r="S750" s="35"/>
    </row>
    <row r="751" spans="1:19" ht="25.5" x14ac:dyDescent="0.2">
      <c r="A751" s="447">
        <v>42</v>
      </c>
      <c r="B751" s="456" t="s">
        <v>331</v>
      </c>
      <c r="C751" s="440">
        <f t="shared" ref="C751:O751" si="1193">SUM(C752)</f>
        <v>0</v>
      </c>
      <c r="D751" s="441"/>
      <c r="E751" s="441">
        <f t="shared" si="1193"/>
        <v>0</v>
      </c>
      <c r="F751" s="455">
        <f t="shared" si="1193"/>
        <v>0</v>
      </c>
      <c r="G751" s="455">
        <f t="shared" si="1193"/>
        <v>0</v>
      </c>
      <c r="H751" s="455">
        <f t="shared" si="1193"/>
        <v>1538000</v>
      </c>
      <c r="I751" s="455">
        <f t="shared" si="1193"/>
        <v>600000</v>
      </c>
      <c r="J751" s="455">
        <f t="shared" si="1193"/>
        <v>0</v>
      </c>
      <c r="K751" s="295">
        <f t="shared" si="1193"/>
        <v>1538000</v>
      </c>
      <c r="L751" s="295"/>
      <c r="M751" s="295">
        <f t="shared" si="1193"/>
        <v>1538000</v>
      </c>
      <c r="N751" s="295">
        <f t="shared" si="1193"/>
        <v>600000</v>
      </c>
      <c r="O751" s="295">
        <f t="shared" si="1193"/>
        <v>0</v>
      </c>
      <c r="P751" s="35"/>
      <c r="Q751" s="35"/>
      <c r="R751" s="35"/>
      <c r="S751" s="35"/>
    </row>
    <row r="752" spans="1:19" x14ac:dyDescent="0.2">
      <c r="A752" s="320">
        <v>422</v>
      </c>
      <c r="B752" s="321" t="s">
        <v>53</v>
      </c>
      <c r="C752" s="162">
        <f>SUM(C753:C754)</f>
        <v>0</v>
      </c>
      <c r="D752" s="163"/>
      <c r="E752" s="163">
        <f>SUM(E753:E754)</f>
        <v>0</v>
      </c>
      <c r="F752" s="165">
        <f t="shared" ref="F752:O752" si="1194">SUM(F753:F754)</f>
        <v>0</v>
      </c>
      <c r="G752" s="165">
        <f t="shared" si="1194"/>
        <v>0</v>
      </c>
      <c r="H752" s="165">
        <f t="shared" si="1194"/>
        <v>1538000</v>
      </c>
      <c r="I752" s="165">
        <f t="shared" si="1194"/>
        <v>600000</v>
      </c>
      <c r="J752" s="165">
        <f t="shared" si="1194"/>
        <v>0</v>
      </c>
      <c r="K752" s="165">
        <f t="shared" si="1194"/>
        <v>1538000</v>
      </c>
      <c r="L752" s="165"/>
      <c r="M752" s="165">
        <f t="shared" si="1194"/>
        <v>1538000</v>
      </c>
      <c r="N752" s="165">
        <f t="shared" si="1194"/>
        <v>600000</v>
      </c>
      <c r="O752" s="165">
        <f t="shared" si="1194"/>
        <v>0</v>
      </c>
      <c r="P752" s="35"/>
      <c r="Q752" s="35"/>
      <c r="R752" s="35"/>
      <c r="S752" s="35"/>
    </row>
    <row r="753" spans="1:19" s="4" customFormat="1" x14ac:dyDescent="0.2">
      <c r="A753" s="316">
        <v>4221</v>
      </c>
      <c r="B753" s="317" t="s">
        <v>54</v>
      </c>
      <c r="C753" s="255">
        <v>0</v>
      </c>
      <c r="D753" s="256"/>
      <c r="E753" s="256">
        <v>0</v>
      </c>
      <c r="F753" s="258"/>
      <c r="G753" s="258"/>
      <c r="H753" s="258">
        <v>38000</v>
      </c>
      <c r="I753" s="258"/>
      <c r="J753" s="258"/>
      <c r="K753" s="105">
        <f t="shared" ref="K753:K754" si="1195">H753-E753</f>
        <v>38000</v>
      </c>
      <c r="L753" s="104"/>
      <c r="M753" s="105">
        <f>H753-F753</f>
        <v>38000</v>
      </c>
      <c r="N753" s="105">
        <f>I753-G753</f>
        <v>0</v>
      </c>
      <c r="O753" s="258"/>
      <c r="P753" s="35"/>
      <c r="Q753" s="35"/>
      <c r="R753" s="35"/>
      <c r="S753" s="35"/>
    </row>
    <row r="754" spans="1:19" s="4" customFormat="1" x14ac:dyDescent="0.2">
      <c r="A754" s="357">
        <v>4227</v>
      </c>
      <c r="B754" s="358" t="s">
        <v>60</v>
      </c>
      <c r="C754" s="255">
        <v>0</v>
      </c>
      <c r="D754" s="256"/>
      <c r="E754" s="256">
        <v>0</v>
      </c>
      <c r="F754" s="258"/>
      <c r="G754" s="258"/>
      <c r="H754" s="258">
        <v>1500000</v>
      </c>
      <c r="I754" s="258">
        <v>600000</v>
      </c>
      <c r="J754" s="258"/>
      <c r="K754" s="105">
        <f t="shared" si="1195"/>
        <v>1500000</v>
      </c>
      <c r="L754" s="104"/>
      <c r="M754" s="105">
        <f>H754-F754</f>
        <v>1500000</v>
      </c>
      <c r="N754" s="105">
        <f>I754-G754</f>
        <v>600000</v>
      </c>
      <c r="O754" s="258"/>
      <c r="P754" s="35"/>
      <c r="Q754" s="35"/>
      <c r="R754" s="35"/>
      <c r="S754" s="35"/>
    </row>
    <row r="755" spans="1:19" ht="25.5" x14ac:dyDescent="0.2">
      <c r="A755" s="447">
        <v>45</v>
      </c>
      <c r="B755" s="456" t="s">
        <v>333</v>
      </c>
      <c r="C755" s="440">
        <f t="shared" ref="C755:O756" si="1196">SUM(C756)</f>
        <v>0</v>
      </c>
      <c r="D755" s="441"/>
      <c r="E755" s="441">
        <f t="shared" si="1196"/>
        <v>0</v>
      </c>
      <c r="F755" s="455">
        <f t="shared" si="1196"/>
        <v>0</v>
      </c>
      <c r="G755" s="455">
        <f t="shared" si="1196"/>
        <v>0</v>
      </c>
      <c r="H755" s="455">
        <f t="shared" si="1196"/>
        <v>377000</v>
      </c>
      <c r="I755" s="455">
        <f t="shared" si="1196"/>
        <v>0</v>
      </c>
      <c r="J755" s="455">
        <f t="shared" si="1196"/>
        <v>0</v>
      </c>
      <c r="K755" s="295">
        <f t="shared" si="1196"/>
        <v>377000</v>
      </c>
      <c r="L755" s="295"/>
      <c r="M755" s="295">
        <f t="shared" si="1196"/>
        <v>377000</v>
      </c>
      <c r="N755" s="295">
        <f t="shared" si="1196"/>
        <v>0</v>
      </c>
      <c r="O755" s="295">
        <f t="shared" si="1196"/>
        <v>0</v>
      </c>
      <c r="P755" s="35"/>
      <c r="Q755" s="35"/>
      <c r="R755" s="35"/>
      <c r="S755" s="35"/>
    </row>
    <row r="756" spans="1:19" x14ac:dyDescent="0.2">
      <c r="A756" s="320">
        <v>451</v>
      </c>
      <c r="B756" s="321" t="s">
        <v>55</v>
      </c>
      <c r="C756" s="162">
        <f t="shared" si="1196"/>
        <v>0</v>
      </c>
      <c r="D756" s="163"/>
      <c r="E756" s="163">
        <f t="shared" si="1196"/>
        <v>0</v>
      </c>
      <c r="F756" s="165">
        <f t="shared" si="1196"/>
        <v>0</v>
      </c>
      <c r="G756" s="165">
        <f t="shared" si="1196"/>
        <v>0</v>
      </c>
      <c r="H756" s="165">
        <f t="shared" si="1196"/>
        <v>377000</v>
      </c>
      <c r="I756" s="165">
        <f t="shared" si="1196"/>
        <v>0</v>
      </c>
      <c r="J756" s="165">
        <f t="shared" si="1196"/>
        <v>0</v>
      </c>
      <c r="K756" s="165">
        <f t="shared" si="1196"/>
        <v>377000</v>
      </c>
      <c r="L756" s="165"/>
      <c r="M756" s="165">
        <f t="shared" si="1196"/>
        <v>377000</v>
      </c>
      <c r="N756" s="165">
        <f t="shared" si="1196"/>
        <v>0</v>
      </c>
      <c r="O756" s="165">
        <f t="shared" si="1196"/>
        <v>0</v>
      </c>
      <c r="P756" s="35"/>
      <c r="Q756" s="35"/>
      <c r="R756" s="35"/>
      <c r="S756" s="35"/>
    </row>
    <row r="757" spans="1:19" s="4" customFormat="1" x14ac:dyDescent="0.2">
      <c r="A757" s="316">
        <v>4511</v>
      </c>
      <c r="B757" s="317" t="s">
        <v>55</v>
      </c>
      <c r="C757" s="255">
        <v>0</v>
      </c>
      <c r="D757" s="256"/>
      <c r="E757" s="256">
        <v>0</v>
      </c>
      <c r="F757" s="258"/>
      <c r="G757" s="258"/>
      <c r="H757" s="258">
        <v>377000</v>
      </c>
      <c r="I757" s="258"/>
      <c r="J757" s="258"/>
      <c r="K757" s="105">
        <f t="shared" ref="K757" si="1197">H757-E757</f>
        <v>377000</v>
      </c>
      <c r="L757" s="104"/>
      <c r="M757" s="105">
        <f>H757-F757</f>
        <v>377000</v>
      </c>
      <c r="N757" s="105">
        <f>I757-G757</f>
        <v>0</v>
      </c>
      <c r="O757" s="258"/>
      <c r="P757" s="35"/>
      <c r="Q757" s="35"/>
      <c r="R757" s="35"/>
      <c r="S757" s="35"/>
    </row>
    <row r="758" spans="1:19" s="4" customFormat="1" ht="43.5" customHeight="1" x14ac:dyDescent="0.2">
      <c r="A758" s="345" t="s">
        <v>385</v>
      </c>
      <c r="B758" s="346" t="s">
        <v>386</v>
      </c>
      <c r="C758" s="225">
        <f>SUM(C759)</f>
        <v>0</v>
      </c>
      <c r="D758" s="226"/>
      <c r="E758" s="226">
        <f t="shared" ref="E758:N758" si="1198">SUM(E759)</f>
        <v>0</v>
      </c>
      <c r="F758" s="228">
        <f t="shared" si="1198"/>
        <v>0</v>
      </c>
      <c r="G758" s="228">
        <f t="shared" si="1198"/>
        <v>0</v>
      </c>
      <c r="H758" s="228">
        <f t="shared" si="1198"/>
        <v>2521000</v>
      </c>
      <c r="I758" s="228">
        <f t="shared" si="1198"/>
        <v>2391000</v>
      </c>
      <c r="J758" s="228">
        <f t="shared" si="1198"/>
        <v>26500</v>
      </c>
      <c r="K758" s="228">
        <f t="shared" si="1198"/>
        <v>2521000</v>
      </c>
      <c r="L758" s="228"/>
      <c r="M758" s="228">
        <f t="shared" si="1198"/>
        <v>2521000</v>
      </c>
      <c r="N758" s="228">
        <f t="shared" si="1198"/>
        <v>2391000</v>
      </c>
      <c r="O758" s="228">
        <f t="shared" ref="O758" si="1199">SUM(O759)</f>
        <v>0</v>
      </c>
      <c r="P758" s="35"/>
      <c r="Q758" s="35"/>
      <c r="R758" s="35"/>
      <c r="S758" s="35"/>
    </row>
    <row r="759" spans="1:19" s="4" customFormat="1" ht="15" customHeight="1" x14ac:dyDescent="0.2">
      <c r="A759" s="699" t="s">
        <v>77</v>
      </c>
      <c r="B759" s="700"/>
      <c r="C759" s="229">
        <f>SUM(C760,C772,C778)</f>
        <v>0</v>
      </c>
      <c r="D759" s="230"/>
      <c r="E759" s="230">
        <f t="shared" ref="E759:N759" si="1200">SUM(E760,E772,E778)</f>
        <v>0</v>
      </c>
      <c r="F759" s="232">
        <f t="shared" si="1200"/>
        <v>0</v>
      </c>
      <c r="G759" s="232">
        <f t="shared" si="1200"/>
        <v>0</v>
      </c>
      <c r="H759" s="232">
        <f t="shared" si="1200"/>
        <v>2521000</v>
      </c>
      <c r="I759" s="232">
        <f t="shared" si="1200"/>
        <v>2391000</v>
      </c>
      <c r="J759" s="232">
        <f t="shared" si="1200"/>
        <v>26500</v>
      </c>
      <c r="K759" s="241">
        <f t="shared" si="1200"/>
        <v>2521000</v>
      </c>
      <c r="L759" s="241"/>
      <c r="M759" s="241">
        <f t="shared" si="1200"/>
        <v>2521000</v>
      </c>
      <c r="N759" s="241">
        <f t="shared" si="1200"/>
        <v>2391000</v>
      </c>
      <c r="O759" s="241">
        <f t="shared" ref="O759" si="1201">SUM(O760,O772,O778)</f>
        <v>0</v>
      </c>
      <c r="P759" s="35"/>
      <c r="Q759" s="35"/>
      <c r="R759" s="35"/>
      <c r="S759" s="35"/>
    </row>
    <row r="760" spans="1:19" ht="16.5" customHeight="1" x14ac:dyDescent="0.2">
      <c r="A760" s="453">
        <v>32</v>
      </c>
      <c r="B760" s="454" t="s">
        <v>325</v>
      </c>
      <c r="C760" s="440">
        <f>SUM(C761,C763,C767,C770)</f>
        <v>0</v>
      </c>
      <c r="D760" s="441"/>
      <c r="E760" s="441">
        <f t="shared" ref="E760:N760" si="1202">SUM(E761,E763,E767,E770)</f>
        <v>0</v>
      </c>
      <c r="F760" s="455">
        <f t="shared" si="1202"/>
        <v>0</v>
      </c>
      <c r="G760" s="455">
        <f t="shared" si="1202"/>
        <v>0</v>
      </c>
      <c r="H760" s="455">
        <f t="shared" si="1202"/>
        <v>121000</v>
      </c>
      <c r="I760" s="455">
        <f t="shared" si="1202"/>
        <v>28000</v>
      </c>
      <c r="J760" s="455">
        <f t="shared" si="1202"/>
        <v>26500</v>
      </c>
      <c r="K760" s="295">
        <f t="shared" si="1202"/>
        <v>121000</v>
      </c>
      <c r="L760" s="295"/>
      <c r="M760" s="295">
        <f t="shared" si="1202"/>
        <v>121000</v>
      </c>
      <c r="N760" s="295">
        <f t="shared" si="1202"/>
        <v>28000</v>
      </c>
      <c r="O760" s="295">
        <f t="shared" ref="O760" si="1203">SUM(O761,O763,O767)</f>
        <v>0</v>
      </c>
      <c r="P760" s="35"/>
      <c r="Q760" s="35"/>
      <c r="R760" s="35"/>
      <c r="S760" s="35"/>
    </row>
    <row r="761" spans="1:19" x14ac:dyDescent="0.2">
      <c r="A761" s="296" t="s">
        <v>149</v>
      </c>
      <c r="B761" s="297" t="s">
        <v>12</v>
      </c>
      <c r="C761" s="162">
        <f>SUM(C762)</f>
        <v>0</v>
      </c>
      <c r="D761" s="163"/>
      <c r="E761" s="163">
        <f t="shared" ref="E761:O761" si="1204">SUM(E762)</f>
        <v>0</v>
      </c>
      <c r="F761" s="298">
        <f t="shared" si="1204"/>
        <v>0</v>
      </c>
      <c r="G761" s="298">
        <f t="shared" si="1204"/>
        <v>0</v>
      </c>
      <c r="H761" s="298">
        <f t="shared" si="1204"/>
        <v>10000</v>
      </c>
      <c r="I761" s="298">
        <f t="shared" si="1204"/>
        <v>7000</v>
      </c>
      <c r="J761" s="298">
        <f t="shared" si="1204"/>
        <v>0</v>
      </c>
      <c r="K761" s="298">
        <f t="shared" si="1204"/>
        <v>10000</v>
      </c>
      <c r="L761" s="165"/>
      <c r="M761" s="298">
        <f t="shared" si="1204"/>
        <v>10000</v>
      </c>
      <c r="N761" s="298">
        <f t="shared" si="1204"/>
        <v>7000</v>
      </c>
      <c r="O761" s="298">
        <f t="shared" si="1204"/>
        <v>0</v>
      </c>
      <c r="P761" s="35"/>
      <c r="Q761" s="35"/>
      <c r="R761" s="35"/>
      <c r="S761" s="35"/>
    </row>
    <row r="762" spans="1:19" s="4" customFormat="1" x14ac:dyDescent="0.2">
      <c r="A762" s="355">
        <v>3213</v>
      </c>
      <c r="B762" s="359" t="s">
        <v>15</v>
      </c>
      <c r="C762" s="169">
        <v>0</v>
      </c>
      <c r="D762" s="170"/>
      <c r="E762" s="170">
        <v>0</v>
      </c>
      <c r="F762" s="172"/>
      <c r="G762" s="172"/>
      <c r="H762" s="172">
        <v>10000</v>
      </c>
      <c r="I762" s="104">
        <v>7000</v>
      </c>
      <c r="J762" s="104"/>
      <c r="K762" s="105">
        <f t="shared" ref="K762" si="1205">H762-E762</f>
        <v>10000</v>
      </c>
      <c r="L762" s="104"/>
      <c r="M762" s="105">
        <f>H762-F762</f>
        <v>10000</v>
      </c>
      <c r="N762" s="105">
        <f>I762-G762</f>
        <v>7000</v>
      </c>
      <c r="O762" s="104"/>
      <c r="P762" s="35"/>
      <c r="Q762" s="35"/>
      <c r="R762" s="35"/>
      <c r="S762" s="35"/>
    </row>
    <row r="763" spans="1:19" s="4" customFormat="1" x14ac:dyDescent="0.2">
      <c r="A763" s="308">
        <v>322</v>
      </c>
      <c r="B763" s="309" t="s">
        <v>16</v>
      </c>
      <c r="C763" s="162">
        <f>SUM(C764:C766)</f>
        <v>0</v>
      </c>
      <c r="D763" s="163"/>
      <c r="E763" s="163">
        <f t="shared" ref="E763:N763" si="1206">SUM(E764:E766)</f>
        <v>0</v>
      </c>
      <c r="F763" s="298">
        <f t="shared" si="1206"/>
        <v>0</v>
      </c>
      <c r="G763" s="298">
        <f t="shared" si="1206"/>
        <v>0</v>
      </c>
      <c r="H763" s="298">
        <f t="shared" si="1206"/>
        <v>98000</v>
      </c>
      <c r="I763" s="298">
        <f t="shared" si="1206"/>
        <v>16000</v>
      </c>
      <c r="J763" s="298">
        <f t="shared" si="1206"/>
        <v>16000</v>
      </c>
      <c r="K763" s="298">
        <f t="shared" si="1206"/>
        <v>98000</v>
      </c>
      <c r="L763" s="165"/>
      <c r="M763" s="298">
        <f t="shared" si="1206"/>
        <v>98000</v>
      </c>
      <c r="N763" s="298">
        <f t="shared" si="1206"/>
        <v>16000</v>
      </c>
      <c r="O763" s="298">
        <f t="shared" ref="O763" si="1207">SUM(O764:O765)</f>
        <v>0</v>
      </c>
      <c r="P763" s="35"/>
      <c r="Q763" s="35"/>
      <c r="R763" s="35"/>
      <c r="S763" s="35"/>
    </row>
    <row r="764" spans="1:19" s="4" customFormat="1" x14ac:dyDescent="0.2">
      <c r="A764" s="355">
        <v>3222</v>
      </c>
      <c r="B764" s="356" t="s">
        <v>18</v>
      </c>
      <c r="C764" s="103">
        <v>0</v>
      </c>
      <c r="D764" s="104"/>
      <c r="E764" s="104">
        <v>0</v>
      </c>
      <c r="F764" s="104"/>
      <c r="G764" s="104"/>
      <c r="H764" s="104">
        <v>25000</v>
      </c>
      <c r="I764" s="104"/>
      <c r="J764" s="104"/>
      <c r="K764" s="105">
        <f t="shared" ref="K764:K766" si="1208">H764-E764</f>
        <v>25000</v>
      </c>
      <c r="L764" s="104"/>
      <c r="M764" s="105">
        <f t="shared" ref="M764:M766" si="1209">H764-F764</f>
        <v>25000</v>
      </c>
      <c r="N764" s="105">
        <f>I764-G764</f>
        <v>0</v>
      </c>
      <c r="O764" s="104"/>
      <c r="P764" s="35"/>
      <c r="Q764" s="35"/>
      <c r="R764" s="35"/>
      <c r="S764" s="35"/>
    </row>
    <row r="765" spans="1:19" s="4" customFormat="1" x14ac:dyDescent="0.2">
      <c r="A765" s="316">
        <v>3223</v>
      </c>
      <c r="B765" s="317" t="s">
        <v>19</v>
      </c>
      <c r="C765" s="255">
        <v>0</v>
      </c>
      <c r="D765" s="256"/>
      <c r="E765" s="256">
        <v>0</v>
      </c>
      <c r="F765" s="258"/>
      <c r="G765" s="258"/>
      <c r="H765" s="258">
        <v>20000</v>
      </c>
      <c r="I765" s="104">
        <v>16000</v>
      </c>
      <c r="J765" s="104">
        <v>16000</v>
      </c>
      <c r="K765" s="105">
        <f t="shared" si="1208"/>
        <v>20000</v>
      </c>
      <c r="L765" s="104"/>
      <c r="M765" s="105">
        <f t="shared" si="1209"/>
        <v>20000</v>
      </c>
      <c r="N765" s="105">
        <f>I765-G765</f>
        <v>16000</v>
      </c>
      <c r="O765" s="104"/>
      <c r="P765" s="35"/>
      <c r="Q765" s="35"/>
      <c r="R765" s="35"/>
      <c r="S765" s="35"/>
    </row>
    <row r="766" spans="1:19" s="4" customFormat="1" x14ac:dyDescent="0.2">
      <c r="A766" s="316">
        <v>3225</v>
      </c>
      <c r="B766" s="317" t="s">
        <v>21</v>
      </c>
      <c r="C766" s="255"/>
      <c r="D766" s="256"/>
      <c r="E766" s="256"/>
      <c r="F766" s="258"/>
      <c r="G766" s="258"/>
      <c r="H766" s="258">
        <v>53000</v>
      </c>
      <c r="I766" s="104"/>
      <c r="J766" s="104"/>
      <c r="K766" s="105">
        <f t="shared" si="1208"/>
        <v>53000</v>
      </c>
      <c r="L766" s="104"/>
      <c r="M766" s="105">
        <f t="shared" si="1209"/>
        <v>53000</v>
      </c>
      <c r="N766" s="105">
        <f>I766-G766</f>
        <v>0</v>
      </c>
      <c r="O766" s="104"/>
      <c r="P766" s="35"/>
      <c r="Q766" s="35"/>
      <c r="R766" s="35"/>
      <c r="S766" s="35"/>
    </row>
    <row r="767" spans="1:19" s="4" customFormat="1" x14ac:dyDescent="0.2">
      <c r="A767" s="308">
        <v>323</v>
      </c>
      <c r="B767" s="309" t="s">
        <v>23</v>
      </c>
      <c r="C767" s="162">
        <f>SUM(C768)</f>
        <v>0</v>
      </c>
      <c r="D767" s="163"/>
      <c r="E767" s="163">
        <f t="shared" ref="E767:O767" si="1210">SUM(E768)</f>
        <v>0</v>
      </c>
      <c r="F767" s="298">
        <f t="shared" si="1210"/>
        <v>0</v>
      </c>
      <c r="G767" s="298">
        <f t="shared" si="1210"/>
        <v>0</v>
      </c>
      <c r="H767" s="298">
        <f>SUM(H768,H769)</f>
        <v>8000</v>
      </c>
      <c r="I767" s="298">
        <f t="shared" ref="I767:J767" si="1211">SUM(I768,I769)</f>
        <v>0</v>
      </c>
      <c r="J767" s="298">
        <f t="shared" si="1211"/>
        <v>7500</v>
      </c>
      <c r="K767" s="298">
        <f t="shared" si="1210"/>
        <v>8000</v>
      </c>
      <c r="L767" s="165"/>
      <c r="M767" s="298">
        <f t="shared" si="1210"/>
        <v>8000</v>
      </c>
      <c r="N767" s="298">
        <f t="shared" si="1210"/>
        <v>0</v>
      </c>
      <c r="O767" s="298">
        <f t="shared" si="1210"/>
        <v>0</v>
      </c>
      <c r="P767" s="35"/>
      <c r="Q767" s="35"/>
      <c r="R767" s="35"/>
      <c r="S767" s="35"/>
    </row>
    <row r="768" spans="1:19" s="4" customFormat="1" x14ac:dyDescent="0.2">
      <c r="A768" s="316">
        <v>3233</v>
      </c>
      <c r="B768" s="317" t="s">
        <v>26</v>
      </c>
      <c r="C768" s="255">
        <v>0</v>
      </c>
      <c r="D768" s="256"/>
      <c r="E768" s="256">
        <v>0</v>
      </c>
      <c r="F768" s="258"/>
      <c r="G768" s="258"/>
      <c r="H768" s="258">
        <v>8000</v>
      </c>
      <c r="I768" s="104"/>
      <c r="J768" s="104"/>
      <c r="K768" s="105">
        <f t="shared" ref="K768:K769" si="1212">H768-E768</f>
        <v>8000</v>
      </c>
      <c r="L768" s="104"/>
      <c r="M768" s="105">
        <f t="shared" ref="M768:M769" si="1213">H768-F768</f>
        <v>8000</v>
      </c>
      <c r="N768" s="105">
        <f>I768-G768</f>
        <v>0</v>
      </c>
      <c r="O768" s="104"/>
      <c r="P768" s="35"/>
      <c r="Q768" s="35"/>
      <c r="R768" s="35"/>
      <c r="S768" s="35"/>
    </row>
    <row r="769" spans="1:19" s="4" customFormat="1" x14ac:dyDescent="0.2">
      <c r="A769" s="316">
        <v>3237</v>
      </c>
      <c r="B769" s="317" t="s">
        <v>30</v>
      </c>
      <c r="C769" s="255"/>
      <c r="D769" s="256"/>
      <c r="E769" s="256"/>
      <c r="F769" s="256"/>
      <c r="G769" s="256"/>
      <c r="H769" s="256"/>
      <c r="I769" s="104"/>
      <c r="J769" s="104">
        <v>7500</v>
      </c>
      <c r="K769" s="105">
        <f t="shared" si="1212"/>
        <v>0</v>
      </c>
      <c r="L769" s="104"/>
      <c r="M769" s="105">
        <f t="shared" si="1213"/>
        <v>0</v>
      </c>
      <c r="N769" s="105">
        <f t="shared" ref="N769" si="1214">I769-G769</f>
        <v>0</v>
      </c>
      <c r="O769" s="104"/>
      <c r="P769" s="35"/>
      <c r="Q769" s="35"/>
      <c r="R769" s="35"/>
      <c r="S769" s="35"/>
    </row>
    <row r="770" spans="1:19" s="4" customFormat="1" x14ac:dyDescent="0.2">
      <c r="A770" s="353">
        <v>329</v>
      </c>
      <c r="B770" s="354" t="s">
        <v>33</v>
      </c>
      <c r="C770" s="162">
        <f>SUM(C771)</f>
        <v>0</v>
      </c>
      <c r="D770" s="163"/>
      <c r="E770" s="165">
        <f t="shared" ref="E770:N770" si="1215">SUM(E771)</f>
        <v>0</v>
      </c>
      <c r="F770" s="165">
        <f t="shared" si="1215"/>
        <v>0</v>
      </c>
      <c r="G770" s="165">
        <f t="shared" si="1215"/>
        <v>0</v>
      </c>
      <c r="H770" s="165">
        <f t="shared" si="1215"/>
        <v>5000</v>
      </c>
      <c r="I770" s="165">
        <f t="shared" si="1215"/>
        <v>5000</v>
      </c>
      <c r="J770" s="165">
        <f t="shared" si="1215"/>
        <v>3000</v>
      </c>
      <c r="K770" s="165">
        <f t="shared" si="1215"/>
        <v>5000</v>
      </c>
      <c r="L770" s="165"/>
      <c r="M770" s="165">
        <f t="shared" si="1215"/>
        <v>5000</v>
      </c>
      <c r="N770" s="165">
        <f t="shared" si="1215"/>
        <v>5000</v>
      </c>
      <c r="O770" s="98"/>
      <c r="P770" s="35"/>
      <c r="Q770" s="35"/>
      <c r="R770" s="35"/>
      <c r="S770" s="35"/>
    </row>
    <row r="771" spans="1:19" s="4" customFormat="1" x14ac:dyDescent="0.2">
      <c r="A771" s="355">
        <v>3292</v>
      </c>
      <c r="B771" s="356" t="s">
        <v>35</v>
      </c>
      <c r="C771" s="255"/>
      <c r="D771" s="256"/>
      <c r="E771" s="256"/>
      <c r="F771" s="256"/>
      <c r="G771" s="256"/>
      <c r="H771" s="256">
        <v>5000</v>
      </c>
      <c r="I771" s="104">
        <v>5000</v>
      </c>
      <c r="J771" s="104">
        <v>3000</v>
      </c>
      <c r="K771" s="105">
        <f t="shared" ref="K771" si="1216">H771-E771</f>
        <v>5000</v>
      </c>
      <c r="L771" s="104"/>
      <c r="M771" s="105">
        <f t="shared" ref="M771" si="1217">H771-F771</f>
        <v>5000</v>
      </c>
      <c r="N771" s="105">
        <f t="shared" ref="N771" si="1218">I771-G771</f>
        <v>5000</v>
      </c>
      <c r="O771" s="104"/>
      <c r="P771" s="35"/>
      <c r="Q771" s="35"/>
      <c r="R771" s="35"/>
      <c r="S771" s="35"/>
    </row>
    <row r="772" spans="1:19" ht="25.5" x14ac:dyDescent="0.2">
      <c r="A772" s="447">
        <v>42</v>
      </c>
      <c r="B772" s="456" t="s">
        <v>331</v>
      </c>
      <c r="C772" s="440">
        <f>SUM(C773,C776)</f>
        <v>0</v>
      </c>
      <c r="D772" s="441"/>
      <c r="E772" s="455">
        <f t="shared" ref="E772:N772" si="1219">SUM(E773,E776)</f>
        <v>0</v>
      </c>
      <c r="F772" s="455">
        <f t="shared" si="1219"/>
        <v>0</v>
      </c>
      <c r="G772" s="455">
        <f t="shared" si="1219"/>
        <v>0</v>
      </c>
      <c r="H772" s="455">
        <f t="shared" si="1219"/>
        <v>2150000</v>
      </c>
      <c r="I772" s="455">
        <f t="shared" si="1219"/>
        <v>2353000</v>
      </c>
      <c r="J772" s="455">
        <f t="shared" si="1219"/>
        <v>0</v>
      </c>
      <c r="K772" s="295">
        <f t="shared" si="1219"/>
        <v>2150000</v>
      </c>
      <c r="L772" s="295"/>
      <c r="M772" s="295">
        <f t="shared" si="1219"/>
        <v>2150000</v>
      </c>
      <c r="N772" s="295">
        <f t="shared" si="1219"/>
        <v>2353000</v>
      </c>
      <c r="O772" s="293">
        <f t="shared" ref="O772" si="1220">SUM(O773)</f>
        <v>0</v>
      </c>
      <c r="P772" s="35"/>
      <c r="Q772" s="35"/>
      <c r="R772" s="35"/>
      <c r="S772" s="35"/>
    </row>
    <row r="773" spans="1:19" x14ac:dyDescent="0.2">
      <c r="A773" s="320">
        <v>422</v>
      </c>
      <c r="B773" s="321" t="s">
        <v>53</v>
      </c>
      <c r="C773" s="162">
        <f t="shared" ref="C773:E773" si="1221">SUM(C774:C775)</f>
        <v>0</v>
      </c>
      <c r="D773" s="163"/>
      <c r="E773" s="163">
        <f t="shared" si="1221"/>
        <v>0</v>
      </c>
      <c r="F773" s="163">
        <f t="shared" ref="F773:O773" si="1222">SUM(F774:F775)</f>
        <v>0</v>
      </c>
      <c r="G773" s="163">
        <f t="shared" si="1222"/>
        <v>0</v>
      </c>
      <c r="H773" s="163">
        <f t="shared" si="1222"/>
        <v>2150000</v>
      </c>
      <c r="I773" s="163">
        <f t="shared" si="1222"/>
        <v>2255000</v>
      </c>
      <c r="J773" s="163">
        <f t="shared" si="1222"/>
        <v>0</v>
      </c>
      <c r="K773" s="163">
        <f t="shared" si="1222"/>
        <v>2150000</v>
      </c>
      <c r="L773" s="163"/>
      <c r="M773" s="163">
        <f t="shared" si="1222"/>
        <v>2150000</v>
      </c>
      <c r="N773" s="163">
        <f t="shared" ref="N773" si="1223">SUM(N774:N775)</f>
        <v>2255000</v>
      </c>
      <c r="O773" s="163">
        <f t="shared" si="1222"/>
        <v>0</v>
      </c>
      <c r="P773" s="35"/>
      <c r="Q773" s="35"/>
      <c r="R773" s="35"/>
      <c r="S773" s="35"/>
    </row>
    <row r="774" spans="1:19" s="4" customFormat="1" x14ac:dyDescent="0.2">
      <c r="A774" s="316">
        <v>4221</v>
      </c>
      <c r="B774" s="317" t="s">
        <v>54</v>
      </c>
      <c r="C774" s="255">
        <v>0</v>
      </c>
      <c r="D774" s="256"/>
      <c r="E774" s="256">
        <v>0</v>
      </c>
      <c r="F774" s="258"/>
      <c r="G774" s="258"/>
      <c r="H774" s="258">
        <v>1150000</v>
      </c>
      <c r="I774" s="104">
        <v>1000000</v>
      </c>
      <c r="J774" s="104"/>
      <c r="K774" s="105">
        <f t="shared" ref="K774:K775" si="1224">H774-E774</f>
        <v>1150000</v>
      </c>
      <c r="L774" s="104"/>
      <c r="M774" s="105">
        <f>H774-F774</f>
        <v>1150000</v>
      </c>
      <c r="N774" s="105">
        <f>I774-G774</f>
        <v>1000000</v>
      </c>
      <c r="O774" s="104"/>
      <c r="P774" s="35"/>
      <c r="Q774" s="35"/>
      <c r="R774" s="35"/>
      <c r="S774" s="35"/>
    </row>
    <row r="775" spans="1:19" s="4" customFormat="1" x14ac:dyDescent="0.2">
      <c r="A775" s="357">
        <v>4227</v>
      </c>
      <c r="B775" s="358" t="s">
        <v>60</v>
      </c>
      <c r="C775" s="255">
        <v>0</v>
      </c>
      <c r="D775" s="256"/>
      <c r="E775" s="256">
        <v>0</v>
      </c>
      <c r="F775" s="258"/>
      <c r="G775" s="258"/>
      <c r="H775" s="258">
        <v>1000000</v>
      </c>
      <c r="I775" s="104">
        <v>1255000</v>
      </c>
      <c r="J775" s="104"/>
      <c r="K775" s="105">
        <f t="shared" si="1224"/>
        <v>1000000</v>
      </c>
      <c r="L775" s="104"/>
      <c r="M775" s="105">
        <f>H775-F775</f>
        <v>1000000</v>
      </c>
      <c r="N775" s="105">
        <f>I775-G775</f>
        <v>1255000</v>
      </c>
      <c r="O775" s="104"/>
      <c r="P775" s="35"/>
      <c r="Q775" s="35"/>
      <c r="R775" s="35"/>
      <c r="S775" s="35"/>
    </row>
    <row r="776" spans="1:19" s="4" customFormat="1" x14ac:dyDescent="0.2">
      <c r="A776" s="320">
        <v>423</v>
      </c>
      <c r="B776" s="321" t="s">
        <v>61</v>
      </c>
      <c r="C776" s="162"/>
      <c r="D776" s="163"/>
      <c r="E776" s="163"/>
      <c r="F776" s="163"/>
      <c r="G776" s="163"/>
      <c r="H776" s="163">
        <f>SUM(H777)</f>
        <v>0</v>
      </c>
      <c r="I776" s="163">
        <f t="shared" ref="I776:N776" si="1225">SUM(I777)</f>
        <v>98000</v>
      </c>
      <c r="J776" s="163">
        <f t="shared" si="1225"/>
        <v>0</v>
      </c>
      <c r="K776" s="98">
        <f t="shared" si="1225"/>
        <v>0</v>
      </c>
      <c r="L776" s="98"/>
      <c r="M776" s="98">
        <f t="shared" si="1225"/>
        <v>0</v>
      </c>
      <c r="N776" s="98">
        <f t="shared" si="1225"/>
        <v>98000</v>
      </c>
      <c r="O776" s="98"/>
      <c r="P776" s="35"/>
      <c r="Q776" s="35"/>
      <c r="R776" s="35"/>
      <c r="S776" s="35"/>
    </row>
    <row r="777" spans="1:19" s="4" customFormat="1" x14ac:dyDescent="0.2">
      <c r="A777" s="316">
        <v>4231</v>
      </c>
      <c r="B777" s="317" t="s">
        <v>62</v>
      </c>
      <c r="C777" s="255"/>
      <c r="D777" s="256"/>
      <c r="E777" s="256"/>
      <c r="F777" s="256"/>
      <c r="G777" s="256"/>
      <c r="H777" s="256"/>
      <c r="I777" s="104">
        <v>98000</v>
      </c>
      <c r="J777" s="104"/>
      <c r="K777" s="105">
        <f t="shared" ref="K777" si="1226">H777-E777</f>
        <v>0</v>
      </c>
      <c r="L777" s="104"/>
      <c r="M777" s="105">
        <f t="shared" ref="M777" si="1227">H777-F777</f>
        <v>0</v>
      </c>
      <c r="N777" s="105">
        <f t="shared" ref="N777" si="1228">I777-G777</f>
        <v>98000</v>
      </c>
      <c r="O777" s="104"/>
      <c r="P777" s="35"/>
      <c r="Q777" s="35"/>
      <c r="R777" s="35"/>
      <c r="S777" s="35"/>
    </row>
    <row r="778" spans="1:19" ht="25.5" x14ac:dyDescent="0.2">
      <c r="A778" s="447">
        <v>45</v>
      </c>
      <c r="B778" s="456" t="s">
        <v>333</v>
      </c>
      <c r="C778" s="440">
        <f t="shared" ref="C778:O779" si="1229">SUM(C779)</f>
        <v>0</v>
      </c>
      <c r="D778" s="441"/>
      <c r="E778" s="441">
        <f t="shared" si="1229"/>
        <v>0</v>
      </c>
      <c r="F778" s="441">
        <f t="shared" si="1229"/>
        <v>0</v>
      </c>
      <c r="G778" s="441">
        <f t="shared" si="1229"/>
        <v>0</v>
      </c>
      <c r="H778" s="441">
        <f t="shared" si="1229"/>
        <v>250000</v>
      </c>
      <c r="I778" s="441">
        <f t="shared" si="1229"/>
        <v>10000</v>
      </c>
      <c r="J778" s="441">
        <f t="shared" si="1229"/>
        <v>0</v>
      </c>
      <c r="K778" s="293">
        <f t="shared" si="1229"/>
        <v>250000</v>
      </c>
      <c r="L778" s="293"/>
      <c r="M778" s="293">
        <f t="shared" si="1229"/>
        <v>250000</v>
      </c>
      <c r="N778" s="293">
        <f t="shared" si="1229"/>
        <v>10000</v>
      </c>
      <c r="O778" s="293">
        <f t="shared" si="1229"/>
        <v>0</v>
      </c>
      <c r="P778" s="35"/>
      <c r="Q778" s="35"/>
      <c r="R778" s="35"/>
      <c r="S778" s="35"/>
    </row>
    <row r="779" spans="1:19" x14ac:dyDescent="0.2">
      <c r="A779" s="320">
        <v>451</v>
      </c>
      <c r="B779" s="321" t="s">
        <v>55</v>
      </c>
      <c r="C779" s="162">
        <f t="shared" si="1229"/>
        <v>0</v>
      </c>
      <c r="D779" s="163"/>
      <c r="E779" s="163">
        <f t="shared" si="1229"/>
        <v>0</v>
      </c>
      <c r="F779" s="163">
        <f t="shared" si="1229"/>
        <v>0</v>
      </c>
      <c r="G779" s="163">
        <f t="shared" si="1229"/>
        <v>0</v>
      </c>
      <c r="H779" s="163">
        <f t="shared" si="1229"/>
        <v>250000</v>
      </c>
      <c r="I779" s="163">
        <f t="shared" si="1229"/>
        <v>10000</v>
      </c>
      <c r="J779" s="163">
        <f t="shared" si="1229"/>
        <v>0</v>
      </c>
      <c r="K779" s="163">
        <f t="shared" si="1229"/>
        <v>250000</v>
      </c>
      <c r="L779" s="163"/>
      <c r="M779" s="163">
        <f t="shared" si="1229"/>
        <v>250000</v>
      </c>
      <c r="N779" s="163">
        <f t="shared" si="1229"/>
        <v>10000</v>
      </c>
      <c r="O779" s="163">
        <f t="shared" si="1229"/>
        <v>0</v>
      </c>
      <c r="P779" s="35"/>
      <c r="Q779" s="35"/>
      <c r="R779" s="35"/>
      <c r="S779" s="35"/>
    </row>
    <row r="780" spans="1:19" s="4" customFormat="1" x14ac:dyDescent="0.2">
      <c r="A780" s="316">
        <v>4511</v>
      </c>
      <c r="B780" s="317" t="s">
        <v>55</v>
      </c>
      <c r="C780" s="255">
        <v>0</v>
      </c>
      <c r="D780" s="256"/>
      <c r="E780" s="256">
        <v>0</v>
      </c>
      <c r="F780" s="258"/>
      <c r="G780" s="258"/>
      <c r="H780" s="258">
        <v>250000</v>
      </c>
      <c r="I780" s="104">
        <v>10000</v>
      </c>
      <c r="J780" s="104"/>
      <c r="K780" s="105">
        <f t="shared" ref="K780" si="1230">H780-E780</f>
        <v>250000</v>
      </c>
      <c r="L780" s="104"/>
      <c r="M780" s="105">
        <f>H780-F780</f>
        <v>250000</v>
      </c>
      <c r="N780" s="105">
        <f>I780-G780</f>
        <v>10000</v>
      </c>
      <c r="O780" s="104"/>
      <c r="P780" s="35"/>
      <c r="Q780" s="35"/>
      <c r="R780" s="35"/>
      <c r="S780" s="35"/>
    </row>
    <row r="781" spans="1:19" s="4" customFormat="1" ht="25.5" x14ac:dyDescent="0.2">
      <c r="A781" s="345" t="s">
        <v>402</v>
      </c>
      <c r="B781" s="346" t="s">
        <v>403</v>
      </c>
      <c r="C781" s="225">
        <f>SUM(C783)</f>
        <v>0</v>
      </c>
      <c r="D781" s="226"/>
      <c r="E781" s="226">
        <f>SUM(E783)</f>
        <v>0</v>
      </c>
      <c r="F781" s="226">
        <f t="shared" ref="F781:O781" si="1231">SUM(F783)</f>
        <v>0</v>
      </c>
      <c r="G781" s="226">
        <f t="shared" si="1231"/>
        <v>0</v>
      </c>
      <c r="H781" s="226">
        <f>SUM(H782)</f>
        <v>3000</v>
      </c>
      <c r="I781" s="226">
        <f t="shared" ref="I781:J781" si="1232">SUM(I782)</f>
        <v>3000</v>
      </c>
      <c r="J781" s="226">
        <f t="shared" si="1232"/>
        <v>3000</v>
      </c>
      <c r="K781" s="226">
        <f t="shared" si="1231"/>
        <v>3000</v>
      </c>
      <c r="L781" s="226"/>
      <c r="M781" s="226">
        <f t="shared" si="1231"/>
        <v>3000</v>
      </c>
      <c r="N781" s="226">
        <f t="shared" si="1231"/>
        <v>3000</v>
      </c>
      <c r="O781" s="226">
        <f t="shared" si="1231"/>
        <v>0</v>
      </c>
      <c r="P781" s="35"/>
      <c r="Q781" s="35"/>
      <c r="R781" s="35"/>
      <c r="S781" s="35"/>
    </row>
    <row r="782" spans="1:19" s="4" customFormat="1" x14ac:dyDescent="0.2">
      <c r="A782" s="699" t="s">
        <v>77</v>
      </c>
      <c r="B782" s="700"/>
      <c r="C782" s="481"/>
      <c r="D782" s="482"/>
      <c r="E782" s="483"/>
      <c r="F782" s="481"/>
      <c r="G782" s="483"/>
      <c r="H782" s="484">
        <f>SUM(H783)</f>
        <v>3000</v>
      </c>
      <c r="I782" s="484">
        <f t="shared" ref="I782:N782" si="1233">SUM(I783)</f>
        <v>3000</v>
      </c>
      <c r="J782" s="484">
        <f t="shared" si="1233"/>
        <v>3000</v>
      </c>
      <c r="K782" s="361">
        <f t="shared" si="1233"/>
        <v>3000</v>
      </c>
      <c r="L782" s="361"/>
      <c r="M782" s="361">
        <f t="shared" si="1233"/>
        <v>3000</v>
      </c>
      <c r="N782" s="361">
        <f t="shared" si="1233"/>
        <v>3000</v>
      </c>
      <c r="O782" s="360"/>
      <c r="P782" s="35"/>
      <c r="Q782" s="35"/>
      <c r="R782" s="35"/>
      <c r="S782" s="35"/>
    </row>
    <row r="783" spans="1:19" s="11" customFormat="1" x14ac:dyDescent="0.2">
      <c r="A783" s="453">
        <v>32</v>
      </c>
      <c r="B783" s="457" t="s">
        <v>325</v>
      </c>
      <c r="C783" s="458">
        <f>SUM(C784)</f>
        <v>0</v>
      </c>
      <c r="D783" s="458"/>
      <c r="E783" s="459">
        <f t="shared" ref="E783:O783" si="1234">SUM(E784)</f>
        <v>0</v>
      </c>
      <c r="F783" s="455">
        <f t="shared" si="1234"/>
        <v>0</v>
      </c>
      <c r="G783" s="455">
        <f t="shared" si="1234"/>
        <v>0</v>
      </c>
      <c r="H783" s="455">
        <f t="shared" si="1234"/>
        <v>3000</v>
      </c>
      <c r="I783" s="455">
        <f t="shared" si="1234"/>
        <v>3000</v>
      </c>
      <c r="J783" s="455">
        <f t="shared" si="1234"/>
        <v>3000</v>
      </c>
      <c r="K783" s="293">
        <f t="shared" si="1234"/>
        <v>3000</v>
      </c>
      <c r="L783" s="293"/>
      <c r="M783" s="293">
        <f t="shared" si="1234"/>
        <v>3000</v>
      </c>
      <c r="N783" s="293">
        <f t="shared" si="1234"/>
        <v>3000</v>
      </c>
      <c r="O783" s="293">
        <f t="shared" si="1234"/>
        <v>0</v>
      </c>
      <c r="P783" s="50"/>
      <c r="Q783" s="50"/>
      <c r="R783" s="50"/>
      <c r="S783" s="50"/>
    </row>
    <row r="784" spans="1:19" s="4" customFormat="1" x14ac:dyDescent="0.2">
      <c r="A784" s="316" t="s">
        <v>149</v>
      </c>
      <c r="B784" s="317" t="s">
        <v>12</v>
      </c>
      <c r="C784" s="255">
        <f>SUM(C785)</f>
        <v>0</v>
      </c>
      <c r="D784" s="256"/>
      <c r="E784" s="256">
        <f t="shared" ref="E784:O784" si="1235">SUM(E785)</f>
        <v>0</v>
      </c>
      <c r="F784" s="258">
        <f t="shared" si="1235"/>
        <v>0</v>
      </c>
      <c r="G784" s="258">
        <f t="shared" si="1235"/>
        <v>0</v>
      </c>
      <c r="H784" s="258">
        <f t="shared" si="1235"/>
        <v>3000</v>
      </c>
      <c r="I784" s="104">
        <f t="shared" si="1235"/>
        <v>3000</v>
      </c>
      <c r="J784" s="104">
        <f t="shared" si="1235"/>
        <v>3000</v>
      </c>
      <c r="K784" s="104">
        <f t="shared" si="1235"/>
        <v>3000</v>
      </c>
      <c r="L784" s="104"/>
      <c r="M784" s="104">
        <f t="shared" si="1235"/>
        <v>3000</v>
      </c>
      <c r="N784" s="104">
        <f t="shared" si="1235"/>
        <v>3000</v>
      </c>
      <c r="O784" s="104">
        <f t="shared" si="1235"/>
        <v>0</v>
      </c>
      <c r="P784" s="35"/>
      <c r="Q784" s="35"/>
      <c r="R784" s="35"/>
      <c r="S784" s="35"/>
    </row>
    <row r="785" spans="1:19" s="4" customFormat="1" x14ac:dyDescent="0.2">
      <c r="A785" s="316">
        <v>3213</v>
      </c>
      <c r="B785" s="317" t="s">
        <v>15</v>
      </c>
      <c r="C785" s="255">
        <v>0</v>
      </c>
      <c r="D785" s="256"/>
      <c r="E785" s="256">
        <v>0</v>
      </c>
      <c r="F785" s="258">
        <v>0</v>
      </c>
      <c r="G785" s="258">
        <v>0</v>
      </c>
      <c r="H785" s="258">
        <v>3000</v>
      </c>
      <c r="I785" s="104">
        <v>3000</v>
      </c>
      <c r="J785" s="104">
        <v>3000</v>
      </c>
      <c r="K785" s="104">
        <f t="shared" ref="K785" si="1236">H785-E785</f>
        <v>3000</v>
      </c>
      <c r="L785" s="104"/>
      <c r="M785" s="104">
        <f t="shared" ref="M785" si="1237">H785-F785</f>
        <v>3000</v>
      </c>
      <c r="N785" s="104">
        <f t="shared" ref="N785" si="1238">I785-G785</f>
        <v>3000</v>
      </c>
      <c r="O785" s="104"/>
      <c r="P785" s="35"/>
      <c r="Q785" s="35"/>
      <c r="R785" s="35"/>
      <c r="S785" s="35"/>
    </row>
    <row r="786" spans="1:19" s="4" customFormat="1" ht="25.5" x14ac:dyDescent="0.2">
      <c r="A786" s="345" t="s">
        <v>407</v>
      </c>
      <c r="B786" s="346" t="s">
        <v>404</v>
      </c>
      <c r="C786" s="225">
        <f>SUM(C788,C791)</f>
        <v>0</v>
      </c>
      <c r="D786" s="226"/>
      <c r="E786" s="226">
        <f>SUM(E788,E791)</f>
        <v>0</v>
      </c>
      <c r="F786" s="226">
        <f t="shared" ref="F786:O786" si="1239">SUM(F788,F791)</f>
        <v>0</v>
      </c>
      <c r="G786" s="226">
        <f t="shared" si="1239"/>
        <v>0</v>
      </c>
      <c r="H786" s="226">
        <f>SUM(H787)</f>
        <v>23000</v>
      </c>
      <c r="I786" s="226">
        <f t="shared" ref="I786:J786" si="1240">SUM(I787)</f>
        <v>780000</v>
      </c>
      <c r="J786" s="226">
        <f t="shared" si="1240"/>
        <v>500000</v>
      </c>
      <c r="K786" s="226">
        <f t="shared" si="1239"/>
        <v>23000</v>
      </c>
      <c r="L786" s="226"/>
      <c r="M786" s="226">
        <f t="shared" si="1239"/>
        <v>23000</v>
      </c>
      <c r="N786" s="226">
        <f t="shared" si="1239"/>
        <v>780000</v>
      </c>
      <c r="O786" s="226">
        <f t="shared" si="1239"/>
        <v>0</v>
      </c>
      <c r="P786" s="35"/>
      <c r="Q786" s="35"/>
      <c r="R786" s="35"/>
      <c r="S786" s="35"/>
    </row>
    <row r="787" spans="1:19" s="4" customFormat="1" x14ac:dyDescent="0.2">
      <c r="A787" s="699" t="s">
        <v>77</v>
      </c>
      <c r="B787" s="700"/>
      <c r="C787" s="481"/>
      <c r="D787" s="482"/>
      <c r="E787" s="483"/>
      <c r="F787" s="481"/>
      <c r="G787" s="483"/>
      <c r="H787" s="484">
        <f>SUM(H788,H791)</f>
        <v>23000</v>
      </c>
      <c r="I787" s="484">
        <f t="shared" ref="I787:N787" si="1241">SUM(I788,I791)</f>
        <v>780000</v>
      </c>
      <c r="J787" s="484">
        <f t="shared" si="1241"/>
        <v>500000</v>
      </c>
      <c r="K787" s="361">
        <f t="shared" si="1241"/>
        <v>23000</v>
      </c>
      <c r="L787" s="361"/>
      <c r="M787" s="361">
        <f t="shared" si="1241"/>
        <v>23000</v>
      </c>
      <c r="N787" s="361">
        <f t="shared" si="1241"/>
        <v>780000</v>
      </c>
      <c r="O787" s="360"/>
      <c r="P787" s="35"/>
      <c r="Q787" s="35"/>
      <c r="R787" s="35"/>
      <c r="S787" s="35"/>
    </row>
    <row r="788" spans="1:19" s="4" customFormat="1" x14ac:dyDescent="0.2">
      <c r="A788" s="453">
        <v>32</v>
      </c>
      <c r="B788" s="457" t="s">
        <v>325</v>
      </c>
      <c r="C788" s="460">
        <f>SUM(C789)</f>
        <v>0</v>
      </c>
      <c r="D788" s="460"/>
      <c r="E788" s="461">
        <f t="shared" ref="E788:O789" si="1242">SUM(E789)</f>
        <v>0</v>
      </c>
      <c r="F788" s="462">
        <f t="shared" si="1242"/>
        <v>0</v>
      </c>
      <c r="G788" s="462">
        <f t="shared" si="1242"/>
        <v>0</v>
      </c>
      <c r="H788" s="462">
        <f t="shared" si="1242"/>
        <v>3000</v>
      </c>
      <c r="I788" s="462">
        <f t="shared" si="1242"/>
        <v>80000</v>
      </c>
      <c r="J788" s="462">
        <f t="shared" si="1242"/>
        <v>50000</v>
      </c>
      <c r="K788" s="362">
        <f t="shared" si="1242"/>
        <v>3000</v>
      </c>
      <c r="L788" s="362"/>
      <c r="M788" s="362">
        <f t="shared" si="1242"/>
        <v>3000</v>
      </c>
      <c r="N788" s="362">
        <f t="shared" si="1242"/>
        <v>80000</v>
      </c>
      <c r="O788" s="362">
        <f t="shared" si="1242"/>
        <v>0</v>
      </c>
      <c r="P788" s="35"/>
      <c r="Q788" s="35"/>
      <c r="R788" s="35"/>
      <c r="S788" s="35"/>
    </row>
    <row r="789" spans="1:19" s="4" customFormat="1" x14ac:dyDescent="0.2">
      <c r="A789" s="316" t="s">
        <v>149</v>
      </c>
      <c r="B789" s="317" t="s">
        <v>12</v>
      </c>
      <c r="C789" s="255">
        <f>SUM(C790)</f>
        <v>0</v>
      </c>
      <c r="D789" s="256"/>
      <c r="E789" s="256">
        <f t="shared" si="1242"/>
        <v>0</v>
      </c>
      <c r="F789" s="258">
        <f t="shared" si="1242"/>
        <v>0</v>
      </c>
      <c r="G789" s="258">
        <f t="shared" si="1242"/>
        <v>0</v>
      </c>
      <c r="H789" s="258">
        <f t="shared" si="1242"/>
        <v>3000</v>
      </c>
      <c r="I789" s="104">
        <f t="shared" si="1242"/>
        <v>80000</v>
      </c>
      <c r="J789" s="104">
        <f t="shared" si="1242"/>
        <v>50000</v>
      </c>
      <c r="K789" s="104">
        <f t="shared" si="1242"/>
        <v>3000</v>
      </c>
      <c r="L789" s="104"/>
      <c r="M789" s="104">
        <f t="shared" si="1242"/>
        <v>3000</v>
      </c>
      <c r="N789" s="104">
        <f t="shared" si="1242"/>
        <v>80000</v>
      </c>
      <c r="O789" s="104">
        <f t="shared" si="1242"/>
        <v>0</v>
      </c>
      <c r="P789" s="35"/>
      <c r="Q789" s="35"/>
      <c r="R789" s="35"/>
      <c r="S789" s="35"/>
    </row>
    <row r="790" spans="1:19" s="4" customFormat="1" x14ac:dyDescent="0.2">
      <c r="A790" s="316">
        <v>3213</v>
      </c>
      <c r="B790" s="317" t="s">
        <v>15</v>
      </c>
      <c r="C790" s="255">
        <v>0</v>
      </c>
      <c r="D790" s="256"/>
      <c r="E790" s="256">
        <v>0</v>
      </c>
      <c r="F790" s="258">
        <v>0</v>
      </c>
      <c r="G790" s="258">
        <v>0</v>
      </c>
      <c r="H790" s="258">
        <v>3000</v>
      </c>
      <c r="I790" s="104">
        <v>80000</v>
      </c>
      <c r="J790" s="104">
        <v>50000</v>
      </c>
      <c r="K790" s="104">
        <f t="shared" ref="K790" si="1243">H790-E790</f>
        <v>3000</v>
      </c>
      <c r="L790" s="104"/>
      <c r="M790" s="104">
        <f t="shared" ref="M790" si="1244">H790-F790</f>
        <v>3000</v>
      </c>
      <c r="N790" s="104">
        <f t="shared" ref="N790" si="1245">I790-G790</f>
        <v>80000</v>
      </c>
      <c r="O790" s="104"/>
      <c r="P790" s="35"/>
      <c r="Q790" s="35"/>
      <c r="R790" s="35"/>
      <c r="S790" s="35"/>
    </row>
    <row r="791" spans="1:19" s="4" customFormat="1" ht="25.5" x14ac:dyDescent="0.2">
      <c r="A791" s="447">
        <v>42</v>
      </c>
      <c r="B791" s="456" t="s">
        <v>331</v>
      </c>
      <c r="C791" s="440">
        <f t="shared" ref="C791:O792" si="1246">SUM(C792)</f>
        <v>0</v>
      </c>
      <c r="D791" s="441"/>
      <c r="E791" s="441">
        <f t="shared" si="1246"/>
        <v>0</v>
      </c>
      <c r="F791" s="441">
        <f t="shared" si="1246"/>
        <v>0</v>
      </c>
      <c r="G791" s="441">
        <f t="shared" si="1246"/>
        <v>0</v>
      </c>
      <c r="H791" s="441">
        <f t="shared" si="1246"/>
        <v>20000</v>
      </c>
      <c r="I791" s="441">
        <f t="shared" si="1246"/>
        <v>700000</v>
      </c>
      <c r="J791" s="441">
        <f t="shared" si="1246"/>
        <v>450000</v>
      </c>
      <c r="K791" s="293">
        <f t="shared" si="1246"/>
        <v>20000</v>
      </c>
      <c r="L791" s="293"/>
      <c r="M791" s="293">
        <f t="shared" si="1246"/>
        <v>20000</v>
      </c>
      <c r="N791" s="293">
        <f t="shared" si="1246"/>
        <v>700000</v>
      </c>
      <c r="O791" s="293">
        <f t="shared" si="1246"/>
        <v>0</v>
      </c>
      <c r="P791" s="35"/>
      <c r="Q791" s="35"/>
      <c r="R791" s="35"/>
      <c r="S791" s="35"/>
    </row>
    <row r="792" spans="1:19" s="4" customFormat="1" x14ac:dyDescent="0.2">
      <c r="A792" s="320">
        <v>422</v>
      </c>
      <c r="B792" s="363" t="s">
        <v>53</v>
      </c>
      <c r="C792" s="162">
        <f>SUM(C793)</f>
        <v>0</v>
      </c>
      <c r="D792" s="163"/>
      <c r="E792" s="165">
        <f t="shared" si="1246"/>
        <v>0</v>
      </c>
      <c r="F792" s="165">
        <f t="shared" si="1246"/>
        <v>0</v>
      </c>
      <c r="G792" s="165">
        <f t="shared" si="1246"/>
        <v>0</v>
      </c>
      <c r="H792" s="165">
        <f t="shared" si="1246"/>
        <v>20000</v>
      </c>
      <c r="I792" s="165">
        <f t="shared" si="1246"/>
        <v>700000</v>
      </c>
      <c r="J792" s="165">
        <f t="shared" si="1246"/>
        <v>450000</v>
      </c>
      <c r="K792" s="165">
        <f t="shared" si="1246"/>
        <v>20000</v>
      </c>
      <c r="L792" s="165"/>
      <c r="M792" s="165">
        <f t="shared" si="1246"/>
        <v>20000</v>
      </c>
      <c r="N792" s="165">
        <f t="shared" si="1246"/>
        <v>700000</v>
      </c>
      <c r="O792" s="165">
        <f t="shared" si="1246"/>
        <v>0</v>
      </c>
      <c r="P792" s="35"/>
      <c r="Q792" s="35"/>
      <c r="R792" s="35"/>
      <c r="S792" s="35"/>
    </row>
    <row r="793" spans="1:19" s="4" customFormat="1" x14ac:dyDescent="0.2">
      <c r="A793" s="316">
        <v>4223</v>
      </c>
      <c r="B793" s="317" t="s">
        <v>59</v>
      </c>
      <c r="C793" s="255">
        <v>0</v>
      </c>
      <c r="D793" s="256"/>
      <c r="E793" s="256">
        <v>0</v>
      </c>
      <c r="F793" s="258">
        <v>0</v>
      </c>
      <c r="G793" s="258">
        <v>0</v>
      </c>
      <c r="H793" s="258">
        <v>20000</v>
      </c>
      <c r="I793" s="104">
        <v>700000</v>
      </c>
      <c r="J793" s="104">
        <v>450000</v>
      </c>
      <c r="K793" s="105">
        <f t="shared" ref="K793" si="1247">H793-E793</f>
        <v>20000</v>
      </c>
      <c r="L793" s="104"/>
      <c r="M793" s="105">
        <f t="shared" ref="M793" si="1248">H793-F793</f>
        <v>20000</v>
      </c>
      <c r="N793" s="105">
        <f t="shared" ref="N793" si="1249">I793-G793</f>
        <v>700000</v>
      </c>
      <c r="O793" s="104"/>
      <c r="P793" s="35"/>
      <c r="Q793" s="35"/>
      <c r="R793" s="35"/>
      <c r="S793" s="35"/>
    </row>
    <row r="794" spans="1:19" s="4" customFormat="1" ht="51" x14ac:dyDescent="0.2">
      <c r="A794" s="345" t="s">
        <v>405</v>
      </c>
      <c r="B794" s="346" t="s">
        <v>406</v>
      </c>
      <c r="C794" s="364"/>
      <c r="D794" s="365"/>
      <c r="E794" s="365"/>
      <c r="F794" s="366"/>
      <c r="G794" s="366"/>
      <c r="H794" s="228">
        <f>SUM(H795)</f>
        <v>25000</v>
      </c>
      <c r="I794" s="228">
        <f t="shared" ref="I794:N794" si="1250">SUM(I795)</f>
        <v>14000</v>
      </c>
      <c r="J794" s="228">
        <f t="shared" si="1250"/>
        <v>0</v>
      </c>
      <c r="K794" s="228">
        <f t="shared" si="1250"/>
        <v>25000</v>
      </c>
      <c r="L794" s="228"/>
      <c r="M794" s="228">
        <f t="shared" si="1250"/>
        <v>25000</v>
      </c>
      <c r="N794" s="228">
        <f t="shared" si="1250"/>
        <v>14000</v>
      </c>
      <c r="O794" s="367"/>
      <c r="P794" s="35"/>
      <c r="Q794" s="35"/>
      <c r="R794" s="35"/>
      <c r="S794" s="35"/>
    </row>
    <row r="795" spans="1:19" s="4" customFormat="1" x14ac:dyDescent="0.2">
      <c r="A795" s="699" t="s">
        <v>77</v>
      </c>
      <c r="B795" s="700"/>
      <c r="C795" s="485"/>
      <c r="D795" s="486"/>
      <c r="E795" s="486"/>
      <c r="F795" s="487"/>
      <c r="G795" s="487"/>
      <c r="H795" s="232">
        <f>SUM(H796,H799)</f>
        <v>25000</v>
      </c>
      <c r="I795" s="232">
        <f t="shared" ref="I795:J795" si="1251">SUM(I796,I799)</f>
        <v>14000</v>
      </c>
      <c r="J795" s="232">
        <f t="shared" si="1251"/>
        <v>0</v>
      </c>
      <c r="K795" s="165">
        <f t="shared" ref="K795:N795" si="1252">SUM(K796,K799)</f>
        <v>25000</v>
      </c>
      <c r="L795" s="165"/>
      <c r="M795" s="165">
        <f t="shared" si="1252"/>
        <v>25000</v>
      </c>
      <c r="N795" s="165">
        <f t="shared" si="1252"/>
        <v>14000</v>
      </c>
      <c r="O795" s="104"/>
      <c r="P795" s="35"/>
      <c r="Q795" s="35"/>
      <c r="R795" s="35"/>
      <c r="S795" s="35"/>
    </row>
    <row r="796" spans="1:19" s="4" customFormat="1" x14ac:dyDescent="0.2">
      <c r="A796" s="447">
        <v>31</v>
      </c>
      <c r="B796" s="448" t="s">
        <v>323</v>
      </c>
      <c r="C796" s="463"/>
      <c r="D796" s="464"/>
      <c r="E796" s="464"/>
      <c r="F796" s="462"/>
      <c r="G796" s="462"/>
      <c r="H796" s="455">
        <f>SUM(H797)</f>
        <v>4000</v>
      </c>
      <c r="I796" s="455">
        <f t="shared" ref="I796:N796" si="1253">SUM(I797)</f>
        <v>4000</v>
      </c>
      <c r="J796" s="455">
        <f t="shared" si="1253"/>
        <v>0</v>
      </c>
      <c r="K796" s="295">
        <f t="shared" si="1253"/>
        <v>4000</v>
      </c>
      <c r="L796" s="295"/>
      <c r="M796" s="295">
        <f t="shared" si="1253"/>
        <v>4000</v>
      </c>
      <c r="N796" s="295">
        <f t="shared" si="1253"/>
        <v>4000</v>
      </c>
      <c r="O796" s="368"/>
      <c r="P796" s="35"/>
      <c r="Q796" s="35"/>
      <c r="R796" s="35"/>
      <c r="S796" s="35"/>
    </row>
    <row r="797" spans="1:19" s="4" customFormat="1" x14ac:dyDescent="0.2">
      <c r="A797" s="320">
        <v>311</v>
      </c>
      <c r="B797" s="321" t="s">
        <v>4</v>
      </c>
      <c r="C797" s="255"/>
      <c r="D797" s="256"/>
      <c r="E797" s="256"/>
      <c r="F797" s="258"/>
      <c r="G797" s="258"/>
      <c r="H797" s="165">
        <f>SUM(H798)</f>
        <v>4000</v>
      </c>
      <c r="I797" s="165">
        <f t="shared" ref="I797:N797" si="1254">SUM(I798)</f>
        <v>4000</v>
      </c>
      <c r="J797" s="165">
        <f t="shared" si="1254"/>
        <v>0</v>
      </c>
      <c r="K797" s="165">
        <f t="shared" si="1254"/>
        <v>4000</v>
      </c>
      <c r="L797" s="165"/>
      <c r="M797" s="165">
        <f t="shared" si="1254"/>
        <v>4000</v>
      </c>
      <c r="N797" s="165">
        <f t="shared" si="1254"/>
        <v>4000</v>
      </c>
      <c r="O797" s="104"/>
      <c r="P797" s="35"/>
      <c r="Q797" s="35"/>
      <c r="R797" s="35"/>
      <c r="S797" s="35"/>
    </row>
    <row r="798" spans="1:19" s="4" customFormat="1" x14ac:dyDescent="0.2">
      <c r="A798" s="316">
        <v>3111</v>
      </c>
      <c r="B798" s="317" t="s">
        <v>5</v>
      </c>
      <c r="C798" s="255"/>
      <c r="D798" s="256"/>
      <c r="E798" s="256"/>
      <c r="F798" s="258"/>
      <c r="G798" s="258"/>
      <c r="H798" s="258">
        <v>4000</v>
      </c>
      <c r="I798" s="104">
        <v>4000</v>
      </c>
      <c r="J798" s="104"/>
      <c r="K798" s="104">
        <f t="shared" ref="K798" si="1255">H798-E798</f>
        <v>4000</v>
      </c>
      <c r="L798" s="104"/>
      <c r="M798" s="104">
        <f t="shared" ref="M798" si="1256">H798-F798</f>
        <v>4000</v>
      </c>
      <c r="N798" s="104">
        <f t="shared" ref="N798" si="1257">I798-G798</f>
        <v>4000</v>
      </c>
      <c r="O798" s="104"/>
      <c r="P798" s="35"/>
      <c r="Q798" s="35"/>
      <c r="R798" s="35"/>
      <c r="S798" s="35"/>
    </row>
    <row r="799" spans="1:19" s="4" customFormat="1" x14ac:dyDescent="0.2">
      <c r="A799" s="453">
        <v>32</v>
      </c>
      <c r="B799" s="454" t="s">
        <v>325</v>
      </c>
      <c r="C799" s="463"/>
      <c r="D799" s="464"/>
      <c r="E799" s="464"/>
      <c r="F799" s="462"/>
      <c r="G799" s="462"/>
      <c r="H799" s="455">
        <f>SUM(H800,H803,H807,H811)</f>
        <v>21000</v>
      </c>
      <c r="I799" s="455">
        <f t="shared" ref="I799:N799" si="1258">SUM(I800,I803,I807,I811)</f>
        <v>10000</v>
      </c>
      <c r="J799" s="455">
        <f t="shared" si="1258"/>
        <v>0</v>
      </c>
      <c r="K799" s="295">
        <f t="shared" si="1258"/>
        <v>21000</v>
      </c>
      <c r="L799" s="295"/>
      <c r="M799" s="295">
        <f t="shared" si="1258"/>
        <v>21000</v>
      </c>
      <c r="N799" s="295">
        <f t="shared" si="1258"/>
        <v>10000</v>
      </c>
      <c r="O799" s="368"/>
      <c r="P799" s="35"/>
      <c r="Q799" s="35"/>
      <c r="R799" s="35"/>
      <c r="S799" s="35"/>
    </row>
    <row r="800" spans="1:19" s="4" customFormat="1" x14ac:dyDescent="0.2">
      <c r="A800" s="369">
        <v>321</v>
      </c>
      <c r="B800" s="354" t="s">
        <v>12</v>
      </c>
      <c r="C800" s="255"/>
      <c r="D800" s="256"/>
      <c r="E800" s="256"/>
      <c r="F800" s="258"/>
      <c r="G800" s="258"/>
      <c r="H800" s="165">
        <f>SUM(H801,H802)</f>
        <v>3000</v>
      </c>
      <c r="I800" s="165">
        <f t="shared" ref="I800:J800" si="1259">SUM(I801,I802)</f>
        <v>5000</v>
      </c>
      <c r="J800" s="165">
        <f t="shared" si="1259"/>
        <v>0</v>
      </c>
      <c r="K800" s="165">
        <f t="shared" ref="K800:N800" si="1260">SUM(K801,K802)</f>
        <v>3000</v>
      </c>
      <c r="L800" s="165"/>
      <c r="M800" s="165">
        <f t="shared" si="1260"/>
        <v>3000</v>
      </c>
      <c r="N800" s="165">
        <f t="shared" si="1260"/>
        <v>5000</v>
      </c>
      <c r="O800" s="104"/>
      <c r="P800" s="35"/>
      <c r="Q800" s="35"/>
      <c r="R800" s="35"/>
      <c r="S800" s="35"/>
    </row>
    <row r="801" spans="1:19" s="4" customFormat="1" x14ac:dyDescent="0.2">
      <c r="A801" s="316">
        <v>3211</v>
      </c>
      <c r="B801" s="317" t="s">
        <v>13</v>
      </c>
      <c r="C801" s="255"/>
      <c r="D801" s="256"/>
      <c r="E801" s="256"/>
      <c r="F801" s="258"/>
      <c r="G801" s="258"/>
      <c r="H801" s="258">
        <v>3000</v>
      </c>
      <c r="I801" s="104">
        <v>5000</v>
      </c>
      <c r="J801" s="104"/>
      <c r="K801" s="104">
        <f t="shared" ref="K801:K802" si="1261">H801-E801</f>
        <v>3000</v>
      </c>
      <c r="L801" s="104"/>
      <c r="M801" s="104">
        <f t="shared" ref="M801:M802" si="1262">H801-F801</f>
        <v>3000</v>
      </c>
      <c r="N801" s="104">
        <f t="shared" ref="N801:N802" si="1263">I801-G801</f>
        <v>5000</v>
      </c>
      <c r="O801" s="104"/>
      <c r="P801" s="35"/>
      <c r="Q801" s="35"/>
      <c r="R801" s="35"/>
      <c r="S801" s="35"/>
    </row>
    <row r="802" spans="1:19" s="4" customFormat="1" x14ac:dyDescent="0.2">
      <c r="A802" s="355">
        <v>3213</v>
      </c>
      <c r="B802" s="356" t="s">
        <v>15</v>
      </c>
      <c r="C802" s="255"/>
      <c r="D802" s="256"/>
      <c r="E802" s="256"/>
      <c r="F802" s="258"/>
      <c r="G802" s="258"/>
      <c r="H802" s="258"/>
      <c r="I802" s="104"/>
      <c r="J802" s="104"/>
      <c r="K802" s="104">
        <f t="shared" si="1261"/>
        <v>0</v>
      </c>
      <c r="L802" s="104"/>
      <c r="M802" s="104">
        <f t="shared" si="1262"/>
        <v>0</v>
      </c>
      <c r="N802" s="104">
        <f t="shared" si="1263"/>
        <v>0</v>
      </c>
      <c r="O802" s="104"/>
      <c r="P802" s="35"/>
      <c r="Q802" s="35"/>
      <c r="R802" s="35"/>
      <c r="S802" s="35"/>
    </row>
    <row r="803" spans="1:19" s="4" customFormat="1" x14ac:dyDescent="0.2">
      <c r="A803" s="353">
        <v>322</v>
      </c>
      <c r="B803" s="354" t="s">
        <v>16</v>
      </c>
      <c r="C803" s="255"/>
      <c r="D803" s="256"/>
      <c r="E803" s="256"/>
      <c r="F803" s="258"/>
      <c r="G803" s="258"/>
      <c r="H803" s="165">
        <f>SUM(H804,H804:H806)</f>
        <v>1000</v>
      </c>
      <c r="I803" s="165">
        <f t="shared" ref="I803:N803" si="1264">SUM(I804,I804:I806)</f>
        <v>1000</v>
      </c>
      <c r="J803" s="165">
        <f t="shared" si="1264"/>
        <v>0</v>
      </c>
      <c r="K803" s="165">
        <f t="shared" si="1264"/>
        <v>1000</v>
      </c>
      <c r="L803" s="165"/>
      <c r="M803" s="165">
        <f t="shared" si="1264"/>
        <v>1000</v>
      </c>
      <c r="N803" s="165">
        <f t="shared" si="1264"/>
        <v>1000</v>
      </c>
      <c r="O803" s="104"/>
      <c r="P803" s="35"/>
      <c r="Q803" s="35"/>
      <c r="R803" s="35"/>
      <c r="S803" s="35"/>
    </row>
    <row r="804" spans="1:19" s="4" customFormat="1" x14ac:dyDescent="0.2">
      <c r="A804" s="355">
        <v>3222</v>
      </c>
      <c r="B804" s="356" t="s">
        <v>18</v>
      </c>
      <c r="C804" s="255"/>
      <c r="D804" s="256"/>
      <c r="E804" s="256"/>
      <c r="F804" s="258"/>
      <c r="G804" s="258"/>
      <c r="H804" s="258"/>
      <c r="I804" s="104"/>
      <c r="J804" s="104"/>
      <c r="K804" s="105">
        <f t="shared" ref="K804:K806" si="1265">H804-E804</f>
        <v>0</v>
      </c>
      <c r="L804" s="104"/>
      <c r="M804" s="105">
        <f t="shared" ref="M804:M806" si="1266">H804-F804</f>
        <v>0</v>
      </c>
      <c r="N804" s="105">
        <f t="shared" ref="N804:N806" si="1267">I804-G804</f>
        <v>0</v>
      </c>
      <c r="O804" s="104"/>
      <c r="P804" s="35"/>
      <c r="Q804" s="35"/>
      <c r="R804" s="35"/>
      <c r="S804" s="35"/>
    </row>
    <row r="805" spans="1:19" s="4" customFormat="1" x14ac:dyDescent="0.2">
      <c r="A805" s="316">
        <v>3223</v>
      </c>
      <c r="B805" s="317" t="s">
        <v>19</v>
      </c>
      <c r="C805" s="255"/>
      <c r="D805" s="256"/>
      <c r="E805" s="256"/>
      <c r="F805" s="258"/>
      <c r="G805" s="258"/>
      <c r="H805" s="258">
        <v>1000</v>
      </c>
      <c r="I805" s="104">
        <v>1000</v>
      </c>
      <c r="J805" s="104"/>
      <c r="K805" s="105">
        <f t="shared" si="1265"/>
        <v>1000</v>
      </c>
      <c r="L805" s="104"/>
      <c r="M805" s="105">
        <f t="shared" si="1266"/>
        <v>1000</v>
      </c>
      <c r="N805" s="105">
        <f t="shared" si="1267"/>
        <v>1000</v>
      </c>
      <c r="O805" s="104"/>
      <c r="P805" s="35"/>
      <c r="Q805" s="35"/>
      <c r="R805" s="35"/>
      <c r="S805" s="35"/>
    </row>
    <row r="806" spans="1:19" s="4" customFormat="1" x14ac:dyDescent="0.2">
      <c r="A806" s="316">
        <v>3225</v>
      </c>
      <c r="B806" s="317" t="s">
        <v>21</v>
      </c>
      <c r="C806" s="255"/>
      <c r="D806" s="256"/>
      <c r="E806" s="256"/>
      <c r="F806" s="258"/>
      <c r="G806" s="258"/>
      <c r="H806" s="258"/>
      <c r="I806" s="104"/>
      <c r="J806" s="104"/>
      <c r="K806" s="105">
        <f t="shared" si="1265"/>
        <v>0</v>
      </c>
      <c r="L806" s="104"/>
      <c r="M806" s="105">
        <f t="shared" si="1266"/>
        <v>0</v>
      </c>
      <c r="N806" s="105">
        <f t="shared" si="1267"/>
        <v>0</v>
      </c>
      <c r="O806" s="104"/>
      <c r="P806" s="35"/>
      <c r="Q806" s="35"/>
      <c r="R806" s="35"/>
      <c r="S806" s="35"/>
    </row>
    <row r="807" spans="1:19" s="4" customFormat="1" x14ac:dyDescent="0.2">
      <c r="A807" s="320">
        <v>323</v>
      </c>
      <c r="B807" s="354" t="s">
        <v>23</v>
      </c>
      <c r="C807" s="255"/>
      <c r="D807" s="256"/>
      <c r="E807" s="256"/>
      <c r="F807" s="258"/>
      <c r="G807" s="258"/>
      <c r="H807" s="165">
        <f>SUM(H808:H810)</f>
        <v>15000</v>
      </c>
      <c r="I807" s="165">
        <f t="shared" ref="I807:N807" si="1268">SUM(I808:I810)</f>
        <v>3000</v>
      </c>
      <c r="J807" s="165">
        <f t="shared" si="1268"/>
        <v>0</v>
      </c>
      <c r="K807" s="165">
        <f t="shared" si="1268"/>
        <v>15000</v>
      </c>
      <c r="L807" s="165"/>
      <c r="M807" s="165">
        <f t="shared" si="1268"/>
        <v>15000</v>
      </c>
      <c r="N807" s="165">
        <f t="shared" si="1268"/>
        <v>3000</v>
      </c>
      <c r="O807" s="104"/>
      <c r="P807" s="35"/>
      <c r="Q807" s="35"/>
      <c r="R807" s="35"/>
      <c r="S807" s="35"/>
    </row>
    <row r="808" spans="1:19" s="4" customFormat="1" x14ac:dyDescent="0.2">
      <c r="A808" s="316">
        <v>3233</v>
      </c>
      <c r="B808" s="317" t="s">
        <v>26</v>
      </c>
      <c r="C808" s="255"/>
      <c r="D808" s="256"/>
      <c r="E808" s="256"/>
      <c r="F808" s="258"/>
      <c r="G808" s="258"/>
      <c r="H808" s="258">
        <v>7000</v>
      </c>
      <c r="I808" s="104">
        <v>2000</v>
      </c>
      <c r="J808" s="104"/>
      <c r="K808" s="105">
        <f t="shared" ref="K808:K810" si="1269">H808-E808</f>
        <v>7000</v>
      </c>
      <c r="L808" s="104"/>
      <c r="M808" s="105">
        <f t="shared" ref="M808:M810" si="1270">H808-F808</f>
        <v>7000</v>
      </c>
      <c r="N808" s="105">
        <f t="shared" ref="N808:N810" si="1271">I808-G808</f>
        <v>2000</v>
      </c>
      <c r="O808" s="104"/>
      <c r="P808" s="35"/>
      <c r="Q808" s="35"/>
      <c r="R808" s="35"/>
      <c r="S808" s="35"/>
    </row>
    <row r="809" spans="1:19" s="4" customFormat="1" x14ac:dyDescent="0.2">
      <c r="A809" s="316">
        <v>3235</v>
      </c>
      <c r="B809" s="317" t="s">
        <v>28</v>
      </c>
      <c r="C809" s="255"/>
      <c r="D809" s="256"/>
      <c r="E809" s="256"/>
      <c r="F809" s="258"/>
      <c r="G809" s="258"/>
      <c r="H809" s="258">
        <v>1000</v>
      </c>
      <c r="I809" s="104">
        <v>1000</v>
      </c>
      <c r="J809" s="104"/>
      <c r="K809" s="105">
        <f t="shared" si="1269"/>
        <v>1000</v>
      </c>
      <c r="L809" s="104"/>
      <c r="M809" s="105">
        <f t="shared" si="1270"/>
        <v>1000</v>
      </c>
      <c r="N809" s="105">
        <f t="shared" si="1271"/>
        <v>1000</v>
      </c>
      <c r="O809" s="104"/>
      <c r="P809" s="35"/>
      <c r="Q809" s="35"/>
      <c r="R809" s="35"/>
      <c r="S809" s="35"/>
    </row>
    <row r="810" spans="1:19" s="4" customFormat="1" x14ac:dyDescent="0.2">
      <c r="A810" s="316">
        <v>3237</v>
      </c>
      <c r="B810" s="352" t="s">
        <v>30</v>
      </c>
      <c r="C810" s="255"/>
      <c r="D810" s="256"/>
      <c r="E810" s="256"/>
      <c r="F810" s="258"/>
      <c r="G810" s="258"/>
      <c r="H810" s="258">
        <v>7000</v>
      </c>
      <c r="I810" s="104"/>
      <c r="J810" s="104"/>
      <c r="K810" s="105">
        <f t="shared" si="1269"/>
        <v>7000</v>
      </c>
      <c r="L810" s="104"/>
      <c r="M810" s="105">
        <f t="shared" si="1270"/>
        <v>7000</v>
      </c>
      <c r="N810" s="105">
        <f t="shared" si="1271"/>
        <v>0</v>
      </c>
      <c r="O810" s="104"/>
      <c r="P810" s="35"/>
      <c r="Q810" s="35"/>
      <c r="R810" s="35"/>
      <c r="S810" s="35"/>
    </row>
    <row r="811" spans="1:19" s="4" customFormat="1" x14ac:dyDescent="0.2">
      <c r="A811" s="353">
        <v>329</v>
      </c>
      <c r="B811" s="354" t="s">
        <v>33</v>
      </c>
      <c r="C811" s="255"/>
      <c r="D811" s="256"/>
      <c r="E811" s="256"/>
      <c r="F811" s="258"/>
      <c r="G811" s="258"/>
      <c r="H811" s="165">
        <f>SUM(H812)</f>
        <v>2000</v>
      </c>
      <c r="I811" s="165">
        <f t="shared" ref="I811:N811" si="1272">SUM(I812)</f>
        <v>1000</v>
      </c>
      <c r="J811" s="165">
        <f t="shared" si="1272"/>
        <v>0</v>
      </c>
      <c r="K811" s="165">
        <f t="shared" si="1272"/>
        <v>2000</v>
      </c>
      <c r="L811" s="165"/>
      <c r="M811" s="165">
        <f t="shared" si="1272"/>
        <v>2000</v>
      </c>
      <c r="N811" s="165">
        <f t="shared" si="1272"/>
        <v>1000</v>
      </c>
      <c r="O811" s="104"/>
      <c r="P811" s="35"/>
      <c r="Q811" s="35"/>
      <c r="R811" s="35"/>
      <c r="S811" s="35"/>
    </row>
    <row r="812" spans="1:19" s="4" customFormat="1" x14ac:dyDescent="0.2">
      <c r="A812" s="355">
        <v>3293</v>
      </c>
      <c r="B812" s="356" t="s">
        <v>36</v>
      </c>
      <c r="C812" s="255"/>
      <c r="D812" s="256"/>
      <c r="E812" s="256"/>
      <c r="F812" s="258"/>
      <c r="G812" s="258"/>
      <c r="H812" s="258">
        <v>2000</v>
      </c>
      <c r="I812" s="104">
        <v>1000</v>
      </c>
      <c r="J812" s="104"/>
      <c r="K812" s="105">
        <f t="shared" ref="K812" si="1273">H812-E812</f>
        <v>2000</v>
      </c>
      <c r="L812" s="104"/>
      <c r="M812" s="105">
        <f t="shared" ref="M812" si="1274">H812-F812</f>
        <v>2000</v>
      </c>
      <c r="N812" s="105">
        <f t="shared" ref="N812" si="1275">I812-G812</f>
        <v>1000</v>
      </c>
      <c r="O812" s="104"/>
      <c r="P812" s="35"/>
      <c r="Q812" s="35"/>
      <c r="R812" s="35"/>
      <c r="S812" s="35"/>
    </row>
    <row r="813" spans="1:19" s="4" customFormat="1" ht="25.5" x14ac:dyDescent="0.2">
      <c r="A813" s="345" t="s">
        <v>408</v>
      </c>
      <c r="B813" s="346" t="s">
        <v>409</v>
      </c>
      <c r="C813" s="370"/>
      <c r="D813" s="371"/>
      <c r="E813" s="371"/>
      <c r="F813" s="372"/>
      <c r="G813" s="372"/>
      <c r="H813" s="373">
        <f>SUM(H814)</f>
        <v>71000</v>
      </c>
      <c r="I813" s="373">
        <f t="shared" ref="I813:N813" si="1276">SUM(I814)</f>
        <v>4000</v>
      </c>
      <c r="J813" s="373">
        <f t="shared" si="1276"/>
        <v>0</v>
      </c>
      <c r="K813" s="373">
        <f t="shared" si="1276"/>
        <v>71000</v>
      </c>
      <c r="L813" s="373"/>
      <c r="M813" s="373">
        <f t="shared" si="1276"/>
        <v>71000</v>
      </c>
      <c r="N813" s="373">
        <f t="shared" si="1276"/>
        <v>4000</v>
      </c>
      <c r="O813" s="374"/>
      <c r="P813" s="35"/>
      <c r="Q813" s="35"/>
      <c r="R813" s="35"/>
      <c r="S813" s="35"/>
    </row>
    <row r="814" spans="1:19" s="4" customFormat="1" x14ac:dyDescent="0.2">
      <c r="A814" s="699" t="s">
        <v>77</v>
      </c>
      <c r="B814" s="700"/>
      <c r="C814" s="488"/>
      <c r="D814" s="190"/>
      <c r="E814" s="488"/>
      <c r="F814" s="488"/>
      <c r="G814" s="488"/>
      <c r="H814" s="489">
        <f>SUM(H815,H818)</f>
        <v>71000</v>
      </c>
      <c r="I814" s="489">
        <f t="shared" ref="I814:J814" si="1277">SUM(I815,I818)</f>
        <v>4000</v>
      </c>
      <c r="J814" s="489">
        <f t="shared" si="1277"/>
        <v>0</v>
      </c>
      <c r="K814" s="375">
        <f t="shared" ref="K814:N814" si="1278">SUM(K815,K818)</f>
        <v>71000</v>
      </c>
      <c r="L814" s="375"/>
      <c r="M814" s="375">
        <f t="shared" si="1278"/>
        <v>71000</v>
      </c>
      <c r="N814" s="375">
        <f t="shared" si="1278"/>
        <v>4000</v>
      </c>
      <c r="O814" s="360"/>
      <c r="P814" s="35"/>
      <c r="Q814" s="35"/>
      <c r="R814" s="35"/>
      <c r="S814" s="35"/>
    </row>
    <row r="815" spans="1:19" s="4" customFormat="1" x14ac:dyDescent="0.2">
      <c r="A815" s="447">
        <v>31</v>
      </c>
      <c r="B815" s="448" t="s">
        <v>323</v>
      </c>
      <c r="C815" s="463"/>
      <c r="D815" s="464"/>
      <c r="E815" s="464"/>
      <c r="F815" s="462"/>
      <c r="G815" s="462"/>
      <c r="H815" s="455">
        <f>SUM(H816)</f>
        <v>11000</v>
      </c>
      <c r="I815" s="455">
        <f t="shared" ref="I815:N815" si="1279">SUM(I816)</f>
        <v>0</v>
      </c>
      <c r="J815" s="455">
        <f t="shared" si="1279"/>
        <v>0</v>
      </c>
      <c r="K815" s="295">
        <f t="shared" si="1279"/>
        <v>11000</v>
      </c>
      <c r="L815" s="295"/>
      <c r="M815" s="295">
        <f t="shared" si="1279"/>
        <v>11000</v>
      </c>
      <c r="N815" s="295">
        <f t="shared" si="1279"/>
        <v>0</v>
      </c>
      <c r="O815" s="368"/>
      <c r="P815" s="35"/>
      <c r="Q815" s="35"/>
      <c r="R815" s="35"/>
      <c r="S815" s="35"/>
    </row>
    <row r="816" spans="1:19" s="4" customFormat="1" x14ac:dyDescent="0.2">
      <c r="A816" s="320">
        <v>311</v>
      </c>
      <c r="B816" s="321" t="s">
        <v>4</v>
      </c>
      <c r="C816" s="255"/>
      <c r="D816" s="256"/>
      <c r="E816" s="256"/>
      <c r="F816" s="258"/>
      <c r="G816" s="258"/>
      <c r="H816" s="165">
        <f>SUM(H817)</f>
        <v>11000</v>
      </c>
      <c r="I816" s="165">
        <f t="shared" ref="I816:N816" si="1280">SUM(I817)</f>
        <v>0</v>
      </c>
      <c r="J816" s="165">
        <f t="shared" si="1280"/>
        <v>0</v>
      </c>
      <c r="K816" s="165">
        <f t="shared" si="1280"/>
        <v>11000</v>
      </c>
      <c r="L816" s="165"/>
      <c r="M816" s="165">
        <f t="shared" si="1280"/>
        <v>11000</v>
      </c>
      <c r="N816" s="165">
        <f t="shared" si="1280"/>
        <v>0</v>
      </c>
      <c r="O816" s="104"/>
      <c r="P816" s="35"/>
      <c r="Q816" s="35"/>
      <c r="R816" s="35"/>
      <c r="S816" s="35"/>
    </row>
    <row r="817" spans="1:19" s="4" customFormat="1" x14ac:dyDescent="0.2">
      <c r="A817" s="316">
        <v>3111</v>
      </c>
      <c r="B817" s="317" t="s">
        <v>5</v>
      </c>
      <c r="C817" s="255"/>
      <c r="D817" s="256"/>
      <c r="E817" s="256"/>
      <c r="F817" s="258"/>
      <c r="G817" s="258"/>
      <c r="H817" s="258">
        <v>11000</v>
      </c>
      <c r="I817" s="104"/>
      <c r="J817" s="104"/>
      <c r="K817" s="105">
        <f t="shared" ref="K817" si="1281">H817-E817</f>
        <v>11000</v>
      </c>
      <c r="L817" s="104"/>
      <c r="M817" s="105">
        <f t="shared" ref="M817" si="1282">H817-F817</f>
        <v>11000</v>
      </c>
      <c r="N817" s="105">
        <f t="shared" ref="N817" si="1283">I817-G817</f>
        <v>0</v>
      </c>
      <c r="O817" s="104"/>
      <c r="P817" s="35"/>
      <c r="Q817" s="35"/>
      <c r="R817" s="35"/>
      <c r="S817" s="35"/>
    </row>
    <row r="818" spans="1:19" s="4" customFormat="1" x14ac:dyDescent="0.2">
      <c r="A818" s="453">
        <v>32</v>
      </c>
      <c r="B818" s="454" t="s">
        <v>325</v>
      </c>
      <c r="C818" s="463"/>
      <c r="D818" s="464"/>
      <c r="E818" s="464"/>
      <c r="F818" s="462"/>
      <c r="G818" s="462"/>
      <c r="H818" s="455">
        <f>SUM(H819+H822+H826,H831)</f>
        <v>60000</v>
      </c>
      <c r="I818" s="455">
        <f t="shared" ref="I818:J818" si="1284">SUM(I819+I822+I826,I831)</f>
        <v>4000</v>
      </c>
      <c r="J818" s="455">
        <f t="shared" si="1284"/>
        <v>0</v>
      </c>
      <c r="K818" s="295">
        <f t="shared" ref="K818:N818" si="1285">SUM(K819+K822+K826,K831)</f>
        <v>60000</v>
      </c>
      <c r="L818" s="295"/>
      <c r="M818" s="295">
        <f t="shared" si="1285"/>
        <v>60000</v>
      </c>
      <c r="N818" s="295">
        <f t="shared" si="1285"/>
        <v>4000</v>
      </c>
      <c r="O818" s="368"/>
      <c r="P818" s="35"/>
      <c r="Q818" s="35"/>
      <c r="R818" s="35"/>
      <c r="S818" s="35"/>
    </row>
    <row r="819" spans="1:19" s="11" customFormat="1" x14ac:dyDescent="0.2">
      <c r="A819" s="369">
        <v>321</v>
      </c>
      <c r="B819" s="354" t="s">
        <v>12</v>
      </c>
      <c r="C819" s="162"/>
      <c r="D819" s="163"/>
      <c r="E819" s="163"/>
      <c r="F819" s="165"/>
      <c r="G819" s="165"/>
      <c r="H819" s="165">
        <f>SUM(H820:H821)</f>
        <v>5000</v>
      </c>
      <c r="I819" s="98">
        <f>SUM(I820:I821)</f>
        <v>0</v>
      </c>
      <c r="J819" s="98">
        <f>SUM(J820:J821)</f>
        <v>0</v>
      </c>
      <c r="K819" s="98">
        <f t="shared" ref="K819:N819" si="1286">SUM(K820:K821)</f>
        <v>5000</v>
      </c>
      <c r="L819" s="98"/>
      <c r="M819" s="98">
        <f t="shared" si="1286"/>
        <v>5000</v>
      </c>
      <c r="N819" s="98">
        <f t="shared" si="1286"/>
        <v>0</v>
      </c>
      <c r="O819" s="98"/>
      <c r="P819" s="50"/>
      <c r="Q819" s="50"/>
      <c r="R819" s="50"/>
      <c r="S819" s="50"/>
    </row>
    <row r="820" spans="1:19" s="4" customFormat="1" x14ac:dyDescent="0.2">
      <c r="A820" s="316">
        <v>3211</v>
      </c>
      <c r="B820" s="317" t="s">
        <v>13</v>
      </c>
      <c r="C820" s="255"/>
      <c r="D820" s="256"/>
      <c r="E820" s="256"/>
      <c r="F820" s="258"/>
      <c r="G820" s="258"/>
      <c r="H820" s="258">
        <v>4000</v>
      </c>
      <c r="I820" s="104"/>
      <c r="J820" s="104"/>
      <c r="K820" s="105">
        <f t="shared" ref="K820:K821" si="1287">H820-E820</f>
        <v>4000</v>
      </c>
      <c r="L820" s="104"/>
      <c r="M820" s="105">
        <f t="shared" ref="M820:M821" si="1288">H820-F820</f>
        <v>4000</v>
      </c>
      <c r="N820" s="105">
        <f t="shared" ref="N820:N821" si="1289">I820-G820</f>
        <v>0</v>
      </c>
      <c r="O820" s="104"/>
      <c r="P820" s="35"/>
      <c r="Q820" s="35"/>
      <c r="R820" s="35"/>
      <c r="S820" s="35"/>
    </row>
    <row r="821" spans="1:19" s="4" customFormat="1" x14ac:dyDescent="0.2">
      <c r="A821" s="355">
        <v>3213</v>
      </c>
      <c r="B821" s="356" t="s">
        <v>15</v>
      </c>
      <c r="C821" s="255"/>
      <c r="D821" s="256"/>
      <c r="E821" s="256"/>
      <c r="F821" s="258"/>
      <c r="G821" s="258"/>
      <c r="H821" s="258">
        <v>1000</v>
      </c>
      <c r="I821" s="104"/>
      <c r="J821" s="104"/>
      <c r="K821" s="105">
        <f t="shared" si="1287"/>
        <v>1000</v>
      </c>
      <c r="L821" s="104"/>
      <c r="M821" s="105">
        <f t="shared" si="1288"/>
        <v>1000</v>
      </c>
      <c r="N821" s="105">
        <f t="shared" si="1289"/>
        <v>0</v>
      </c>
      <c r="O821" s="104"/>
      <c r="P821" s="35"/>
      <c r="Q821" s="35"/>
      <c r="R821" s="35"/>
      <c r="S821" s="35"/>
    </row>
    <row r="822" spans="1:19" s="11" customFormat="1" x14ac:dyDescent="0.2">
      <c r="A822" s="353">
        <v>322</v>
      </c>
      <c r="B822" s="354" t="s">
        <v>16</v>
      </c>
      <c r="C822" s="162"/>
      <c r="D822" s="163"/>
      <c r="E822" s="163"/>
      <c r="F822" s="165"/>
      <c r="G822" s="165"/>
      <c r="H822" s="165">
        <f t="shared" ref="H822:N822" si="1290">SUM(H823:H825)</f>
        <v>1000</v>
      </c>
      <c r="I822" s="98">
        <f t="shared" si="1290"/>
        <v>0</v>
      </c>
      <c r="J822" s="98">
        <f t="shared" si="1290"/>
        <v>0</v>
      </c>
      <c r="K822" s="98">
        <f t="shared" si="1290"/>
        <v>1000</v>
      </c>
      <c r="L822" s="98"/>
      <c r="M822" s="98">
        <f t="shared" si="1290"/>
        <v>1000</v>
      </c>
      <c r="N822" s="98">
        <f t="shared" si="1290"/>
        <v>0</v>
      </c>
      <c r="O822" s="98"/>
      <c r="P822" s="50"/>
      <c r="Q822" s="50"/>
      <c r="R822" s="50"/>
      <c r="S822" s="50"/>
    </row>
    <row r="823" spans="1:19" s="4" customFormat="1" x14ac:dyDescent="0.2">
      <c r="A823" s="355">
        <v>3222</v>
      </c>
      <c r="B823" s="356" t="s">
        <v>18</v>
      </c>
      <c r="C823" s="255"/>
      <c r="D823" s="256"/>
      <c r="E823" s="256"/>
      <c r="F823" s="258"/>
      <c r="G823" s="258"/>
      <c r="H823" s="258">
        <v>1000</v>
      </c>
      <c r="I823" s="104"/>
      <c r="J823" s="104"/>
      <c r="K823" s="105">
        <f t="shared" ref="K823:K825" si="1291">H823-E823</f>
        <v>1000</v>
      </c>
      <c r="L823" s="104"/>
      <c r="M823" s="105">
        <f t="shared" ref="M823:M825" si="1292">H823-F823</f>
        <v>1000</v>
      </c>
      <c r="N823" s="105">
        <f t="shared" ref="N823:N825" si="1293">I823-G823</f>
        <v>0</v>
      </c>
      <c r="O823" s="104"/>
      <c r="P823" s="35"/>
      <c r="Q823" s="35"/>
      <c r="R823" s="35"/>
      <c r="S823" s="35"/>
    </row>
    <row r="824" spans="1:19" s="4" customFormat="1" x14ac:dyDescent="0.2">
      <c r="A824" s="316">
        <v>3223</v>
      </c>
      <c r="B824" s="317" t="s">
        <v>19</v>
      </c>
      <c r="C824" s="255"/>
      <c r="D824" s="256"/>
      <c r="E824" s="256"/>
      <c r="F824" s="258"/>
      <c r="G824" s="258"/>
      <c r="H824" s="258"/>
      <c r="I824" s="104"/>
      <c r="J824" s="104"/>
      <c r="K824" s="105">
        <f t="shared" si="1291"/>
        <v>0</v>
      </c>
      <c r="L824" s="104"/>
      <c r="M824" s="105">
        <f t="shared" si="1292"/>
        <v>0</v>
      </c>
      <c r="N824" s="105">
        <f t="shared" si="1293"/>
        <v>0</v>
      </c>
      <c r="O824" s="104"/>
      <c r="P824" s="35"/>
      <c r="Q824" s="35"/>
      <c r="R824" s="35"/>
      <c r="S824" s="35"/>
    </row>
    <row r="825" spans="1:19" s="4" customFormat="1" x14ac:dyDescent="0.2">
      <c r="A825" s="316">
        <v>3225</v>
      </c>
      <c r="B825" s="317" t="s">
        <v>21</v>
      </c>
      <c r="C825" s="255"/>
      <c r="D825" s="256"/>
      <c r="E825" s="256"/>
      <c r="F825" s="258"/>
      <c r="G825" s="258"/>
      <c r="H825" s="258"/>
      <c r="I825" s="104"/>
      <c r="J825" s="104"/>
      <c r="K825" s="105">
        <f t="shared" si="1291"/>
        <v>0</v>
      </c>
      <c r="L825" s="104"/>
      <c r="M825" s="105">
        <f t="shared" si="1292"/>
        <v>0</v>
      </c>
      <c r="N825" s="105">
        <f t="shared" si="1293"/>
        <v>0</v>
      </c>
      <c r="O825" s="104"/>
      <c r="P825" s="35"/>
      <c r="Q825" s="35"/>
      <c r="R825" s="35"/>
      <c r="S825" s="35"/>
    </row>
    <row r="826" spans="1:19" s="11" customFormat="1" x14ac:dyDescent="0.2">
      <c r="A826" s="320">
        <v>323</v>
      </c>
      <c r="B826" s="354" t="s">
        <v>23</v>
      </c>
      <c r="C826" s="162"/>
      <c r="D826" s="163"/>
      <c r="E826" s="163"/>
      <c r="F826" s="165"/>
      <c r="G826" s="165"/>
      <c r="H826" s="165">
        <f>SUM(H827:H830)</f>
        <v>50000</v>
      </c>
      <c r="I826" s="98">
        <f t="shared" ref="I826:N826" si="1294">SUM(I827:I830)</f>
        <v>4000</v>
      </c>
      <c r="J826" s="98">
        <f t="shared" si="1294"/>
        <v>0</v>
      </c>
      <c r="K826" s="98">
        <f t="shared" si="1294"/>
        <v>50000</v>
      </c>
      <c r="L826" s="98"/>
      <c r="M826" s="98">
        <f t="shared" si="1294"/>
        <v>50000</v>
      </c>
      <c r="N826" s="98">
        <f t="shared" si="1294"/>
        <v>4000</v>
      </c>
      <c r="O826" s="98"/>
      <c r="P826" s="50"/>
      <c r="Q826" s="50"/>
      <c r="R826" s="50"/>
      <c r="S826" s="50"/>
    </row>
    <row r="827" spans="1:19" s="4" customFormat="1" x14ac:dyDescent="0.2">
      <c r="A827" s="316">
        <v>3233</v>
      </c>
      <c r="B827" s="317" t="s">
        <v>26</v>
      </c>
      <c r="C827" s="255"/>
      <c r="D827" s="256"/>
      <c r="E827" s="256"/>
      <c r="F827" s="258"/>
      <c r="G827" s="258"/>
      <c r="H827" s="258">
        <v>3000</v>
      </c>
      <c r="I827" s="104"/>
      <c r="J827" s="104"/>
      <c r="K827" s="105">
        <f t="shared" ref="K827:K830" si="1295">H827-E827</f>
        <v>3000</v>
      </c>
      <c r="L827" s="104"/>
      <c r="M827" s="105">
        <f t="shared" ref="M827:M830" si="1296">H827-F827</f>
        <v>3000</v>
      </c>
      <c r="N827" s="105">
        <f t="shared" ref="N827:N830" si="1297">I827-G827</f>
        <v>0</v>
      </c>
      <c r="O827" s="104"/>
      <c r="P827" s="35"/>
      <c r="Q827" s="35"/>
      <c r="R827" s="35"/>
      <c r="S827" s="35"/>
    </row>
    <row r="828" spans="1:19" s="4" customFormat="1" x14ac:dyDescent="0.2">
      <c r="A828" s="316">
        <v>3235</v>
      </c>
      <c r="B828" s="317" t="s">
        <v>28</v>
      </c>
      <c r="C828" s="255"/>
      <c r="D828" s="256"/>
      <c r="E828" s="256"/>
      <c r="F828" s="258"/>
      <c r="G828" s="258"/>
      <c r="H828" s="258">
        <v>4000</v>
      </c>
      <c r="I828" s="104">
        <v>1000</v>
      </c>
      <c r="J828" s="104"/>
      <c r="K828" s="105">
        <f t="shared" si="1295"/>
        <v>4000</v>
      </c>
      <c r="L828" s="104"/>
      <c r="M828" s="105">
        <f t="shared" si="1296"/>
        <v>4000</v>
      </c>
      <c r="N828" s="105">
        <f t="shared" si="1297"/>
        <v>1000</v>
      </c>
      <c r="O828" s="104"/>
      <c r="P828" s="35"/>
      <c r="Q828" s="35"/>
      <c r="R828" s="35"/>
      <c r="S828" s="35"/>
    </row>
    <row r="829" spans="1:19" s="4" customFormat="1" x14ac:dyDescent="0.2">
      <c r="A829" s="316">
        <v>3237</v>
      </c>
      <c r="B829" s="352" t="s">
        <v>30</v>
      </c>
      <c r="C829" s="255"/>
      <c r="D829" s="256"/>
      <c r="E829" s="256"/>
      <c r="F829" s="258"/>
      <c r="G829" s="258"/>
      <c r="H829" s="258">
        <v>2000</v>
      </c>
      <c r="I829" s="104">
        <v>1000</v>
      </c>
      <c r="J829" s="104"/>
      <c r="K829" s="105">
        <f t="shared" si="1295"/>
        <v>2000</v>
      </c>
      <c r="L829" s="104"/>
      <c r="M829" s="105">
        <f t="shared" si="1296"/>
        <v>2000</v>
      </c>
      <c r="N829" s="105">
        <f t="shared" si="1297"/>
        <v>1000</v>
      </c>
      <c r="O829" s="104"/>
      <c r="P829" s="35"/>
      <c r="Q829" s="35"/>
      <c r="R829" s="35"/>
      <c r="S829" s="35"/>
    </row>
    <row r="830" spans="1:19" s="4" customFormat="1" x14ac:dyDescent="0.2">
      <c r="A830" s="316">
        <v>3239</v>
      </c>
      <c r="B830" s="352" t="s">
        <v>31</v>
      </c>
      <c r="C830" s="255"/>
      <c r="D830" s="256"/>
      <c r="E830" s="256"/>
      <c r="F830" s="258"/>
      <c r="G830" s="258"/>
      <c r="H830" s="258">
        <v>41000</v>
      </c>
      <c r="I830" s="104">
        <v>2000</v>
      </c>
      <c r="J830" s="104"/>
      <c r="K830" s="105">
        <f t="shared" si="1295"/>
        <v>41000</v>
      </c>
      <c r="L830" s="104"/>
      <c r="M830" s="105">
        <f t="shared" si="1296"/>
        <v>41000</v>
      </c>
      <c r="N830" s="105">
        <f t="shared" si="1297"/>
        <v>2000</v>
      </c>
      <c r="O830" s="104"/>
      <c r="P830" s="35"/>
      <c r="Q830" s="35"/>
      <c r="R830" s="35"/>
      <c r="S830" s="35"/>
    </row>
    <row r="831" spans="1:19" s="11" customFormat="1" x14ac:dyDescent="0.2">
      <c r="A831" s="320">
        <v>324</v>
      </c>
      <c r="B831" s="321" t="s">
        <v>32</v>
      </c>
      <c r="C831" s="162"/>
      <c r="D831" s="163"/>
      <c r="E831" s="163"/>
      <c r="F831" s="165"/>
      <c r="G831" s="165"/>
      <c r="H831" s="165">
        <f>SUM(H832)</f>
        <v>4000</v>
      </c>
      <c r="I831" s="98">
        <f t="shared" ref="I831:N831" si="1298">SUM(I832)</f>
        <v>0</v>
      </c>
      <c r="J831" s="98">
        <f t="shared" si="1298"/>
        <v>0</v>
      </c>
      <c r="K831" s="98">
        <f t="shared" si="1298"/>
        <v>4000</v>
      </c>
      <c r="L831" s="98"/>
      <c r="M831" s="98">
        <f t="shared" si="1298"/>
        <v>4000</v>
      </c>
      <c r="N831" s="98">
        <f t="shared" si="1298"/>
        <v>0</v>
      </c>
      <c r="O831" s="98"/>
      <c r="P831" s="50"/>
      <c r="Q831" s="50"/>
      <c r="R831" s="50"/>
      <c r="S831" s="50"/>
    </row>
    <row r="832" spans="1:19" s="4" customFormat="1" x14ac:dyDescent="0.2">
      <c r="A832" s="316">
        <v>3241</v>
      </c>
      <c r="B832" s="317" t="s">
        <v>32</v>
      </c>
      <c r="C832" s="255"/>
      <c r="D832" s="256"/>
      <c r="E832" s="256"/>
      <c r="F832" s="258"/>
      <c r="G832" s="258"/>
      <c r="H832" s="258">
        <v>4000</v>
      </c>
      <c r="I832" s="104"/>
      <c r="J832" s="104"/>
      <c r="K832" s="105">
        <f t="shared" ref="K832" si="1299">H832-E832</f>
        <v>4000</v>
      </c>
      <c r="L832" s="104"/>
      <c r="M832" s="105">
        <f t="shared" ref="M832" si="1300">H832-F832</f>
        <v>4000</v>
      </c>
      <c r="N832" s="105">
        <f t="shared" ref="N832" si="1301">I832-G832</f>
        <v>0</v>
      </c>
      <c r="O832" s="104"/>
      <c r="P832" s="35"/>
      <c r="Q832" s="35"/>
      <c r="R832" s="35"/>
      <c r="S832" s="35"/>
    </row>
    <row r="833" spans="1:19" s="4" customFormat="1" ht="25.5" x14ac:dyDescent="0.2">
      <c r="A833" s="345" t="s">
        <v>412</v>
      </c>
      <c r="B833" s="346" t="s">
        <v>411</v>
      </c>
      <c r="C833" s="370"/>
      <c r="D833" s="371"/>
      <c r="E833" s="371"/>
      <c r="F833" s="372"/>
      <c r="G833" s="372"/>
      <c r="H833" s="373">
        <f>SUM(H834)</f>
        <v>909000</v>
      </c>
      <c r="I833" s="373">
        <f t="shared" ref="I833:N833" si="1302">SUM(I834)</f>
        <v>2401500</v>
      </c>
      <c r="J833" s="373">
        <f t="shared" si="1302"/>
        <v>4284500</v>
      </c>
      <c r="K833" s="373">
        <f t="shared" si="1302"/>
        <v>909000</v>
      </c>
      <c r="L833" s="373"/>
      <c r="M833" s="373">
        <f t="shared" si="1302"/>
        <v>909000</v>
      </c>
      <c r="N833" s="373">
        <f t="shared" si="1302"/>
        <v>2401500</v>
      </c>
      <c r="O833" s="374"/>
      <c r="P833" s="35"/>
      <c r="Q833" s="35"/>
      <c r="R833" s="35"/>
      <c r="S833" s="35"/>
    </row>
    <row r="834" spans="1:19" s="4" customFormat="1" x14ac:dyDescent="0.2">
      <c r="A834" s="699" t="s">
        <v>77</v>
      </c>
      <c r="B834" s="700"/>
      <c r="C834" s="488"/>
      <c r="D834" s="190"/>
      <c r="E834" s="488"/>
      <c r="F834" s="488"/>
      <c r="G834" s="488"/>
      <c r="H834" s="489">
        <f>SUM(H835,H838,H864,H867,H870,H881)</f>
        <v>909000</v>
      </c>
      <c r="I834" s="489">
        <f t="shared" ref="I834:N834" si="1303">SUM(I835,I838,I864,I867,I870,I881)</f>
        <v>2401500</v>
      </c>
      <c r="J834" s="489">
        <f t="shared" si="1303"/>
        <v>4284500</v>
      </c>
      <c r="K834" s="375">
        <f t="shared" si="1303"/>
        <v>909000</v>
      </c>
      <c r="L834" s="375"/>
      <c r="M834" s="375">
        <f t="shared" si="1303"/>
        <v>909000</v>
      </c>
      <c r="N834" s="375">
        <f t="shared" si="1303"/>
        <v>2401500</v>
      </c>
      <c r="O834" s="360"/>
      <c r="P834" s="35"/>
      <c r="Q834" s="35"/>
      <c r="R834" s="35"/>
      <c r="S834" s="35"/>
    </row>
    <row r="835" spans="1:19" s="4" customFormat="1" x14ac:dyDescent="0.2">
      <c r="A835" s="465" t="s">
        <v>322</v>
      </c>
      <c r="B835" s="466" t="s">
        <v>323</v>
      </c>
      <c r="C835" s="467"/>
      <c r="D835" s="467"/>
      <c r="E835" s="467"/>
      <c r="F835" s="468"/>
      <c r="G835" s="469"/>
      <c r="H835" s="470">
        <f t="shared" ref="H835:N836" si="1304">SUM(H836)</f>
        <v>149000</v>
      </c>
      <c r="I835" s="470">
        <f t="shared" si="1304"/>
        <v>189000</v>
      </c>
      <c r="J835" s="470">
        <f t="shared" si="1304"/>
        <v>189000</v>
      </c>
      <c r="K835" s="376">
        <f t="shared" si="1304"/>
        <v>149000</v>
      </c>
      <c r="L835" s="376"/>
      <c r="M835" s="376">
        <f t="shared" si="1304"/>
        <v>149000</v>
      </c>
      <c r="N835" s="376">
        <f t="shared" si="1304"/>
        <v>189000</v>
      </c>
      <c r="O835" s="104"/>
      <c r="P835" s="35"/>
      <c r="Q835" s="35"/>
      <c r="R835" s="35"/>
      <c r="S835" s="35"/>
    </row>
    <row r="836" spans="1:19" s="4" customFormat="1" x14ac:dyDescent="0.2">
      <c r="A836" s="377" t="s">
        <v>143</v>
      </c>
      <c r="B836" s="377" t="s">
        <v>220</v>
      </c>
      <c r="C836" s="378"/>
      <c r="D836" s="378"/>
      <c r="E836" s="378"/>
      <c r="F836" s="344"/>
      <c r="G836" s="111"/>
      <c r="H836" s="379">
        <f t="shared" si="1304"/>
        <v>149000</v>
      </c>
      <c r="I836" s="379">
        <f t="shared" si="1304"/>
        <v>189000</v>
      </c>
      <c r="J836" s="379">
        <f t="shared" si="1304"/>
        <v>189000</v>
      </c>
      <c r="K836" s="379">
        <f t="shared" si="1304"/>
        <v>149000</v>
      </c>
      <c r="L836" s="379"/>
      <c r="M836" s="379">
        <f t="shared" si="1304"/>
        <v>149000</v>
      </c>
      <c r="N836" s="379">
        <f t="shared" si="1304"/>
        <v>189000</v>
      </c>
      <c r="O836" s="104"/>
      <c r="P836" s="35"/>
      <c r="Q836" s="35"/>
      <c r="R836" s="35"/>
      <c r="S836" s="35"/>
    </row>
    <row r="837" spans="1:19" s="4" customFormat="1" x14ac:dyDescent="0.2">
      <c r="A837" s="355" t="s">
        <v>144</v>
      </c>
      <c r="B837" s="380" t="s">
        <v>5</v>
      </c>
      <c r="C837" s="378"/>
      <c r="D837" s="378"/>
      <c r="E837" s="378"/>
      <c r="F837" s="344"/>
      <c r="G837" s="111"/>
      <c r="H837" s="344">
        <f>90000+20000+20000+9000+10000</f>
        <v>149000</v>
      </c>
      <c r="I837" s="344">
        <f>90000+40000+20000+20000+9000+10000</f>
        <v>189000</v>
      </c>
      <c r="J837" s="344">
        <f>90000+40000+20000+20000+9000+10000</f>
        <v>189000</v>
      </c>
      <c r="K837" s="105">
        <f t="shared" ref="K837" si="1305">H837-E837</f>
        <v>149000</v>
      </c>
      <c r="L837" s="104"/>
      <c r="M837" s="105">
        <f t="shared" ref="M837" si="1306">H837-F837</f>
        <v>149000</v>
      </c>
      <c r="N837" s="105">
        <f t="shared" ref="N837" si="1307">I837-G837</f>
        <v>189000</v>
      </c>
      <c r="O837" s="104"/>
      <c r="P837" s="35"/>
      <c r="Q837" s="35"/>
      <c r="R837" s="35"/>
      <c r="S837" s="35"/>
    </row>
    <row r="838" spans="1:19" s="4" customFormat="1" x14ac:dyDescent="0.2">
      <c r="A838" s="465" t="s">
        <v>324</v>
      </c>
      <c r="B838" s="465" t="s">
        <v>325</v>
      </c>
      <c r="C838" s="467"/>
      <c r="D838" s="467"/>
      <c r="E838" s="467"/>
      <c r="F838" s="468"/>
      <c r="G838" s="469"/>
      <c r="H838" s="470">
        <f>SUM(H839,H842,H848,H858,H860)</f>
        <v>10000</v>
      </c>
      <c r="I838" s="470">
        <f t="shared" ref="I838:N838" si="1308">SUM(I839,I842,I848,I858,I860)</f>
        <v>1022500</v>
      </c>
      <c r="J838" s="470">
        <f t="shared" si="1308"/>
        <v>908500</v>
      </c>
      <c r="K838" s="376">
        <f t="shared" si="1308"/>
        <v>10000</v>
      </c>
      <c r="L838" s="376"/>
      <c r="M838" s="376">
        <f t="shared" si="1308"/>
        <v>10000</v>
      </c>
      <c r="N838" s="376">
        <f t="shared" si="1308"/>
        <v>1022500</v>
      </c>
      <c r="O838" s="104"/>
      <c r="P838" s="35"/>
      <c r="Q838" s="35"/>
      <c r="R838" s="35"/>
      <c r="S838" s="35"/>
    </row>
    <row r="839" spans="1:19" s="4" customFormat="1" x14ac:dyDescent="0.2">
      <c r="A839" s="381" t="s">
        <v>149</v>
      </c>
      <c r="B839" s="321" t="s">
        <v>12</v>
      </c>
      <c r="C839" s="378"/>
      <c r="D839" s="378"/>
      <c r="E839" s="378"/>
      <c r="F839" s="344"/>
      <c r="G839" s="111"/>
      <c r="H839" s="379">
        <f>SUM(H840:H841)</f>
        <v>10000</v>
      </c>
      <c r="I839" s="379">
        <f t="shared" ref="I839:J839" si="1309">SUM(I840:I841)</f>
        <v>20000</v>
      </c>
      <c r="J839" s="379">
        <f t="shared" si="1309"/>
        <v>16000</v>
      </c>
      <c r="K839" s="379">
        <f t="shared" ref="K839:N839" si="1310">SUM(K840:K841)</f>
        <v>10000</v>
      </c>
      <c r="L839" s="379"/>
      <c r="M839" s="379">
        <f t="shared" si="1310"/>
        <v>10000</v>
      </c>
      <c r="N839" s="379">
        <f t="shared" si="1310"/>
        <v>20000</v>
      </c>
      <c r="O839" s="104"/>
      <c r="P839" s="35"/>
      <c r="Q839" s="35"/>
      <c r="R839" s="35"/>
      <c r="S839" s="35"/>
    </row>
    <row r="840" spans="1:19" s="4" customFormat="1" x14ac:dyDescent="0.2">
      <c r="A840" s="316">
        <v>3211</v>
      </c>
      <c r="B840" s="317" t="s">
        <v>13</v>
      </c>
      <c r="C840" s="378"/>
      <c r="D840" s="378"/>
      <c r="E840" s="378"/>
      <c r="F840" s="344"/>
      <c r="G840" s="111"/>
      <c r="H840" s="344">
        <v>4000</v>
      </c>
      <c r="I840" s="344">
        <f>2000+8000</f>
        <v>10000</v>
      </c>
      <c r="J840" s="344">
        <f>2000+8000</f>
        <v>10000</v>
      </c>
      <c r="K840" s="105">
        <f t="shared" ref="K840:K841" si="1311">H840-E840</f>
        <v>4000</v>
      </c>
      <c r="L840" s="104"/>
      <c r="M840" s="105">
        <f t="shared" ref="M840:M841" si="1312">H840-F840</f>
        <v>4000</v>
      </c>
      <c r="N840" s="105">
        <f t="shared" ref="N840:N841" si="1313">I840-G840</f>
        <v>10000</v>
      </c>
      <c r="O840" s="104"/>
      <c r="P840" s="35"/>
      <c r="Q840" s="35"/>
      <c r="R840" s="35"/>
      <c r="S840" s="35"/>
    </row>
    <row r="841" spans="1:19" s="4" customFormat="1" x14ac:dyDescent="0.2">
      <c r="A841" s="316">
        <v>3213</v>
      </c>
      <c r="B841" s="317" t="s">
        <v>15</v>
      </c>
      <c r="C841" s="378"/>
      <c r="D841" s="378"/>
      <c r="E841" s="378"/>
      <c r="F841" s="344"/>
      <c r="G841" s="111"/>
      <c r="H841" s="344">
        <f>4000+2000</f>
        <v>6000</v>
      </c>
      <c r="I841" s="344">
        <f>4000+6000</f>
        <v>10000</v>
      </c>
      <c r="J841" s="344">
        <v>6000</v>
      </c>
      <c r="K841" s="105">
        <f t="shared" si="1311"/>
        <v>6000</v>
      </c>
      <c r="L841" s="104"/>
      <c r="M841" s="105">
        <f t="shared" si="1312"/>
        <v>6000</v>
      </c>
      <c r="N841" s="105">
        <f t="shared" si="1313"/>
        <v>10000</v>
      </c>
      <c r="O841" s="104"/>
      <c r="P841" s="35"/>
      <c r="Q841" s="35"/>
      <c r="R841" s="35"/>
      <c r="S841" s="35"/>
    </row>
    <row r="842" spans="1:19" s="4" customFormat="1" x14ac:dyDescent="0.2">
      <c r="A842" s="382">
        <v>322</v>
      </c>
      <c r="B842" s="354" t="s">
        <v>16</v>
      </c>
      <c r="C842" s="378"/>
      <c r="D842" s="378"/>
      <c r="E842" s="378"/>
      <c r="F842" s="344"/>
      <c r="G842" s="111"/>
      <c r="H842" s="379">
        <f>SUM(H843:H847)</f>
        <v>0</v>
      </c>
      <c r="I842" s="379">
        <f t="shared" ref="I842:N842" si="1314">SUM(I843:I847)</f>
        <v>16000</v>
      </c>
      <c r="J842" s="379">
        <f t="shared" si="1314"/>
        <v>16000</v>
      </c>
      <c r="K842" s="379">
        <f t="shared" si="1314"/>
        <v>0</v>
      </c>
      <c r="L842" s="379"/>
      <c r="M842" s="379">
        <f t="shared" si="1314"/>
        <v>0</v>
      </c>
      <c r="N842" s="379">
        <f t="shared" si="1314"/>
        <v>16000</v>
      </c>
      <c r="O842" s="104"/>
      <c r="P842" s="35"/>
      <c r="Q842" s="35"/>
      <c r="R842" s="35"/>
      <c r="S842" s="35"/>
    </row>
    <row r="843" spans="1:19" s="4" customFormat="1" x14ac:dyDescent="0.2">
      <c r="A843" s="355">
        <v>3221</v>
      </c>
      <c r="B843" s="356" t="s">
        <v>17</v>
      </c>
      <c r="C843" s="378"/>
      <c r="D843" s="378"/>
      <c r="E843" s="378"/>
      <c r="F843" s="344"/>
      <c r="G843" s="111"/>
      <c r="H843" s="344"/>
      <c r="I843" s="344">
        <v>5000</v>
      </c>
      <c r="J843" s="344">
        <v>5000</v>
      </c>
      <c r="K843" s="105">
        <f t="shared" ref="K843:K847" si="1315">H843-E843</f>
        <v>0</v>
      </c>
      <c r="L843" s="104"/>
      <c r="M843" s="105">
        <f t="shared" ref="M843:M847" si="1316">H843-F843</f>
        <v>0</v>
      </c>
      <c r="N843" s="105">
        <f t="shared" ref="N843:N847" si="1317">I843-G843</f>
        <v>5000</v>
      </c>
      <c r="O843" s="104"/>
      <c r="P843" s="35"/>
      <c r="Q843" s="35"/>
      <c r="R843" s="35"/>
      <c r="S843" s="35"/>
    </row>
    <row r="844" spans="1:19" s="4" customFormat="1" x14ac:dyDescent="0.2">
      <c r="A844" s="355">
        <v>3222</v>
      </c>
      <c r="B844" s="356" t="s">
        <v>18</v>
      </c>
      <c r="C844" s="378"/>
      <c r="D844" s="378"/>
      <c r="E844" s="378"/>
      <c r="F844" s="344"/>
      <c r="G844" s="111"/>
      <c r="H844" s="344"/>
      <c r="I844" s="344">
        <v>1000</v>
      </c>
      <c r="J844" s="344">
        <v>1000</v>
      </c>
      <c r="K844" s="105">
        <f t="shared" si="1315"/>
        <v>0</v>
      </c>
      <c r="L844" s="104"/>
      <c r="M844" s="105">
        <f t="shared" si="1316"/>
        <v>0</v>
      </c>
      <c r="N844" s="105">
        <f t="shared" si="1317"/>
        <v>1000</v>
      </c>
      <c r="O844" s="104"/>
      <c r="P844" s="35"/>
      <c r="Q844" s="35"/>
      <c r="R844" s="35"/>
      <c r="S844" s="35"/>
    </row>
    <row r="845" spans="1:19" s="4" customFormat="1" x14ac:dyDescent="0.2">
      <c r="A845" s="316">
        <v>3223</v>
      </c>
      <c r="B845" s="317" t="s">
        <v>19</v>
      </c>
      <c r="C845" s="378"/>
      <c r="D845" s="378"/>
      <c r="E845" s="378"/>
      <c r="F845" s="344"/>
      <c r="G845" s="111"/>
      <c r="H845" s="344"/>
      <c r="I845" s="344">
        <f>2000+1000</f>
        <v>3000</v>
      </c>
      <c r="J845" s="344">
        <f>2000+1000</f>
        <v>3000</v>
      </c>
      <c r="K845" s="105">
        <f t="shared" si="1315"/>
        <v>0</v>
      </c>
      <c r="L845" s="104"/>
      <c r="M845" s="105">
        <f t="shared" si="1316"/>
        <v>0</v>
      </c>
      <c r="N845" s="105">
        <f t="shared" si="1317"/>
        <v>3000</v>
      </c>
      <c r="O845" s="104"/>
      <c r="P845" s="35"/>
      <c r="Q845" s="35"/>
      <c r="R845" s="35"/>
      <c r="S845" s="35"/>
    </row>
    <row r="846" spans="1:19" s="4" customFormat="1" x14ac:dyDescent="0.2">
      <c r="A846" s="316">
        <v>3224</v>
      </c>
      <c r="B846" s="317" t="s">
        <v>112</v>
      </c>
      <c r="C846" s="378"/>
      <c r="D846" s="378"/>
      <c r="E846" s="378"/>
      <c r="F846" s="344"/>
      <c r="G846" s="111"/>
      <c r="H846" s="344"/>
      <c r="I846" s="344">
        <v>3000</v>
      </c>
      <c r="J846" s="344">
        <v>3000</v>
      </c>
      <c r="K846" s="105">
        <f t="shared" si="1315"/>
        <v>0</v>
      </c>
      <c r="L846" s="104"/>
      <c r="M846" s="105">
        <f t="shared" si="1316"/>
        <v>0</v>
      </c>
      <c r="N846" s="105">
        <f t="shared" si="1317"/>
        <v>3000</v>
      </c>
      <c r="O846" s="104"/>
      <c r="P846" s="35"/>
      <c r="Q846" s="35"/>
      <c r="R846" s="35"/>
      <c r="S846" s="35"/>
    </row>
    <row r="847" spans="1:19" s="4" customFormat="1" x14ac:dyDescent="0.2">
      <c r="A847" s="316">
        <v>3225</v>
      </c>
      <c r="B847" s="317" t="s">
        <v>21</v>
      </c>
      <c r="C847" s="378"/>
      <c r="D847" s="378"/>
      <c r="E847" s="378"/>
      <c r="F847" s="344"/>
      <c r="G847" s="111"/>
      <c r="H847" s="344"/>
      <c r="I847" s="344">
        <v>4000</v>
      </c>
      <c r="J847" s="344">
        <v>4000</v>
      </c>
      <c r="K847" s="105">
        <f t="shared" si="1315"/>
        <v>0</v>
      </c>
      <c r="L847" s="104"/>
      <c r="M847" s="105">
        <f t="shared" si="1316"/>
        <v>0</v>
      </c>
      <c r="N847" s="105">
        <f t="shared" si="1317"/>
        <v>4000</v>
      </c>
      <c r="O847" s="104"/>
      <c r="P847" s="35"/>
      <c r="Q847" s="35"/>
      <c r="R847" s="35"/>
      <c r="S847" s="35"/>
    </row>
    <row r="848" spans="1:19" s="4" customFormat="1" x14ac:dyDescent="0.2">
      <c r="A848" s="383" t="s">
        <v>159</v>
      </c>
      <c r="B848" s="384" t="s">
        <v>123</v>
      </c>
      <c r="C848" s="378"/>
      <c r="D848" s="378"/>
      <c r="E848" s="378"/>
      <c r="F848" s="344"/>
      <c r="G848" s="111"/>
      <c r="H848" s="379">
        <f>SUM(H849:H857)</f>
        <v>0</v>
      </c>
      <c r="I848" s="379">
        <f t="shared" ref="I848:N848" si="1318">SUM(I849:I857)</f>
        <v>959500</v>
      </c>
      <c r="J848" s="379">
        <f t="shared" si="1318"/>
        <v>849500</v>
      </c>
      <c r="K848" s="379">
        <f t="shared" si="1318"/>
        <v>0</v>
      </c>
      <c r="L848" s="379"/>
      <c r="M848" s="379">
        <f t="shared" si="1318"/>
        <v>0</v>
      </c>
      <c r="N848" s="379">
        <f t="shared" si="1318"/>
        <v>959500</v>
      </c>
      <c r="O848" s="104"/>
      <c r="P848" s="35"/>
      <c r="Q848" s="35"/>
      <c r="R848" s="35"/>
      <c r="S848" s="35"/>
    </row>
    <row r="849" spans="1:19" s="4" customFormat="1" x14ac:dyDescent="0.2">
      <c r="A849" s="266">
        <v>3231</v>
      </c>
      <c r="B849" s="267" t="s">
        <v>24</v>
      </c>
      <c r="C849" s="378"/>
      <c r="D849" s="378"/>
      <c r="E849" s="378"/>
      <c r="F849" s="344"/>
      <c r="G849" s="111"/>
      <c r="H849" s="344"/>
      <c r="I849" s="344">
        <v>2000</v>
      </c>
      <c r="J849" s="344">
        <v>2000</v>
      </c>
      <c r="K849" s="105">
        <f t="shared" ref="K849:K857" si="1319">H849-E849</f>
        <v>0</v>
      </c>
      <c r="L849" s="104"/>
      <c r="M849" s="105">
        <f t="shared" ref="M849:M857" si="1320">H849-F849</f>
        <v>0</v>
      </c>
      <c r="N849" s="105">
        <f t="shared" ref="N849:N857" si="1321">I849-G849</f>
        <v>2000</v>
      </c>
      <c r="O849" s="104"/>
      <c r="P849" s="35"/>
      <c r="Q849" s="35"/>
      <c r="R849" s="35"/>
      <c r="S849" s="35"/>
    </row>
    <row r="850" spans="1:19" s="4" customFormat="1" x14ac:dyDescent="0.2">
      <c r="A850" s="266">
        <v>3232</v>
      </c>
      <c r="B850" s="267" t="s">
        <v>25</v>
      </c>
      <c r="C850" s="378"/>
      <c r="D850" s="378"/>
      <c r="E850" s="378"/>
      <c r="F850" s="344"/>
      <c r="G850" s="111"/>
      <c r="H850" s="344"/>
      <c r="I850" s="344">
        <v>2000</v>
      </c>
      <c r="J850" s="344">
        <v>2000</v>
      </c>
      <c r="K850" s="105">
        <f t="shared" si="1319"/>
        <v>0</v>
      </c>
      <c r="L850" s="104"/>
      <c r="M850" s="105">
        <f t="shared" si="1320"/>
        <v>0</v>
      </c>
      <c r="N850" s="105">
        <f t="shared" si="1321"/>
        <v>2000</v>
      </c>
      <c r="O850" s="104"/>
      <c r="P850" s="35"/>
      <c r="Q850" s="35"/>
      <c r="R850" s="35"/>
      <c r="S850" s="35"/>
    </row>
    <row r="851" spans="1:19" s="4" customFormat="1" x14ac:dyDescent="0.2">
      <c r="A851" s="266">
        <v>3233</v>
      </c>
      <c r="B851" s="267" t="s">
        <v>26</v>
      </c>
      <c r="C851" s="378"/>
      <c r="D851" s="378"/>
      <c r="E851" s="378"/>
      <c r="F851" s="344"/>
      <c r="G851" s="111"/>
      <c r="H851" s="344"/>
      <c r="I851" s="344">
        <f>8000+5000</f>
        <v>13000</v>
      </c>
      <c r="J851" s="344">
        <f>3000+8000+5000</f>
        <v>16000</v>
      </c>
      <c r="K851" s="105">
        <f t="shared" si="1319"/>
        <v>0</v>
      </c>
      <c r="L851" s="104"/>
      <c r="M851" s="105">
        <f t="shared" si="1320"/>
        <v>0</v>
      </c>
      <c r="N851" s="105">
        <f t="shared" si="1321"/>
        <v>13000</v>
      </c>
      <c r="O851" s="104"/>
      <c r="P851" s="35"/>
      <c r="Q851" s="35"/>
      <c r="R851" s="35"/>
      <c r="S851" s="35"/>
    </row>
    <row r="852" spans="1:19" s="4" customFormat="1" x14ac:dyDescent="0.2">
      <c r="A852" s="266">
        <v>3234</v>
      </c>
      <c r="B852" s="267" t="s">
        <v>27</v>
      </c>
      <c r="C852" s="378"/>
      <c r="D852" s="378"/>
      <c r="E852" s="378"/>
      <c r="F852" s="344"/>
      <c r="G852" s="111"/>
      <c r="H852" s="344"/>
      <c r="I852" s="344">
        <v>7000</v>
      </c>
      <c r="J852" s="344">
        <v>7000</v>
      </c>
      <c r="K852" s="105">
        <f t="shared" si="1319"/>
        <v>0</v>
      </c>
      <c r="L852" s="104"/>
      <c r="M852" s="105">
        <f t="shared" si="1320"/>
        <v>0</v>
      </c>
      <c r="N852" s="105">
        <f t="shared" si="1321"/>
        <v>7000</v>
      </c>
      <c r="O852" s="104"/>
      <c r="P852" s="35"/>
      <c r="Q852" s="35"/>
      <c r="R852" s="35"/>
      <c r="S852" s="35"/>
    </row>
    <row r="853" spans="1:19" s="4" customFormat="1" x14ac:dyDescent="0.2">
      <c r="A853" s="266">
        <v>3235</v>
      </c>
      <c r="B853" s="267" t="s">
        <v>28</v>
      </c>
      <c r="C853" s="378"/>
      <c r="D853" s="378"/>
      <c r="E853" s="378"/>
      <c r="F853" s="344"/>
      <c r="G853" s="111"/>
      <c r="H853" s="344"/>
      <c r="I853" s="344">
        <f>9000+1000</f>
        <v>10000</v>
      </c>
      <c r="J853" s="344">
        <f>1000</f>
        <v>1000</v>
      </c>
      <c r="K853" s="105">
        <f t="shared" si="1319"/>
        <v>0</v>
      </c>
      <c r="L853" s="104"/>
      <c r="M853" s="105">
        <f t="shared" si="1320"/>
        <v>0</v>
      </c>
      <c r="N853" s="105">
        <f t="shared" si="1321"/>
        <v>10000</v>
      </c>
      <c r="O853" s="104"/>
      <c r="P853" s="35"/>
      <c r="Q853" s="35"/>
      <c r="R853" s="35"/>
      <c r="S853" s="35"/>
    </row>
    <row r="854" spans="1:19" s="4" customFormat="1" x14ac:dyDescent="0.2">
      <c r="A854" s="266">
        <v>3236</v>
      </c>
      <c r="B854" s="267" t="s">
        <v>29</v>
      </c>
      <c r="C854" s="378"/>
      <c r="D854" s="378"/>
      <c r="E854" s="378"/>
      <c r="F854" s="344"/>
      <c r="G854" s="111"/>
      <c r="H854" s="344"/>
      <c r="I854" s="344">
        <v>1000</v>
      </c>
      <c r="J854" s="344">
        <v>1000</v>
      </c>
      <c r="K854" s="105">
        <f t="shared" si="1319"/>
        <v>0</v>
      </c>
      <c r="L854" s="104"/>
      <c r="M854" s="105">
        <f t="shared" si="1320"/>
        <v>0</v>
      </c>
      <c r="N854" s="105">
        <f t="shared" si="1321"/>
        <v>1000</v>
      </c>
      <c r="O854" s="104"/>
      <c r="P854" s="35"/>
      <c r="Q854" s="35"/>
      <c r="R854" s="35"/>
      <c r="S854" s="35"/>
    </row>
    <row r="855" spans="1:19" s="4" customFormat="1" x14ac:dyDescent="0.2">
      <c r="A855" s="266">
        <v>3237</v>
      </c>
      <c r="B855" s="267" t="s">
        <v>30</v>
      </c>
      <c r="C855" s="378"/>
      <c r="D855" s="378"/>
      <c r="E855" s="378"/>
      <c r="F855" s="344"/>
      <c r="G855" s="111"/>
      <c r="H855" s="344"/>
      <c r="I855" s="344">
        <f>30000+24000+10000+71000+28000</f>
        <v>163000</v>
      </c>
      <c r="J855" s="344">
        <f>30000+24000+10000+71000+28000</f>
        <v>163000</v>
      </c>
      <c r="K855" s="105">
        <f t="shared" si="1319"/>
        <v>0</v>
      </c>
      <c r="L855" s="104"/>
      <c r="M855" s="105">
        <f t="shared" si="1320"/>
        <v>0</v>
      </c>
      <c r="N855" s="105">
        <f t="shared" si="1321"/>
        <v>163000</v>
      </c>
      <c r="O855" s="104"/>
      <c r="P855" s="35"/>
      <c r="Q855" s="35"/>
      <c r="R855" s="35"/>
      <c r="S855" s="35"/>
    </row>
    <row r="856" spans="1:19" s="4" customFormat="1" x14ac:dyDescent="0.2">
      <c r="A856" s="266">
        <v>3238</v>
      </c>
      <c r="B856" s="267" t="s">
        <v>70</v>
      </c>
      <c r="C856" s="378"/>
      <c r="D856" s="378"/>
      <c r="E856" s="378"/>
      <c r="F856" s="344"/>
      <c r="G856" s="111"/>
      <c r="H856" s="344"/>
      <c r="I856" s="344">
        <v>75000</v>
      </c>
      <c r="J856" s="344">
        <v>75000</v>
      </c>
      <c r="K856" s="105">
        <f t="shared" si="1319"/>
        <v>0</v>
      </c>
      <c r="L856" s="104"/>
      <c r="M856" s="105">
        <f t="shared" si="1320"/>
        <v>0</v>
      </c>
      <c r="N856" s="105">
        <f t="shared" si="1321"/>
        <v>75000</v>
      </c>
      <c r="O856" s="104"/>
      <c r="P856" s="35"/>
      <c r="Q856" s="35"/>
      <c r="R856" s="35"/>
      <c r="S856" s="35"/>
    </row>
    <row r="857" spans="1:19" s="4" customFormat="1" x14ac:dyDescent="0.2">
      <c r="A857" s="266">
        <v>3239</v>
      </c>
      <c r="B857" s="267" t="s">
        <v>31</v>
      </c>
      <c r="C857" s="378"/>
      <c r="D857" s="378"/>
      <c r="E857" s="378"/>
      <c r="F857" s="344"/>
      <c r="G857" s="111"/>
      <c r="H857" s="344"/>
      <c r="I857" s="344">
        <f>2000+450000+142000+50000+35000+7500</f>
        <v>686500</v>
      </c>
      <c r="J857" s="344">
        <f>2000+450000+20000+50000+53000+7500</f>
        <v>582500</v>
      </c>
      <c r="K857" s="105">
        <f t="shared" si="1319"/>
        <v>0</v>
      </c>
      <c r="L857" s="104"/>
      <c r="M857" s="105">
        <f t="shared" si="1320"/>
        <v>0</v>
      </c>
      <c r="N857" s="105">
        <f t="shared" si="1321"/>
        <v>686500</v>
      </c>
      <c r="O857" s="104"/>
      <c r="P857" s="35"/>
      <c r="Q857" s="35"/>
      <c r="R857" s="35"/>
      <c r="S857" s="35"/>
    </row>
    <row r="858" spans="1:19" s="4" customFormat="1" x14ac:dyDescent="0.2">
      <c r="A858" s="381">
        <v>324</v>
      </c>
      <c r="B858" s="321" t="s">
        <v>32</v>
      </c>
      <c r="C858" s="378"/>
      <c r="D858" s="378"/>
      <c r="E858" s="378"/>
      <c r="F858" s="344"/>
      <c r="G858" s="111"/>
      <c r="H858" s="379">
        <f>SUM(H859)</f>
        <v>0</v>
      </c>
      <c r="I858" s="379">
        <f t="shared" ref="I858:N858" si="1322">SUM(I859)</f>
        <v>5000</v>
      </c>
      <c r="J858" s="379">
        <f t="shared" si="1322"/>
        <v>5000</v>
      </c>
      <c r="K858" s="379">
        <f t="shared" si="1322"/>
        <v>0</v>
      </c>
      <c r="L858" s="379"/>
      <c r="M858" s="379">
        <f t="shared" si="1322"/>
        <v>0</v>
      </c>
      <c r="N858" s="379">
        <f t="shared" si="1322"/>
        <v>5000</v>
      </c>
      <c r="O858" s="104"/>
      <c r="P858" s="35"/>
      <c r="Q858" s="35"/>
      <c r="R858" s="35"/>
      <c r="S858" s="35"/>
    </row>
    <row r="859" spans="1:19" s="4" customFormat="1" x14ac:dyDescent="0.2">
      <c r="A859" s="316">
        <v>3241</v>
      </c>
      <c r="B859" s="317" t="s">
        <v>32</v>
      </c>
      <c r="C859" s="378"/>
      <c r="D859" s="378"/>
      <c r="E859" s="378"/>
      <c r="F859" s="344"/>
      <c r="G859" s="111"/>
      <c r="H859" s="344"/>
      <c r="I859" s="344">
        <v>5000</v>
      </c>
      <c r="J859" s="344">
        <v>5000</v>
      </c>
      <c r="K859" s="105">
        <f t="shared" ref="K859" si="1323">H859-E859</f>
        <v>0</v>
      </c>
      <c r="L859" s="104"/>
      <c r="M859" s="105">
        <f t="shared" ref="M859" si="1324">H859-F859</f>
        <v>0</v>
      </c>
      <c r="N859" s="105">
        <f t="shared" ref="N859" si="1325">I859-G859</f>
        <v>5000</v>
      </c>
      <c r="O859" s="104"/>
      <c r="P859" s="35"/>
      <c r="Q859" s="35"/>
      <c r="R859" s="35"/>
      <c r="S859" s="35"/>
    </row>
    <row r="860" spans="1:19" s="4" customFormat="1" x14ac:dyDescent="0.2">
      <c r="A860" s="382" t="s">
        <v>170</v>
      </c>
      <c r="B860" s="377" t="s">
        <v>33</v>
      </c>
      <c r="C860" s="378"/>
      <c r="D860" s="378"/>
      <c r="E860" s="378"/>
      <c r="F860" s="344"/>
      <c r="G860" s="111"/>
      <c r="H860" s="379">
        <f>SUM(H861:H863)</f>
        <v>0</v>
      </c>
      <c r="I860" s="379">
        <f t="shared" ref="I860:N860" si="1326">SUM(I861:I863)</f>
        <v>22000</v>
      </c>
      <c r="J860" s="379">
        <f t="shared" si="1326"/>
        <v>22000</v>
      </c>
      <c r="K860" s="379">
        <f t="shared" si="1326"/>
        <v>0</v>
      </c>
      <c r="L860" s="379"/>
      <c r="M860" s="379">
        <f t="shared" si="1326"/>
        <v>0</v>
      </c>
      <c r="N860" s="379">
        <f t="shared" si="1326"/>
        <v>22000</v>
      </c>
      <c r="O860" s="104"/>
      <c r="P860" s="35"/>
      <c r="Q860" s="35"/>
      <c r="R860" s="35"/>
      <c r="S860" s="35"/>
    </row>
    <row r="861" spans="1:19" s="4" customFormat="1" x14ac:dyDescent="0.2">
      <c r="A861" s="355">
        <v>3292</v>
      </c>
      <c r="B861" s="380" t="s">
        <v>35</v>
      </c>
      <c r="C861" s="378"/>
      <c r="D861" s="378"/>
      <c r="E861" s="378"/>
      <c r="F861" s="344"/>
      <c r="G861" s="111"/>
      <c r="H861" s="344"/>
      <c r="I861" s="344">
        <f>4000+6000</f>
        <v>10000</v>
      </c>
      <c r="J861" s="344">
        <f>4000+6000</f>
        <v>10000</v>
      </c>
      <c r="K861" s="105">
        <f t="shared" ref="K861:K863" si="1327">H861-E861</f>
        <v>0</v>
      </c>
      <c r="L861" s="104"/>
      <c r="M861" s="105">
        <f t="shared" ref="M861:M863" si="1328">H861-F861</f>
        <v>0</v>
      </c>
      <c r="N861" s="105">
        <f t="shared" ref="N861:N863" si="1329">I861-G861</f>
        <v>10000</v>
      </c>
      <c r="O861" s="104"/>
      <c r="P861" s="35"/>
      <c r="Q861" s="35"/>
      <c r="R861" s="35"/>
      <c r="S861" s="35"/>
    </row>
    <row r="862" spans="1:19" s="4" customFormat="1" x14ac:dyDescent="0.2">
      <c r="A862" s="238" t="s">
        <v>172</v>
      </c>
      <c r="B862" s="239" t="s">
        <v>36</v>
      </c>
      <c r="C862" s="378"/>
      <c r="D862" s="378"/>
      <c r="E862" s="378"/>
      <c r="F862" s="344"/>
      <c r="G862" s="111"/>
      <c r="H862" s="344"/>
      <c r="I862" s="344">
        <f>6000+3000</f>
        <v>9000</v>
      </c>
      <c r="J862" s="344">
        <f>6000+3000</f>
        <v>9000</v>
      </c>
      <c r="K862" s="105">
        <f t="shared" si="1327"/>
        <v>0</v>
      </c>
      <c r="L862" s="104"/>
      <c r="M862" s="105">
        <f t="shared" si="1328"/>
        <v>0</v>
      </c>
      <c r="N862" s="105">
        <f t="shared" si="1329"/>
        <v>9000</v>
      </c>
      <c r="O862" s="104"/>
      <c r="P862" s="35"/>
      <c r="Q862" s="35"/>
      <c r="R862" s="35"/>
      <c r="S862" s="35"/>
    </row>
    <row r="863" spans="1:19" s="4" customFormat="1" x14ac:dyDescent="0.2">
      <c r="A863" s="238">
        <v>3299</v>
      </c>
      <c r="B863" s="239" t="s">
        <v>33</v>
      </c>
      <c r="C863" s="378"/>
      <c r="D863" s="378"/>
      <c r="E863" s="378"/>
      <c r="F863" s="344"/>
      <c r="G863" s="111"/>
      <c r="H863" s="344"/>
      <c r="I863" s="344">
        <f>3000</f>
        <v>3000</v>
      </c>
      <c r="J863" s="344">
        <f>3000</f>
        <v>3000</v>
      </c>
      <c r="K863" s="105">
        <f t="shared" si="1327"/>
        <v>0</v>
      </c>
      <c r="L863" s="104"/>
      <c r="M863" s="105">
        <f t="shared" si="1328"/>
        <v>0</v>
      </c>
      <c r="N863" s="105">
        <f t="shared" si="1329"/>
        <v>3000</v>
      </c>
      <c r="O863" s="104"/>
      <c r="P863" s="35"/>
      <c r="Q863" s="35"/>
      <c r="R863" s="35"/>
      <c r="S863" s="35"/>
    </row>
    <row r="864" spans="1:19" s="4" customFormat="1" x14ac:dyDescent="0.2">
      <c r="A864" s="422" t="s">
        <v>326</v>
      </c>
      <c r="B864" s="414" t="s">
        <v>327</v>
      </c>
      <c r="C864" s="467"/>
      <c r="D864" s="467"/>
      <c r="E864" s="467"/>
      <c r="F864" s="468"/>
      <c r="G864" s="469"/>
      <c r="H864" s="470">
        <f>SUM(H865)</f>
        <v>0</v>
      </c>
      <c r="I864" s="470">
        <f t="shared" ref="I864:N865" si="1330">SUM(I865)</f>
        <v>5000</v>
      </c>
      <c r="J864" s="470">
        <f t="shared" si="1330"/>
        <v>5000</v>
      </c>
      <c r="K864" s="376">
        <f t="shared" si="1330"/>
        <v>0</v>
      </c>
      <c r="L864" s="376"/>
      <c r="M864" s="376">
        <f t="shared" si="1330"/>
        <v>0</v>
      </c>
      <c r="N864" s="376">
        <f t="shared" si="1330"/>
        <v>5000</v>
      </c>
      <c r="O864" s="104"/>
      <c r="P864" s="35"/>
      <c r="Q864" s="35"/>
      <c r="R864" s="35"/>
      <c r="S864" s="35"/>
    </row>
    <row r="865" spans="1:19" s="4" customFormat="1" x14ac:dyDescent="0.2">
      <c r="A865" s="125">
        <v>343</v>
      </c>
      <c r="B865" s="126" t="s">
        <v>40</v>
      </c>
      <c r="C865" s="378"/>
      <c r="D865" s="378"/>
      <c r="E865" s="378"/>
      <c r="F865" s="344"/>
      <c r="G865" s="111"/>
      <c r="H865" s="379">
        <f>SUM(H866)</f>
        <v>0</v>
      </c>
      <c r="I865" s="379">
        <f t="shared" si="1330"/>
        <v>5000</v>
      </c>
      <c r="J865" s="379">
        <f t="shared" si="1330"/>
        <v>5000</v>
      </c>
      <c r="K865" s="379">
        <f t="shared" si="1330"/>
        <v>0</v>
      </c>
      <c r="L865" s="379"/>
      <c r="M865" s="379">
        <f t="shared" si="1330"/>
        <v>0</v>
      </c>
      <c r="N865" s="379">
        <f t="shared" si="1330"/>
        <v>5000</v>
      </c>
      <c r="O865" s="104"/>
      <c r="P865" s="35"/>
      <c r="Q865" s="35"/>
      <c r="R865" s="35"/>
      <c r="S865" s="35"/>
    </row>
    <row r="866" spans="1:19" s="4" customFormat="1" x14ac:dyDescent="0.2">
      <c r="A866" s="128">
        <v>3434</v>
      </c>
      <c r="B866" s="129" t="s">
        <v>43</v>
      </c>
      <c r="C866" s="378"/>
      <c r="D866" s="378"/>
      <c r="E866" s="378"/>
      <c r="F866" s="344"/>
      <c r="G866" s="111"/>
      <c r="H866" s="344"/>
      <c r="I866" s="344">
        <v>5000</v>
      </c>
      <c r="J866" s="344">
        <v>5000</v>
      </c>
      <c r="K866" s="105">
        <f t="shared" ref="K866" si="1331">H866-E866</f>
        <v>0</v>
      </c>
      <c r="L866" s="104"/>
      <c r="M866" s="105">
        <f t="shared" ref="M866" si="1332">H866-F866</f>
        <v>0</v>
      </c>
      <c r="N866" s="105">
        <f t="shared" ref="N866" si="1333">I866-G866</f>
        <v>5000</v>
      </c>
      <c r="O866" s="104"/>
      <c r="P866" s="35"/>
      <c r="Q866" s="35"/>
      <c r="R866" s="35"/>
      <c r="S866" s="35"/>
    </row>
    <row r="867" spans="1:19" s="4" customFormat="1" ht="25.5" x14ac:dyDescent="0.2">
      <c r="A867" s="451">
        <v>41</v>
      </c>
      <c r="B867" s="466" t="s">
        <v>335</v>
      </c>
      <c r="C867" s="467"/>
      <c r="D867" s="467"/>
      <c r="E867" s="467"/>
      <c r="F867" s="468"/>
      <c r="G867" s="469"/>
      <c r="H867" s="470">
        <f>SUM(H868)</f>
        <v>0</v>
      </c>
      <c r="I867" s="470">
        <f t="shared" ref="I867:N867" si="1334">SUM(I868)</f>
        <v>15000</v>
      </c>
      <c r="J867" s="470">
        <f t="shared" si="1334"/>
        <v>6000</v>
      </c>
      <c r="K867" s="376">
        <f t="shared" si="1334"/>
        <v>0</v>
      </c>
      <c r="L867" s="376"/>
      <c r="M867" s="376">
        <f t="shared" si="1334"/>
        <v>0</v>
      </c>
      <c r="N867" s="376">
        <f t="shared" si="1334"/>
        <v>15000</v>
      </c>
      <c r="O867" s="104"/>
      <c r="P867" s="35"/>
      <c r="Q867" s="35"/>
      <c r="R867" s="35"/>
      <c r="S867" s="35"/>
    </row>
    <row r="868" spans="1:19" s="4" customFormat="1" x14ac:dyDescent="0.2">
      <c r="A868" s="320">
        <v>412</v>
      </c>
      <c r="B868" s="321" t="s">
        <v>67</v>
      </c>
      <c r="C868" s="378"/>
      <c r="D868" s="378"/>
      <c r="E868" s="378"/>
      <c r="F868" s="344"/>
      <c r="G868" s="111"/>
      <c r="H868" s="379">
        <f>SUM(H869)</f>
        <v>0</v>
      </c>
      <c r="I868" s="379">
        <f t="shared" ref="I868:N868" si="1335">SUM(I869)</f>
        <v>15000</v>
      </c>
      <c r="J868" s="379">
        <f t="shared" si="1335"/>
        <v>6000</v>
      </c>
      <c r="K868" s="379">
        <f t="shared" si="1335"/>
        <v>0</v>
      </c>
      <c r="L868" s="379"/>
      <c r="M868" s="379">
        <f t="shared" si="1335"/>
        <v>0</v>
      </c>
      <c r="N868" s="379">
        <f t="shared" si="1335"/>
        <v>15000</v>
      </c>
      <c r="O868" s="104"/>
      <c r="P868" s="35"/>
      <c r="Q868" s="35"/>
      <c r="R868" s="35"/>
      <c r="S868" s="35"/>
    </row>
    <row r="869" spans="1:19" s="4" customFormat="1" x14ac:dyDescent="0.2">
      <c r="A869" s="316">
        <v>4123</v>
      </c>
      <c r="B869" s="317" t="s">
        <v>68</v>
      </c>
      <c r="C869" s="378"/>
      <c r="D869" s="378"/>
      <c r="E869" s="378"/>
      <c r="F869" s="344"/>
      <c r="G869" s="111"/>
      <c r="H869" s="344"/>
      <c r="I869" s="344">
        <f>9000+6000</f>
        <v>15000</v>
      </c>
      <c r="J869" s="344">
        <v>6000</v>
      </c>
      <c r="K869" s="105">
        <f t="shared" ref="K869" si="1336">H869-E869</f>
        <v>0</v>
      </c>
      <c r="L869" s="104"/>
      <c r="M869" s="105">
        <f t="shared" ref="M869" si="1337">H869-F869</f>
        <v>0</v>
      </c>
      <c r="N869" s="105">
        <f t="shared" ref="N869" si="1338">I869-G869</f>
        <v>15000</v>
      </c>
      <c r="O869" s="104"/>
      <c r="P869" s="35"/>
      <c r="Q869" s="35"/>
      <c r="R869" s="35"/>
      <c r="S869" s="35"/>
    </row>
    <row r="870" spans="1:19" s="4" customFormat="1" ht="25.5" x14ac:dyDescent="0.2">
      <c r="A870" s="451" t="s">
        <v>330</v>
      </c>
      <c r="B870" s="466" t="s">
        <v>331</v>
      </c>
      <c r="C870" s="467"/>
      <c r="D870" s="467"/>
      <c r="E870" s="467"/>
      <c r="F870" s="468"/>
      <c r="G870" s="469"/>
      <c r="H870" s="470">
        <f>SUM(H871,H877,H879)</f>
        <v>750000</v>
      </c>
      <c r="I870" s="470">
        <f t="shared" ref="I870:J870" si="1339">SUM(I871,I877,I879)</f>
        <v>968000</v>
      </c>
      <c r="J870" s="470">
        <f t="shared" si="1339"/>
        <v>2965000</v>
      </c>
      <c r="K870" s="376">
        <f t="shared" ref="K870:N870" si="1340">SUM(K871,K877,K879)</f>
        <v>750000</v>
      </c>
      <c r="L870" s="376"/>
      <c r="M870" s="376">
        <f t="shared" si="1340"/>
        <v>750000</v>
      </c>
      <c r="N870" s="376">
        <f t="shared" si="1340"/>
        <v>968000</v>
      </c>
      <c r="O870" s="104"/>
      <c r="P870" s="35"/>
      <c r="Q870" s="35"/>
      <c r="R870" s="35"/>
      <c r="S870" s="35"/>
    </row>
    <row r="871" spans="1:19" s="4" customFormat="1" x14ac:dyDescent="0.2">
      <c r="A871" s="382" t="s">
        <v>177</v>
      </c>
      <c r="B871" s="377" t="s">
        <v>129</v>
      </c>
      <c r="C871" s="378"/>
      <c r="D871" s="378"/>
      <c r="E871" s="378"/>
      <c r="F871" s="344"/>
      <c r="G871" s="111"/>
      <c r="H871" s="379">
        <f>SUM(H872:H876)</f>
        <v>0</v>
      </c>
      <c r="I871" s="379">
        <f t="shared" ref="I871:J871" si="1341">SUM(I872:I876)</f>
        <v>844000</v>
      </c>
      <c r="J871" s="379">
        <f t="shared" si="1341"/>
        <v>518000</v>
      </c>
      <c r="K871" s="379">
        <f t="shared" ref="K871:N871" si="1342">SUM(K872:K876)</f>
        <v>0</v>
      </c>
      <c r="L871" s="379"/>
      <c r="M871" s="379">
        <f t="shared" si="1342"/>
        <v>0</v>
      </c>
      <c r="N871" s="379">
        <f t="shared" si="1342"/>
        <v>844000</v>
      </c>
      <c r="O871" s="104"/>
      <c r="P871" s="35"/>
      <c r="Q871" s="35"/>
      <c r="R871" s="35"/>
      <c r="S871" s="35"/>
    </row>
    <row r="872" spans="1:19" s="4" customFormat="1" x14ac:dyDescent="0.2">
      <c r="A872" s="355">
        <v>4221</v>
      </c>
      <c r="B872" s="380" t="s">
        <v>54</v>
      </c>
      <c r="C872" s="378"/>
      <c r="D872" s="378"/>
      <c r="E872" s="378"/>
      <c r="F872" s="344"/>
      <c r="G872" s="111"/>
      <c r="H872" s="344"/>
      <c r="I872" s="344">
        <f>31000+75000</f>
        <v>106000</v>
      </c>
      <c r="J872" s="344">
        <v>75000</v>
      </c>
      <c r="K872" s="105">
        <f t="shared" ref="K872:K876" si="1343">H872-E872</f>
        <v>0</v>
      </c>
      <c r="L872" s="104"/>
      <c r="M872" s="105">
        <f t="shared" ref="M872:M876" si="1344">H872-F872</f>
        <v>0</v>
      </c>
      <c r="N872" s="105">
        <f t="shared" ref="N872:N876" si="1345">I872-G872</f>
        <v>106000</v>
      </c>
      <c r="O872" s="104"/>
      <c r="P872" s="35"/>
      <c r="Q872" s="35"/>
      <c r="R872" s="35"/>
      <c r="S872" s="35"/>
    </row>
    <row r="873" spans="1:19" s="4" customFormat="1" x14ac:dyDescent="0.2">
      <c r="A873" s="355">
        <v>4222</v>
      </c>
      <c r="B873" s="380" t="s">
        <v>58</v>
      </c>
      <c r="C873" s="378"/>
      <c r="D873" s="378"/>
      <c r="E873" s="378"/>
      <c r="F873" s="344"/>
      <c r="G873" s="111"/>
      <c r="H873" s="344"/>
      <c r="I873" s="344">
        <v>28000</v>
      </c>
      <c r="J873" s="344">
        <v>28000</v>
      </c>
      <c r="K873" s="105">
        <f t="shared" si="1343"/>
        <v>0</v>
      </c>
      <c r="L873" s="104"/>
      <c r="M873" s="105">
        <f t="shared" si="1344"/>
        <v>0</v>
      </c>
      <c r="N873" s="105">
        <f t="shared" si="1345"/>
        <v>28000</v>
      </c>
      <c r="O873" s="104"/>
      <c r="P873" s="35"/>
      <c r="Q873" s="35"/>
      <c r="R873" s="35"/>
      <c r="S873" s="35"/>
    </row>
    <row r="874" spans="1:19" s="4" customFormat="1" x14ac:dyDescent="0.2">
      <c r="A874" s="355">
        <v>4223</v>
      </c>
      <c r="B874" s="380" t="s">
        <v>59</v>
      </c>
      <c r="C874" s="378"/>
      <c r="D874" s="378"/>
      <c r="E874" s="378"/>
      <c r="F874" s="344"/>
      <c r="G874" s="111"/>
      <c r="H874" s="344"/>
      <c r="I874" s="344">
        <f>25000+6000</f>
        <v>31000</v>
      </c>
      <c r="J874" s="344">
        <v>6000</v>
      </c>
      <c r="K874" s="105">
        <f t="shared" si="1343"/>
        <v>0</v>
      </c>
      <c r="L874" s="104"/>
      <c r="M874" s="105">
        <f t="shared" si="1344"/>
        <v>0</v>
      </c>
      <c r="N874" s="105">
        <f t="shared" si="1345"/>
        <v>31000</v>
      </c>
      <c r="O874" s="104"/>
      <c r="P874" s="35"/>
      <c r="Q874" s="35"/>
      <c r="R874" s="35"/>
      <c r="S874" s="35"/>
    </row>
    <row r="875" spans="1:19" s="4" customFormat="1" x14ac:dyDescent="0.2">
      <c r="A875" s="355">
        <v>4225</v>
      </c>
      <c r="B875" s="380" t="s">
        <v>105</v>
      </c>
      <c r="C875" s="378"/>
      <c r="D875" s="378"/>
      <c r="E875" s="378"/>
      <c r="F875" s="344"/>
      <c r="G875" s="111"/>
      <c r="H875" s="344"/>
      <c r="I875" s="344"/>
      <c r="J875" s="344"/>
      <c r="K875" s="105">
        <f t="shared" si="1343"/>
        <v>0</v>
      </c>
      <c r="L875" s="104"/>
      <c r="M875" s="105">
        <f t="shared" si="1344"/>
        <v>0</v>
      </c>
      <c r="N875" s="105">
        <f t="shared" si="1345"/>
        <v>0</v>
      </c>
      <c r="O875" s="104"/>
      <c r="P875" s="35"/>
      <c r="Q875" s="35"/>
      <c r="R875" s="35"/>
      <c r="S875" s="35"/>
    </row>
    <row r="876" spans="1:19" s="4" customFormat="1" x14ac:dyDescent="0.2">
      <c r="A876" s="355" t="s">
        <v>180</v>
      </c>
      <c r="B876" s="380" t="s">
        <v>60</v>
      </c>
      <c r="C876" s="378"/>
      <c r="D876" s="378"/>
      <c r="E876" s="378"/>
      <c r="F876" s="344"/>
      <c r="G876" s="111"/>
      <c r="H876" s="344"/>
      <c r="I876" s="344">
        <f>270000+399000+10000</f>
        <v>679000</v>
      </c>
      <c r="J876" s="344">
        <f>399000+10000</f>
        <v>409000</v>
      </c>
      <c r="K876" s="105">
        <f t="shared" si="1343"/>
        <v>0</v>
      </c>
      <c r="L876" s="104"/>
      <c r="M876" s="105">
        <f t="shared" si="1344"/>
        <v>0</v>
      </c>
      <c r="N876" s="105">
        <f t="shared" si="1345"/>
        <v>679000</v>
      </c>
      <c r="O876" s="104"/>
      <c r="P876" s="35"/>
      <c r="Q876" s="35"/>
      <c r="R876" s="35"/>
      <c r="S876" s="35"/>
    </row>
    <row r="877" spans="1:19" s="4" customFormat="1" x14ac:dyDescent="0.2">
      <c r="A877" s="382" t="s">
        <v>181</v>
      </c>
      <c r="B877" s="377" t="s">
        <v>61</v>
      </c>
      <c r="C877" s="378"/>
      <c r="D877" s="378"/>
      <c r="E877" s="378"/>
      <c r="F877" s="344"/>
      <c r="G877" s="111"/>
      <c r="H877" s="379">
        <f t="shared" ref="H877:N877" si="1346">SUM(H878)</f>
        <v>750000</v>
      </c>
      <c r="I877" s="379">
        <f t="shared" si="1346"/>
        <v>105000</v>
      </c>
      <c r="J877" s="379">
        <f t="shared" si="1346"/>
        <v>2428000</v>
      </c>
      <c r="K877" s="379">
        <f t="shared" si="1346"/>
        <v>750000</v>
      </c>
      <c r="L877" s="379"/>
      <c r="M877" s="379">
        <f t="shared" si="1346"/>
        <v>750000</v>
      </c>
      <c r="N877" s="379">
        <f t="shared" si="1346"/>
        <v>105000</v>
      </c>
      <c r="O877" s="104"/>
      <c r="P877" s="35"/>
      <c r="Q877" s="35"/>
      <c r="R877" s="35"/>
      <c r="S877" s="35"/>
    </row>
    <row r="878" spans="1:19" s="4" customFormat="1" x14ac:dyDescent="0.2">
      <c r="A878" s="355">
        <v>4234</v>
      </c>
      <c r="B878" s="380" t="s">
        <v>281</v>
      </c>
      <c r="C878" s="378"/>
      <c r="D878" s="378"/>
      <c r="E878" s="378"/>
      <c r="F878" s="344"/>
      <c r="G878" s="111"/>
      <c r="H878" s="479">
        <v>750000</v>
      </c>
      <c r="I878" s="344">
        <f>77000+28000</f>
        <v>105000</v>
      </c>
      <c r="J878" s="344">
        <f>2400000+28000</f>
        <v>2428000</v>
      </c>
      <c r="K878" s="105">
        <f t="shared" ref="K878" si="1347">H878-E878</f>
        <v>750000</v>
      </c>
      <c r="L878" s="104"/>
      <c r="M878" s="105">
        <f t="shared" ref="M878" si="1348">H878-F878</f>
        <v>750000</v>
      </c>
      <c r="N878" s="105">
        <f t="shared" ref="N878" si="1349">I878-G878</f>
        <v>105000</v>
      </c>
      <c r="O878" s="104"/>
      <c r="P878" s="35"/>
      <c r="Q878" s="35"/>
      <c r="R878" s="35"/>
      <c r="S878" s="35"/>
    </row>
    <row r="879" spans="1:19" s="4" customFormat="1" x14ac:dyDescent="0.2">
      <c r="A879" s="381">
        <v>426</v>
      </c>
      <c r="B879" s="321" t="s">
        <v>73</v>
      </c>
      <c r="C879" s="378"/>
      <c r="D879" s="378"/>
      <c r="E879" s="378"/>
      <c r="F879" s="344"/>
      <c r="G879" s="111"/>
      <c r="H879" s="379">
        <f>SUM(H880)</f>
        <v>0</v>
      </c>
      <c r="I879" s="379">
        <f t="shared" ref="I879:N879" si="1350">SUM(I880)</f>
        <v>19000</v>
      </c>
      <c r="J879" s="379">
        <f t="shared" si="1350"/>
        <v>19000</v>
      </c>
      <c r="K879" s="379">
        <f t="shared" si="1350"/>
        <v>0</v>
      </c>
      <c r="L879" s="379"/>
      <c r="M879" s="379">
        <f t="shared" si="1350"/>
        <v>0</v>
      </c>
      <c r="N879" s="379">
        <f t="shared" si="1350"/>
        <v>19000</v>
      </c>
      <c r="O879" s="104"/>
      <c r="P879" s="35"/>
      <c r="Q879" s="35"/>
      <c r="R879" s="35"/>
      <c r="S879" s="35"/>
    </row>
    <row r="880" spans="1:19" s="4" customFormat="1" x14ac:dyDescent="0.2">
      <c r="A880" s="316">
        <v>4262</v>
      </c>
      <c r="B880" s="317" t="s">
        <v>88</v>
      </c>
      <c r="C880" s="378"/>
      <c r="D880" s="378"/>
      <c r="E880" s="378"/>
      <c r="F880" s="344"/>
      <c r="G880" s="111"/>
      <c r="H880" s="344"/>
      <c r="I880" s="344">
        <v>19000</v>
      </c>
      <c r="J880" s="344">
        <v>19000</v>
      </c>
      <c r="K880" s="105">
        <f t="shared" ref="K880" si="1351">H880-E880</f>
        <v>0</v>
      </c>
      <c r="L880" s="104"/>
      <c r="M880" s="105">
        <f t="shared" ref="M880" si="1352">H880-F880</f>
        <v>0</v>
      </c>
      <c r="N880" s="105">
        <f t="shared" ref="N880" si="1353">I880-G880</f>
        <v>19000</v>
      </c>
      <c r="O880" s="104"/>
      <c r="P880" s="35"/>
      <c r="Q880" s="35"/>
      <c r="R880" s="35"/>
      <c r="S880" s="35"/>
    </row>
    <row r="881" spans="1:19" s="4" customFormat="1" ht="25.5" x14ac:dyDescent="0.2">
      <c r="A881" s="447">
        <v>45</v>
      </c>
      <c r="B881" s="456" t="s">
        <v>333</v>
      </c>
      <c r="C881" s="467"/>
      <c r="D881" s="467"/>
      <c r="E881" s="467"/>
      <c r="F881" s="468"/>
      <c r="G881" s="469"/>
      <c r="H881" s="470">
        <f>SUM(H882,H884)</f>
        <v>0</v>
      </c>
      <c r="I881" s="470">
        <f t="shared" ref="I881:J881" si="1354">SUM(I882,I884)</f>
        <v>202000</v>
      </c>
      <c r="J881" s="470">
        <f t="shared" si="1354"/>
        <v>211000</v>
      </c>
      <c r="K881" s="376">
        <f t="shared" ref="K881:N881" si="1355">SUM(K882,K884)</f>
        <v>0</v>
      </c>
      <c r="L881" s="376"/>
      <c r="M881" s="376">
        <f t="shared" si="1355"/>
        <v>0</v>
      </c>
      <c r="N881" s="376">
        <f t="shared" si="1355"/>
        <v>202000</v>
      </c>
      <c r="O881" s="104"/>
      <c r="P881" s="35"/>
      <c r="Q881" s="35"/>
      <c r="R881" s="35"/>
      <c r="S881" s="35"/>
    </row>
    <row r="882" spans="1:19" s="4" customFormat="1" x14ac:dyDescent="0.2">
      <c r="A882" s="381">
        <v>451</v>
      </c>
      <c r="B882" s="321" t="s">
        <v>55</v>
      </c>
      <c r="C882" s="378"/>
      <c r="D882" s="378"/>
      <c r="E882" s="378"/>
      <c r="F882" s="344"/>
      <c r="G882" s="111"/>
      <c r="H882" s="379">
        <f>SUM(H883)</f>
        <v>0</v>
      </c>
      <c r="I882" s="379">
        <f t="shared" ref="I882:N882" si="1356">SUM(I883)</f>
        <v>194000</v>
      </c>
      <c r="J882" s="379">
        <f t="shared" si="1356"/>
        <v>203000</v>
      </c>
      <c r="K882" s="379">
        <f t="shared" si="1356"/>
        <v>0</v>
      </c>
      <c r="L882" s="379"/>
      <c r="M882" s="379">
        <f t="shared" si="1356"/>
        <v>0</v>
      </c>
      <c r="N882" s="379">
        <f t="shared" si="1356"/>
        <v>194000</v>
      </c>
      <c r="O882" s="104"/>
      <c r="P882" s="35"/>
      <c r="Q882" s="35"/>
      <c r="R882" s="35"/>
      <c r="S882" s="35"/>
    </row>
    <row r="883" spans="1:19" s="4" customFormat="1" x14ac:dyDescent="0.2">
      <c r="A883" s="316">
        <v>4511</v>
      </c>
      <c r="B883" s="317" t="s">
        <v>55</v>
      </c>
      <c r="C883" s="378"/>
      <c r="D883" s="378"/>
      <c r="E883" s="378"/>
      <c r="F883" s="344"/>
      <c r="G883" s="111"/>
      <c r="H883" s="344"/>
      <c r="I883" s="344">
        <f>6000+188000</f>
        <v>194000</v>
      </c>
      <c r="J883" s="344">
        <f>15000+188000</f>
        <v>203000</v>
      </c>
      <c r="K883" s="105">
        <f t="shared" ref="K883:K885" si="1357">H883-E883</f>
        <v>0</v>
      </c>
      <c r="L883" s="104"/>
      <c r="M883" s="105">
        <f t="shared" ref="M883:M885" si="1358">H883-F883</f>
        <v>0</v>
      </c>
      <c r="N883" s="105">
        <f t="shared" ref="N883:N885" si="1359">I883-G883</f>
        <v>194000</v>
      </c>
      <c r="O883" s="104"/>
      <c r="P883" s="35"/>
      <c r="Q883" s="35"/>
      <c r="R883" s="35"/>
      <c r="S883" s="35"/>
    </row>
    <row r="884" spans="1:19" s="4" customFormat="1" x14ac:dyDescent="0.2">
      <c r="A884" s="381">
        <v>453</v>
      </c>
      <c r="B884" s="321" t="s">
        <v>289</v>
      </c>
      <c r="C884" s="378"/>
      <c r="D884" s="378"/>
      <c r="E884" s="378"/>
      <c r="F884" s="344"/>
      <c r="G884" s="111"/>
      <c r="H884" s="344">
        <f>SUM(H885)</f>
        <v>0</v>
      </c>
      <c r="I884" s="344">
        <f t="shared" ref="I884:J884" si="1360">SUM(I885)</f>
        <v>8000</v>
      </c>
      <c r="J884" s="344">
        <f t="shared" si="1360"/>
        <v>8000</v>
      </c>
      <c r="K884" s="105">
        <f t="shared" si="1357"/>
        <v>0</v>
      </c>
      <c r="L884" s="104"/>
      <c r="M884" s="105">
        <f t="shared" si="1358"/>
        <v>0</v>
      </c>
      <c r="N884" s="105">
        <f t="shared" si="1359"/>
        <v>8000</v>
      </c>
      <c r="O884" s="104"/>
      <c r="P884" s="35"/>
      <c r="Q884" s="35"/>
      <c r="R884" s="35"/>
      <c r="S884" s="35"/>
    </row>
    <row r="885" spans="1:19" s="4" customFormat="1" x14ac:dyDescent="0.2">
      <c r="A885" s="316">
        <v>4531</v>
      </c>
      <c r="B885" s="317" t="s">
        <v>289</v>
      </c>
      <c r="C885" s="378"/>
      <c r="D885" s="378"/>
      <c r="E885" s="378"/>
      <c r="F885" s="344"/>
      <c r="G885" s="111"/>
      <c r="H885" s="344"/>
      <c r="I885" s="344">
        <v>8000</v>
      </c>
      <c r="J885" s="344">
        <v>8000</v>
      </c>
      <c r="K885" s="105">
        <f t="shared" si="1357"/>
        <v>0</v>
      </c>
      <c r="L885" s="104"/>
      <c r="M885" s="105">
        <f t="shared" si="1358"/>
        <v>0</v>
      </c>
      <c r="N885" s="105">
        <f t="shared" si="1359"/>
        <v>8000</v>
      </c>
      <c r="O885" s="104"/>
      <c r="P885" s="35"/>
      <c r="Q885" s="35"/>
      <c r="R885" s="35"/>
      <c r="S885" s="35"/>
    </row>
    <row r="886" spans="1:19" s="4" customFormat="1" ht="39.75" customHeight="1" x14ac:dyDescent="0.2">
      <c r="A886" s="345" t="s">
        <v>444</v>
      </c>
      <c r="B886" s="346" t="s">
        <v>436</v>
      </c>
      <c r="C886" s="370"/>
      <c r="D886" s="371"/>
      <c r="E886" s="371"/>
      <c r="F886" s="372"/>
      <c r="G886" s="372"/>
      <c r="H886" s="373">
        <f>SUM(H887)</f>
        <v>26000</v>
      </c>
      <c r="I886" s="373">
        <f t="shared" ref="I886:N886" si="1361">SUM(I887)</f>
        <v>30000</v>
      </c>
      <c r="J886" s="373">
        <f t="shared" si="1361"/>
        <v>16000</v>
      </c>
      <c r="K886" s="373">
        <f t="shared" si="1361"/>
        <v>26000</v>
      </c>
      <c r="L886" s="373"/>
      <c r="M886" s="373">
        <f t="shared" si="1361"/>
        <v>26000</v>
      </c>
      <c r="N886" s="373">
        <f t="shared" si="1361"/>
        <v>30000</v>
      </c>
      <c r="O886" s="374"/>
      <c r="P886" s="35"/>
      <c r="Q886" s="35"/>
      <c r="R886" s="35"/>
      <c r="S886" s="35"/>
    </row>
    <row r="887" spans="1:19" s="4" customFormat="1" x14ac:dyDescent="0.2">
      <c r="A887" s="699" t="s">
        <v>77</v>
      </c>
      <c r="B887" s="700"/>
      <c r="C887" s="488"/>
      <c r="D887" s="190"/>
      <c r="E887" s="488"/>
      <c r="F887" s="488"/>
      <c r="G887" s="488"/>
      <c r="H887" s="489">
        <f>SUM(H888,H891,H904)</f>
        <v>26000</v>
      </c>
      <c r="I887" s="489">
        <f t="shared" ref="I887:N887" si="1362">SUM(I888,I891,I904)</f>
        <v>30000</v>
      </c>
      <c r="J887" s="489">
        <f t="shared" si="1362"/>
        <v>16000</v>
      </c>
      <c r="K887" s="375">
        <f t="shared" si="1362"/>
        <v>26000</v>
      </c>
      <c r="L887" s="375">
        <f t="shared" si="1362"/>
        <v>0</v>
      </c>
      <c r="M887" s="375">
        <f t="shared" si="1362"/>
        <v>26000</v>
      </c>
      <c r="N887" s="375">
        <f t="shared" si="1362"/>
        <v>30000</v>
      </c>
      <c r="O887" s="360"/>
      <c r="P887" s="35"/>
      <c r="Q887" s="35"/>
      <c r="R887" s="35"/>
      <c r="S887" s="35"/>
    </row>
    <row r="888" spans="1:19" s="4" customFormat="1" x14ac:dyDescent="0.2">
      <c r="A888" s="465" t="s">
        <v>322</v>
      </c>
      <c r="B888" s="466" t="s">
        <v>323</v>
      </c>
      <c r="C888" s="467"/>
      <c r="D888" s="467"/>
      <c r="E888" s="467"/>
      <c r="F888" s="468"/>
      <c r="G888" s="469"/>
      <c r="H888" s="470">
        <f t="shared" ref="H888:N889" si="1363">SUM(H889)</f>
        <v>10000</v>
      </c>
      <c r="I888" s="470">
        <f t="shared" si="1363"/>
        <v>10000</v>
      </c>
      <c r="J888" s="470">
        <f t="shared" si="1363"/>
        <v>10000</v>
      </c>
      <c r="K888" s="376">
        <f t="shared" si="1363"/>
        <v>10000</v>
      </c>
      <c r="L888" s="376"/>
      <c r="M888" s="376">
        <f t="shared" si="1363"/>
        <v>10000</v>
      </c>
      <c r="N888" s="376">
        <f t="shared" si="1363"/>
        <v>10000</v>
      </c>
      <c r="O888" s="104"/>
      <c r="P888" s="35"/>
      <c r="Q888" s="35"/>
      <c r="R888" s="35"/>
      <c r="S888" s="35"/>
    </row>
    <row r="889" spans="1:19" s="4" customFormat="1" x14ac:dyDescent="0.2">
      <c r="A889" s="377" t="s">
        <v>143</v>
      </c>
      <c r="B889" s="377" t="s">
        <v>220</v>
      </c>
      <c r="C889" s="378"/>
      <c r="D889" s="378"/>
      <c r="E889" s="378"/>
      <c r="F889" s="344"/>
      <c r="G889" s="111"/>
      <c r="H889" s="379">
        <f t="shared" si="1363"/>
        <v>10000</v>
      </c>
      <c r="I889" s="379">
        <f t="shared" si="1363"/>
        <v>10000</v>
      </c>
      <c r="J889" s="379">
        <f t="shared" si="1363"/>
        <v>10000</v>
      </c>
      <c r="K889" s="379">
        <f t="shared" si="1363"/>
        <v>10000</v>
      </c>
      <c r="L889" s="379"/>
      <c r="M889" s="379">
        <f t="shared" si="1363"/>
        <v>10000</v>
      </c>
      <c r="N889" s="379">
        <f t="shared" si="1363"/>
        <v>10000</v>
      </c>
      <c r="O889" s="104"/>
      <c r="P889" s="35"/>
      <c r="Q889" s="35"/>
      <c r="R889" s="35"/>
      <c r="S889" s="35"/>
    </row>
    <row r="890" spans="1:19" s="4" customFormat="1" x14ac:dyDescent="0.2">
      <c r="A890" s="355" t="s">
        <v>144</v>
      </c>
      <c r="B890" s="380" t="s">
        <v>5</v>
      </c>
      <c r="C890" s="378"/>
      <c r="D890" s="378"/>
      <c r="E890" s="378"/>
      <c r="F890" s="344"/>
      <c r="G890" s="111"/>
      <c r="H890" s="344">
        <v>10000</v>
      </c>
      <c r="I890" s="344">
        <v>10000</v>
      </c>
      <c r="J890" s="344">
        <v>10000</v>
      </c>
      <c r="K890" s="105">
        <f t="shared" ref="K890" si="1364">H890-E890</f>
        <v>10000</v>
      </c>
      <c r="L890" s="104"/>
      <c r="M890" s="105">
        <f t="shared" ref="M890" si="1365">H890-F890</f>
        <v>10000</v>
      </c>
      <c r="N890" s="105">
        <f t="shared" ref="N890" si="1366">I890-G890</f>
        <v>10000</v>
      </c>
      <c r="O890" s="104"/>
      <c r="P890" s="35"/>
      <c r="Q890" s="35"/>
      <c r="R890" s="35"/>
      <c r="S890" s="35"/>
    </row>
    <row r="891" spans="1:19" s="4" customFormat="1" x14ac:dyDescent="0.2">
      <c r="A891" s="465" t="s">
        <v>324</v>
      </c>
      <c r="B891" s="465" t="s">
        <v>325</v>
      </c>
      <c r="C891" s="467"/>
      <c r="D891" s="467"/>
      <c r="E891" s="467"/>
      <c r="F891" s="468"/>
      <c r="G891" s="469"/>
      <c r="H891" s="470">
        <f>SUM(H892,H895,H898,H902)</f>
        <v>8000</v>
      </c>
      <c r="I891" s="470">
        <f t="shared" ref="I891:N891" si="1367">SUM(I892,I895,I898,I902)</f>
        <v>12000</v>
      </c>
      <c r="J891" s="470">
        <f t="shared" si="1367"/>
        <v>4000</v>
      </c>
      <c r="K891" s="376">
        <f t="shared" si="1367"/>
        <v>8000</v>
      </c>
      <c r="L891" s="376">
        <f t="shared" si="1367"/>
        <v>0</v>
      </c>
      <c r="M891" s="376">
        <f t="shared" si="1367"/>
        <v>8000</v>
      </c>
      <c r="N891" s="376">
        <f t="shared" si="1367"/>
        <v>12000</v>
      </c>
      <c r="O891" s="104"/>
      <c r="P891" s="35"/>
      <c r="Q891" s="35"/>
      <c r="R891" s="35"/>
      <c r="S891" s="35"/>
    </row>
    <row r="892" spans="1:19" s="4" customFormat="1" x14ac:dyDescent="0.2">
      <c r="A892" s="381" t="s">
        <v>149</v>
      </c>
      <c r="B892" s="321" t="s">
        <v>12</v>
      </c>
      <c r="C892" s="378"/>
      <c r="D892" s="378"/>
      <c r="E892" s="378"/>
      <c r="F892" s="344"/>
      <c r="G892" s="111"/>
      <c r="H892" s="379">
        <f>SUM(H893:H894)</f>
        <v>1000</v>
      </c>
      <c r="I892" s="379">
        <f t="shared" ref="I892:K892" si="1368">SUM(I893:I894)</f>
        <v>5000</v>
      </c>
      <c r="J892" s="379">
        <f t="shared" si="1368"/>
        <v>1000</v>
      </c>
      <c r="K892" s="379">
        <f t="shared" si="1368"/>
        <v>1000</v>
      </c>
      <c r="L892" s="379"/>
      <c r="M892" s="379">
        <f t="shared" ref="M892:N892" si="1369">SUM(M893:M894)</f>
        <v>1000</v>
      </c>
      <c r="N892" s="379">
        <f t="shared" si="1369"/>
        <v>5000</v>
      </c>
      <c r="O892" s="104"/>
      <c r="P892" s="35"/>
      <c r="Q892" s="35"/>
      <c r="R892" s="35"/>
      <c r="S892" s="35"/>
    </row>
    <row r="893" spans="1:19" s="4" customFormat="1" x14ac:dyDescent="0.2">
      <c r="A893" s="316">
        <v>3211</v>
      </c>
      <c r="B893" s="317" t="s">
        <v>13</v>
      </c>
      <c r="C893" s="378"/>
      <c r="D893" s="378"/>
      <c r="E893" s="378"/>
      <c r="F893" s="344"/>
      <c r="G893" s="111"/>
      <c r="H893" s="344">
        <v>1000</v>
      </c>
      <c r="I893" s="344">
        <v>1000</v>
      </c>
      <c r="J893" s="344">
        <v>1000</v>
      </c>
      <c r="K893" s="105">
        <f t="shared" ref="K893:K894" si="1370">H893-E893</f>
        <v>1000</v>
      </c>
      <c r="L893" s="104"/>
      <c r="M893" s="105">
        <f t="shared" ref="M893:M894" si="1371">H893-F893</f>
        <v>1000</v>
      </c>
      <c r="N893" s="105">
        <f t="shared" ref="N893:N894" si="1372">I893-G893</f>
        <v>1000</v>
      </c>
      <c r="O893" s="104"/>
      <c r="P893" s="35"/>
      <c r="Q893" s="35"/>
      <c r="R893" s="35"/>
      <c r="S893" s="35"/>
    </row>
    <row r="894" spans="1:19" s="4" customFormat="1" x14ac:dyDescent="0.2">
      <c r="A894" s="316">
        <v>3213</v>
      </c>
      <c r="B894" s="317" t="s">
        <v>15</v>
      </c>
      <c r="C894" s="378"/>
      <c r="D894" s="378"/>
      <c r="E894" s="378"/>
      <c r="F894" s="344"/>
      <c r="G894" s="111"/>
      <c r="H894" s="344"/>
      <c r="I894" s="344">
        <v>4000</v>
      </c>
      <c r="J894" s="344"/>
      <c r="K894" s="105">
        <f t="shared" si="1370"/>
        <v>0</v>
      </c>
      <c r="L894" s="104"/>
      <c r="M894" s="105">
        <f t="shared" si="1371"/>
        <v>0</v>
      </c>
      <c r="N894" s="105">
        <f t="shared" si="1372"/>
        <v>4000</v>
      </c>
      <c r="O894" s="104"/>
      <c r="P894" s="35"/>
      <c r="Q894" s="35"/>
      <c r="R894" s="35"/>
      <c r="S894" s="35"/>
    </row>
    <row r="895" spans="1:19" s="4" customFormat="1" x14ac:dyDescent="0.2">
      <c r="A895" s="382">
        <v>322</v>
      </c>
      <c r="B895" s="354" t="s">
        <v>16</v>
      </c>
      <c r="C895" s="378"/>
      <c r="D895" s="378"/>
      <c r="E895" s="378"/>
      <c r="F895" s="344"/>
      <c r="G895" s="111"/>
      <c r="H895" s="379">
        <f>SUM(H896:H897)</f>
        <v>1000</v>
      </c>
      <c r="I895" s="379">
        <f>SUM(I896:I897)</f>
        <v>1000</v>
      </c>
      <c r="J895" s="379">
        <f>SUM(J896:J897)</f>
        <v>1000</v>
      </c>
      <c r="K895" s="379">
        <f>SUM(K896:K897)</f>
        <v>1000</v>
      </c>
      <c r="L895" s="379"/>
      <c r="M895" s="379">
        <f>SUM(M896:M897)</f>
        <v>1000</v>
      </c>
      <c r="N895" s="379">
        <f>SUM(N896:N897)</f>
        <v>1000</v>
      </c>
      <c r="O895" s="104"/>
      <c r="P895" s="35"/>
      <c r="Q895" s="35"/>
      <c r="R895" s="35"/>
      <c r="S895" s="35"/>
    </row>
    <row r="896" spans="1:19" s="4" customFormat="1" x14ac:dyDescent="0.2">
      <c r="A896" s="355">
        <v>3221</v>
      </c>
      <c r="B896" s="356" t="s">
        <v>17</v>
      </c>
      <c r="C896" s="378"/>
      <c r="D896" s="378"/>
      <c r="E896" s="378"/>
      <c r="F896" s="344"/>
      <c r="G896" s="111"/>
      <c r="H896" s="344">
        <v>1000</v>
      </c>
      <c r="I896" s="344"/>
      <c r="J896" s="344"/>
      <c r="K896" s="105">
        <f t="shared" ref="K896:K897" si="1373">H896-E896</f>
        <v>1000</v>
      </c>
      <c r="L896" s="104"/>
      <c r="M896" s="105">
        <f t="shared" ref="M896:M897" si="1374">H896-F896</f>
        <v>1000</v>
      </c>
      <c r="N896" s="105">
        <f t="shared" ref="N896:N897" si="1375">I896-G896</f>
        <v>0</v>
      </c>
      <c r="O896" s="104"/>
      <c r="P896" s="35"/>
      <c r="Q896" s="35"/>
      <c r="R896" s="35"/>
      <c r="S896" s="35"/>
    </row>
    <row r="897" spans="1:23" s="4" customFormat="1" x14ac:dyDescent="0.2">
      <c r="A897" s="316">
        <v>3223</v>
      </c>
      <c r="B897" s="317" t="s">
        <v>19</v>
      </c>
      <c r="C897" s="378"/>
      <c r="D897" s="378"/>
      <c r="E897" s="378"/>
      <c r="F897" s="344"/>
      <c r="G897" s="111"/>
      <c r="H897" s="344"/>
      <c r="I897" s="344">
        <v>1000</v>
      </c>
      <c r="J897" s="344">
        <v>1000</v>
      </c>
      <c r="K897" s="105">
        <f t="shared" si="1373"/>
        <v>0</v>
      </c>
      <c r="L897" s="104"/>
      <c r="M897" s="105">
        <f t="shared" si="1374"/>
        <v>0</v>
      </c>
      <c r="N897" s="105">
        <f t="shared" si="1375"/>
        <v>1000</v>
      </c>
      <c r="O897" s="104"/>
      <c r="P897" s="35"/>
      <c r="Q897" s="35"/>
      <c r="R897" s="35"/>
      <c r="S897" s="35"/>
    </row>
    <row r="898" spans="1:23" s="4" customFormat="1" x14ac:dyDescent="0.2">
      <c r="A898" s="383" t="s">
        <v>159</v>
      </c>
      <c r="B898" s="384" t="s">
        <v>123</v>
      </c>
      <c r="C898" s="378"/>
      <c r="D898" s="378"/>
      <c r="E898" s="378"/>
      <c r="F898" s="344"/>
      <c r="G898" s="111"/>
      <c r="H898" s="379">
        <f>SUM(H899:H901)</f>
        <v>5000</v>
      </c>
      <c r="I898" s="379">
        <f t="shared" ref="I898:N898" si="1376">SUM(I899:I901)</f>
        <v>5000</v>
      </c>
      <c r="J898" s="379">
        <f t="shared" si="1376"/>
        <v>1000</v>
      </c>
      <c r="K898" s="379">
        <f t="shared" si="1376"/>
        <v>5000</v>
      </c>
      <c r="L898" s="379">
        <f t="shared" si="1376"/>
        <v>0</v>
      </c>
      <c r="M898" s="379">
        <f t="shared" si="1376"/>
        <v>5000</v>
      </c>
      <c r="N898" s="379">
        <f t="shared" si="1376"/>
        <v>5000</v>
      </c>
      <c r="O898" s="104"/>
      <c r="P898" s="35"/>
      <c r="Q898" s="35"/>
      <c r="R898" s="35"/>
      <c r="S898" s="35"/>
    </row>
    <row r="899" spans="1:23" s="4" customFormat="1" x14ac:dyDescent="0.2">
      <c r="A899" s="266">
        <v>3233</v>
      </c>
      <c r="B899" s="267" t="s">
        <v>26</v>
      </c>
      <c r="C899" s="378"/>
      <c r="D899" s="378"/>
      <c r="E899" s="378"/>
      <c r="F899" s="344"/>
      <c r="G899" s="111"/>
      <c r="H899" s="344">
        <v>2000</v>
      </c>
      <c r="I899" s="344">
        <v>2000</v>
      </c>
      <c r="J899" s="344"/>
      <c r="K899" s="105">
        <f t="shared" ref="K899:K901" si="1377">H899-E899</f>
        <v>2000</v>
      </c>
      <c r="L899" s="104"/>
      <c r="M899" s="105">
        <f t="shared" ref="M899:M901" si="1378">H899-F899</f>
        <v>2000</v>
      </c>
      <c r="N899" s="105">
        <f t="shared" ref="N899:N901" si="1379">I899-G899</f>
        <v>2000</v>
      </c>
      <c r="O899" s="104"/>
      <c r="P899" s="35"/>
      <c r="Q899" s="35"/>
      <c r="R899" s="35"/>
      <c r="S899" s="35"/>
    </row>
    <row r="900" spans="1:23" s="4" customFormat="1" x14ac:dyDescent="0.2">
      <c r="A900" s="266">
        <v>3235</v>
      </c>
      <c r="B900" s="267" t="s">
        <v>28</v>
      </c>
      <c r="C900" s="378"/>
      <c r="D900" s="378"/>
      <c r="E900" s="378"/>
      <c r="F900" s="344"/>
      <c r="G900" s="111"/>
      <c r="H900" s="344">
        <v>1000</v>
      </c>
      <c r="I900" s="344">
        <v>1000</v>
      </c>
      <c r="J900" s="344">
        <v>1000</v>
      </c>
      <c r="K900" s="105">
        <f t="shared" si="1377"/>
        <v>1000</v>
      </c>
      <c r="L900" s="104"/>
      <c r="M900" s="105">
        <f t="shared" si="1378"/>
        <v>1000</v>
      </c>
      <c r="N900" s="105">
        <f t="shared" si="1379"/>
        <v>1000</v>
      </c>
      <c r="O900" s="104"/>
      <c r="P900" s="35"/>
      <c r="Q900" s="35"/>
      <c r="R900" s="35"/>
      <c r="S900" s="35"/>
    </row>
    <row r="901" spans="1:23" s="4" customFormat="1" x14ac:dyDescent="0.2">
      <c r="A901" s="385">
        <v>3237</v>
      </c>
      <c r="B901" s="276" t="s">
        <v>30</v>
      </c>
      <c r="C901" s="378"/>
      <c r="D901" s="378"/>
      <c r="E901" s="378"/>
      <c r="F901" s="343"/>
      <c r="G901" s="201"/>
      <c r="H901" s="343">
        <v>2000</v>
      </c>
      <c r="I901" s="343">
        <v>2000</v>
      </c>
      <c r="J901" s="343"/>
      <c r="K901" s="104">
        <f t="shared" si="1377"/>
        <v>2000</v>
      </c>
      <c r="L901" s="104"/>
      <c r="M901" s="104">
        <f t="shared" si="1378"/>
        <v>2000</v>
      </c>
      <c r="N901" s="104">
        <f t="shared" si="1379"/>
        <v>2000</v>
      </c>
      <c r="O901" s="104"/>
      <c r="P901" s="35"/>
      <c r="Q901" s="35"/>
      <c r="R901" s="35"/>
      <c r="S901" s="35"/>
    </row>
    <row r="902" spans="1:23" s="4" customFormat="1" x14ac:dyDescent="0.2">
      <c r="A902" s="382" t="s">
        <v>170</v>
      </c>
      <c r="B902" s="377" t="s">
        <v>33</v>
      </c>
      <c r="C902" s="378"/>
      <c r="D902" s="378"/>
      <c r="E902" s="378"/>
      <c r="F902" s="344"/>
      <c r="G902" s="111"/>
      <c r="H902" s="379">
        <f>SUM(H903:H903)</f>
        <v>1000</v>
      </c>
      <c r="I902" s="379">
        <f>SUM(I903:I903)</f>
        <v>1000</v>
      </c>
      <c r="J902" s="379">
        <f>SUM(J903:J903)</f>
        <v>1000</v>
      </c>
      <c r="K902" s="379">
        <f>SUM(K903:K903)</f>
        <v>1000</v>
      </c>
      <c r="L902" s="379"/>
      <c r="M902" s="379">
        <f>SUM(M903:M903)</f>
        <v>1000</v>
      </c>
      <c r="N902" s="379">
        <f>SUM(N903:N903)</f>
        <v>1000</v>
      </c>
      <c r="O902" s="104"/>
      <c r="P902" s="35"/>
      <c r="Q902" s="35"/>
      <c r="R902" s="35"/>
      <c r="S902" s="35"/>
    </row>
    <row r="903" spans="1:23" s="4" customFormat="1" x14ac:dyDescent="0.2">
      <c r="A903" s="238" t="s">
        <v>172</v>
      </c>
      <c r="B903" s="239" t="s">
        <v>36</v>
      </c>
      <c r="C903" s="378"/>
      <c r="D903" s="378"/>
      <c r="E903" s="378"/>
      <c r="F903" s="344"/>
      <c r="G903" s="111"/>
      <c r="H903" s="344">
        <v>1000</v>
      </c>
      <c r="I903" s="344">
        <v>1000</v>
      </c>
      <c r="J903" s="344">
        <v>1000</v>
      </c>
      <c r="K903" s="105">
        <f t="shared" ref="K903" si="1380">H903-E903</f>
        <v>1000</v>
      </c>
      <c r="L903" s="104"/>
      <c r="M903" s="105">
        <f t="shared" ref="M903" si="1381">H903-F903</f>
        <v>1000</v>
      </c>
      <c r="N903" s="105">
        <f t="shared" ref="N903" si="1382">I903-G903</f>
        <v>1000</v>
      </c>
      <c r="O903" s="104"/>
      <c r="P903" s="35"/>
      <c r="Q903" s="35"/>
      <c r="R903" s="35"/>
      <c r="S903" s="35"/>
    </row>
    <row r="904" spans="1:23" s="4" customFormat="1" ht="25.5" x14ac:dyDescent="0.2">
      <c r="A904" s="451" t="s">
        <v>330</v>
      </c>
      <c r="B904" s="466" t="s">
        <v>331</v>
      </c>
      <c r="C904" s="467"/>
      <c r="D904" s="467"/>
      <c r="E904" s="467"/>
      <c r="F904" s="468"/>
      <c r="G904" s="469"/>
      <c r="H904" s="470">
        <f>SUM(H908,H905)</f>
        <v>8000</v>
      </c>
      <c r="I904" s="470">
        <f t="shared" ref="I904:N904" si="1383">SUM(I908,I905)</f>
        <v>8000</v>
      </c>
      <c r="J904" s="470">
        <f t="shared" si="1383"/>
        <v>2000</v>
      </c>
      <c r="K904" s="376">
        <f t="shared" si="1383"/>
        <v>8000</v>
      </c>
      <c r="L904" s="376">
        <f t="shared" si="1383"/>
        <v>0</v>
      </c>
      <c r="M904" s="376">
        <f t="shared" si="1383"/>
        <v>8000</v>
      </c>
      <c r="N904" s="376">
        <f t="shared" si="1383"/>
        <v>8000</v>
      </c>
      <c r="O904" s="104"/>
      <c r="P904" s="35"/>
      <c r="Q904" s="35"/>
      <c r="R904" s="35"/>
      <c r="S904" s="35"/>
    </row>
    <row r="905" spans="1:23" s="4" customFormat="1" x14ac:dyDescent="0.2">
      <c r="A905" s="382" t="s">
        <v>177</v>
      </c>
      <c r="B905" s="377" t="s">
        <v>129</v>
      </c>
      <c r="C905" s="378"/>
      <c r="D905" s="378"/>
      <c r="E905" s="378"/>
      <c r="F905" s="344"/>
      <c r="G905" s="111"/>
      <c r="H905" s="379">
        <f>SUM(H906:H907)</f>
        <v>6000</v>
      </c>
      <c r="I905" s="379">
        <f>SUM(I906:I907)</f>
        <v>6000</v>
      </c>
      <c r="J905" s="379">
        <f>SUM(J906:J907)</f>
        <v>0</v>
      </c>
      <c r="K905" s="379">
        <f>SUM(K906:K907)</f>
        <v>6000</v>
      </c>
      <c r="L905" s="379"/>
      <c r="M905" s="379">
        <f>SUM(M906:M907)</f>
        <v>6000</v>
      </c>
      <c r="N905" s="379">
        <f>SUM(N906:N907)</f>
        <v>6000</v>
      </c>
      <c r="O905" s="104"/>
      <c r="P905" s="35"/>
      <c r="Q905" s="35"/>
      <c r="R905" s="35"/>
      <c r="S905" s="35"/>
    </row>
    <row r="906" spans="1:23" s="4" customFormat="1" x14ac:dyDescent="0.2">
      <c r="A906" s="355">
        <v>4221</v>
      </c>
      <c r="B906" s="380" t="s">
        <v>54</v>
      </c>
      <c r="C906" s="378"/>
      <c r="D906" s="378"/>
      <c r="E906" s="378"/>
      <c r="F906" s="344"/>
      <c r="G906" s="111"/>
      <c r="H906" s="344">
        <v>5000</v>
      </c>
      <c r="I906" s="344">
        <v>5000</v>
      </c>
      <c r="J906" s="344"/>
      <c r="K906" s="105">
        <f t="shared" ref="K906:K907" si="1384">H906-E906</f>
        <v>5000</v>
      </c>
      <c r="L906" s="104"/>
      <c r="M906" s="105">
        <f t="shared" ref="M906:M907" si="1385">H906-F906</f>
        <v>5000</v>
      </c>
      <c r="N906" s="105">
        <f t="shared" ref="N906:N907" si="1386">I906-G906</f>
        <v>5000</v>
      </c>
      <c r="O906" s="104"/>
      <c r="P906" s="35"/>
      <c r="Q906" s="35"/>
      <c r="R906" s="35"/>
      <c r="S906" s="35"/>
    </row>
    <row r="907" spans="1:23" s="4" customFormat="1" x14ac:dyDescent="0.2">
      <c r="A907" s="355">
        <v>4225</v>
      </c>
      <c r="B907" s="380" t="s">
        <v>105</v>
      </c>
      <c r="C907" s="378"/>
      <c r="D907" s="378"/>
      <c r="E907" s="378"/>
      <c r="F907" s="344"/>
      <c r="G907" s="111"/>
      <c r="H907" s="344">
        <v>1000</v>
      </c>
      <c r="I907" s="344">
        <v>1000</v>
      </c>
      <c r="J907" s="344"/>
      <c r="K907" s="105">
        <f t="shared" si="1384"/>
        <v>1000</v>
      </c>
      <c r="L907" s="104"/>
      <c r="M907" s="105">
        <f t="shared" si="1385"/>
        <v>1000</v>
      </c>
      <c r="N907" s="105">
        <f t="shared" si="1386"/>
        <v>1000</v>
      </c>
      <c r="O907" s="104"/>
      <c r="P907" s="35"/>
      <c r="Q907" s="35"/>
      <c r="R907" s="35"/>
      <c r="S907" s="35"/>
    </row>
    <row r="908" spans="1:23" s="4" customFormat="1" x14ac:dyDescent="0.2">
      <c r="A908" s="382" t="s">
        <v>181</v>
      </c>
      <c r="B908" s="377" t="s">
        <v>61</v>
      </c>
      <c r="C908" s="378"/>
      <c r="D908" s="378"/>
      <c r="E908" s="378"/>
      <c r="F908" s="344"/>
      <c r="G908" s="111"/>
      <c r="H908" s="379">
        <f t="shared" ref="H908:N908" si="1387">SUM(H909)</f>
        <v>2000</v>
      </c>
      <c r="I908" s="379">
        <f t="shared" si="1387"/>
        <v>2000</v>
      </c>
      <c r="J908" s="379">
        <f t="shared" si="1387"/>
        <v>2000</v>
      </c>
      <c r="K908" s="379">
        <f t="shared" si="1387"/>
        <v>2000</v>
      </c>
      <c r="L908" s="379"/>
      <c r="M908" s="379">
        <f t="shared" si="1387"/>
        <v>2000</v>
      </c>
      <c r="N908" s="379">
        <f t="shared" si="1387"/>
        <v>2000</v>
      </c>
      <c r="O908" s="104"/>
      <c r="P908" s="35"/>
      <c r="Q908" s="35"/>
      <c r="R908" s="35"/>
      <c r="S908" s="35"/>
    </row>
    <row r="909" spans="1:23" s="4" customFormat="1" x14ac:dyDescent="0.2">
      <c r="A909" s="355">
        <v>4231</v>
      </c>
      <c r="B909" s="380" t="s">
        <v>62</v>
      </c>
      <c r="C909" s="378"/>
      <c r="D909" s="378"/>
      <c r="E909" s="378"/>
      <c r="F909" s="344"/>
      <c r="G909" s="111"/>
      <c r="H909" s="344">
        <v>2000</v>
      </c>
      <c r="I909" s="344">
        <v>2000</v>
      </c>
      <c r="J909" s="344">
        <v>2000</v>
      </c>
      <c r="K909" s="105">
        <f t="shared" ref="K909" si="1388">H909-E909</f>
        <v>2000</v>
      </c>
      <c r="L909" s="104"/>
      <c r="M909" s="105">
        <f t="shared" ref="M909" si="1389">H909-F909</f>
        <v>2000</v>
      </c>
      <c r="N909" s="105">
        <f t="shared" ref="N909" si="1390">I909-G909</f>
        <v>2000</v>
      </c>
      <c r="O909" s="104"/>
      <c r="P909" s="35"/>
      <c r="Q909" s="35"/>
      <c r="R909" s="35"/>
      <c r="S909" s="35"/>
    </row>
    <row r="910" spans="1:23" s="4" customFormat="1" ht="21.75" customHeight="1" x14ac:dyDescent="0.2">
      <c r="A910" s="386" t="s">
        <v>195</v>
      </c>
      <c r="B910" s="386" t="s">
        <v>196</v>
      </c>
      <c r="C910" s="387">
        <f t="shared" ref="C910:O910" si="1391">SUM(C911)</f>
        <v>858277740</v>
      </c>
      <c r="D910" s="388"/>
      <c r="E910" s="388">
        <f t="shared" si="1391"/>
        <v>910275740</v>
      </c>
      <c r="F910" s="389">
        <f t="shared" si="1391"/>
        <v>848849288</v>
      </c>
      <c r="G910" s="389">
        <f t="shared" si="1391"/>
        <v>849646573</v>
      </c>
      <c r="H910" s="389">
        <f t="shared" si="1391"/>
        <v>1048256150</v>
      </c>
      <c r="I910" s="389">
        <f t="shared" si="1391"/>
        <v>1049806393</v>
      </c>
      <c r="J910" s="389">
        <f t="shared" si="1391"/>
        <v>1049287615</v>
      </c>
      <c r="K910" s="389">
        <f t="shared" si="1391"/>
        <v>137977410</v>
      </c>
      <c r="L910" s="390">
        <f>H910/E910*100</f>
        <v>115.15808934993699</v>
      </c>
      <c r="M910" s="389">
        <f t="shared" si="1391"/>
        <v>199403862</v>
      </c>
      <c r="N910" s="389">
        <f t="shared" si="1391"/>
        <v>200155820</v>
      </c>
      <c r="O910" s="389">
        <f t="shared" si="1391"/>
        <v>0</v>
      </c>
      <c r="P910" s="35"/>
      <c r="Q910" s="65"/>
      <c r="R910" s="65"/>
      <c r="S910" s="65"/>
      <c r="T910" s="27"/>
      <c r="U910" s="27"/>
      <c r="V910" s="27"/>
      <c r="W910" s="27"/>
    </row>
    <row r="911" spans="1:23" s="4" customFormat="1" ht="16.5" customHeight="1" x14ac:dyDescent="0.2">
      <c r="A911" s="391"/>
      <c r="B911" s="391" t="s">
        <v>197</v>
      </c>
      <c r="C911" s="392">
        <f t="shared" ref="C911:F911" si="1392">SUM(C912:C913)</f>
        <v>858277740</v>
      </c>
      <c r="D911" s="393"/>
      <c r="E911" s="393">
        <f t="shared" ref="E911" si="1393">SUM(E912:E913)</f>
        <v>910275740</v>
      </c>
      <c r="F911" s="394">
        <f t="shared" si="1392"/>
        <v>848849288</v>
      </c>
      <c r="G911" s="394">
        <f t="shared" ref="G911:H911" si="1394">SUM(G912:G913)</f>
        <v>849646573</v>
      </c>
      <c r="H911" s="394">
        <f t="shared" si="1394"/>
        <v>1048256150</v>
      </c>
      <c r="I911" s="394">
        <f t="shared" ref="I911:J911" si="1395">SUM(I912:I913)</f>
        <v>1049806393</v>
      </c>
      <c r="J911" s="394">
        <f t="shared" si="1395"/>
        <v>1049287615</v>
      </c>
      <c r="K911" s="394">
        <f t="shared" ref="K911" si="1396">SUM(K912:K913)</f>
        <v>137977410</v>
      </c>
      <c r="L911" s="395">
        <f t="shared" ref="L911" si="1397">H911/E911*100</f>
        <v>115.15808934993699</v>
      </c>
      <c r="M911" s="394">
        <f t="shared" ref="M911:O911" si="1398">SUM(M912:M913)</f>
        <v>199403862</v>
      </c>
      <c r="N911" s="394">
        <f t="shared" ref="N911" si="1399">SUM(N912:N913)</f>
        <v>200155820</v>
      </c>
      <c r="O911" s="394">
        <f t="shared" si="1398"/>
        <v>0</v>
      </c>
      <c r="P911" s="35"/>
      <c r="Q911" s="65"/>
      <c r="R911" s="65"/>
      <c r="S911" s="65"/>
    </row>
    <row r="912" spans="1:23" s="5" customFormat="1" x14ac:dyDescent="0.2">
      <c r="A912" s="396"/>
      <c r="B912" s="397" t="s">
        <v>198</v>
      </c>
      <c r="C912" s="398">
        <f>SUM(C10,C17,C24,C85,C106,C135,C149,C202,C207,C225,C255,C307)</f>
        <v>827160740</v>
      </c>
      <c r="D912" s="399"/>
      <c r="E912" s="400">
        <f t="shared" ref="E912:N912" si="1400">SUM(E10,E17,E24,E85,E106,E135,E149,E202,E207,E225,E255,E307)</f>
        <v>892540540</v>
      </c>
      <c r="F912" s="400">
        <f t="shared" si="1400"/>
        <v>829001188</v>
      </c>
      <c r="G912" s="400">
        <f t="shared" si="1400"/>
        <v>826966573</v>
      </c>
      <c r="H912" s="400">
        <f t="shared" si="1400"/>
        <v>1008528150</v>
      </c>
      <c r="I912" s="400">
        <f t="shared" si="1400"/>
        <v>1012149850</v>
      </c>
      <c r="J912" s="400">
        <f t="shared" si="1400"/>
        <v>1030224615</v>
      </c>
      <c r="K912" s="400">
        <f t="shared" si="1400"/>
        <v>115987610</v>
      </c>
      <c r="L912" s="400">
        <f t="shared" si="1400"/>
        <v>0</v>
      </c>
      <c r="M912" s="400">
        <f t="shared" si="1400"/>
        <v>179526962</v>
      </c>
      <c r="N912" s="400">
        <f t="shared" si="1400"/>
        <v>185183277</v>
      </c>
      <c r="O912" s="401">
        <f>SUM(O10,O24,O85,O106,O135,O149,O207,O225,O255,O307,O16)</f>
        <v>0</v>
      </c>
      <c r="P912" s="55"/>
      <c r="Q912" s="55"/>
      <c r="R912" s="55"/>
      <c r="S912" s="55"/>
    </row>
    <row r="913" spans="1:19" s="5" customFormat="1" x14ac:dyDescent="0.2">
      <c r="A913" s="402"/>
      <c r="B913" s="403" t="s">
        <v>199</v>
      </c>
      <c r="C913" s="404">
        <f t="shared" ref="C913:N913" si="1401">SUM(C339,C366,C391,C421,C455,C483,C524,C564,C573,C578,C591,C598,C630,C635,C652,C675,C706,C733,C738,C743,C759,C782,C787,C795,C814,C834,C886)</f>
        <v>31117000</v>
      </c>
      <c r="D913" s="404">
        <f t="shared" si="1401"/>
        <v>0</v>
      </c>
      <c r="E913" s="404">
        <f t="shared" si="1401"/>
        <v>17735200</v>
      </c>
      <c r="F913" s="404">
        <f t="shared" si="1401"/>
        <v>19848100</v>
      </c>
      <c r="G913" s="404">
        <f t="shared" si="1401"/>
        <v>22680000</v>
      </c>
      <c r="H913" s="404">
        <f t="shared" si="1401"/>
        <v>39728000</v>
      </c>
      <c r="I913" s="404">
        <f t="shared" si="1401"/>
        <v>37656543</v>
      </c>
      <c r="J913" s="404">
        <f t="shared" si="1401"/>
        <v>19063000</v>
      </c>
      <c r="K913" s="404">
        <f t="shared" si="1401"/>
        <v>21989800</v>
      </c>
      <c r="L913" s="404">
        <f t="shared" si="1401"/>
        <v>0</v>
      </c>
      <c r="M913" s="404">
        <f t="shared" si="1401"/>
        <v>19876900</v>
      </c>
      <c r="N913" s="404">
        <f t="shared" si="1401"/>
        <v>14972543</v>
      </c>
      <c r="O913" s="404">
        <f>SUM(O339,O366,O391,O421,O455,O483,O524,O564,O573,O578,O591,O598,O630,O635,O652,O675,O706,O733,O738,O743,O759)</f>
        <v>0</v>
      </c>
      <c r="P913" s="55"/>
      <c r="Q913" s="55"/>
      <c r="R913" s="55"/>
      <c r="S913" s="55"/>
    </row>
    <row r="914" spans="1:19" s="8" customFormat="1" ht="26.25" customHeight="1" x14ac:dyDescent="0.25">
      <c r="B914" s="15"/>
      <c r="C914" s="13"/>
      <c r="D914" s="13"/>
      <c r="E914" s="13"/>
      <c r="F914" s="13"/>
    </row>
    <row r="915" spans="1:19" x14ac:dyDescent="0.2">
      <c r="E915" s="3">
        <v>891644540</v>
      </c>
      <c r="H915" s="3"/>
      <c r="I915" s="3"/>
      <c r="J915" s="3"/>
      <c r="K915" s="3"/>
      <c r="L915" s="3"/>
    </row>
    <row r="916" spans="1:19" x14ac:dyDescent="0.2">
      <c r="H916" s="3"/>
      <c r="I916" s="3"/>
      <c r="J916" s="3"/>
      <c r="K916" s="3"/>
      <c r="L916" s="3"/>
      <c r="M916" s="3"/>
      <c r="N916" s="3"/>
    </row>
    <row r="917" spans="1:19" x14ac:dyDescent="0.2">
      <c r="E917" s="3">
        <f>E915-E912</f>
        <v>-896000</v>
      </c>
      <c r="G917" s="3" t="s">
        <v>431</v>
      </c>
      <c r="H917" s="24"/>
      <c r="I917" s="24"/>
      <c r="J917" s="24"/>
      <c r="K917" s="3">
        <f>K910-H917</f>
        <v>137977410</v>
      </c>
    </row>
    <row r="918" spans="1:19" x14ac:dyDescent="0.2">
      <c r="H918" s="3"/>
      <c r="I918" s="3"/>
      <c r="J918" s="3"/>
      <c r="K918" s="3"/>
    </row>
    <row r="919" spans="1:19" x14ac:dyDescent="0.2">
      <c r="H919" s="3"/>
      <c r="I919" s="3"/>
      <c r="J919" s="3"/>
      <c r="K919" s="3"/>
    </row>
    <row r="920" spans="1:19" x14ac:dyDescent="0.2">
      <c r="H920" s="3"/>
      <c r="I920" s="3"/>
      <c r="J920" s="3"/>
      <c r="K920" s="3"/>
    </row>
    <row r="921" spans="1:19" x14ac:dyDescent="0.2">
      <c r="H921" s="3"/>
      <c r="I921" s="3"/>
      <c r="J921" s="3"/>
      <c r="K921" s="3"/>
    </row>
    <row r="922" spans="1:19" x14ac:dyDescent="0.2">
      <c r="H922" s="3"/>
      <c r="I922" s="3"/>
      <c r="J922" s="3"/>
      <c r="K922" s="3"/>
    </row>
    <row r="923" spans="1:19" x14ac:dyDescent="0.2">
      <c r="H923" s="3"/>
      <c r="I923" s="3"/>
      <c r="J923" s="3"/>
      <c r="K923" s="3"/>
    </row>
    <row r="924" spans="1:19" x14ac:dyDescent="0.2">
      <c r="H924" s="3"/>
      <c r="I924" s="3"/>
      <c r="J924" s="3"/>
      <c r="K924" s="3"/>
    </row>
    <row r="925" spans="1:19" x14ac:dyDescent="0.2">
      <c r="H925" s="3"/>
      <c r="I925" s="3"/>
      <c r="J925" s="3"/>
      <c r="K925" s="3"/>
    </row>
  </sheetData>
  <mergeCells count="46">
    <mergeCell ref="A2:N2"/>
    <mergeCell ref="A421:B421"/>
    <mergeCell ref="A455:B455"/>
    <mergeCell ref="A564:B564"/>
    <mergeCell ref="A10:B10"/>
    <mergeCell ref="A207:B207"/>
    <mergeCell ref="A135:B135"/>
    <mergeCell ref="A149:B149"/>
    <mergeCell ref="A106:B106"/>
    <mergeCell ref="A85:B85"/>
    <mergeCell ref="A17:B17"/>
    <mergeCell ref="A24:B24"/>
    <mergeCell ref="C4:N4"/>
    <mergeCell ref="A202:B202"/>
    <mergeCell ref="A3:J3"/>
    <mergeCell ref="A706:B706"/>
    <mergeCell ref="A782:B782"/>
    <mergeCell ref="A787:B787"/>
    <mergeCell ref="A524:B524"/>
    <mergeCell ref="A225:B225"/>
    <mergeCell ref="A255:B255"/>
    <mergeCell ref="A271:B271"/>
    <mergeCell ref="A339:B339"/>
    <mergeCell ref="A366:B366"/>
    <mergeCell ref="A362:B362"/>
    <mergeCell ref="A307:B307"/>
    <mergeCell ref="A284:B284"/>
    <mergeCell ref="A326:B326"/>
    <mergeCell ref="A483:B483"/>
    <mergeCell ref="A391:B391"/>
    <mergeCell ref="A887:B887"/>
    <mergeCell ref="A834:B834"/>
    <mergeCell ref="A814:B814"/>
    <mergeCell ref="A795:B795"/>
    <mergeCell ref="A573:B573"/>
    <mergeCell ref="A630:B630"/>
    <mergeCell ref="A635:B635"/>
    <mergeCell ref="A578:B578"/>
    <mergeCell ref="A591:B591"/>
    <mergeCell ref="A598:B598"/>
    <mergeCell ref="A743:B743"/>
    <mergeCell ref="A759:B759"/>
    <mergeCell ref="A652:B652"/>
    <mergeCell ref="A738:B738"/>
    <mergeCell ref="A733:B733"/>
    <mergeCell ref="A675:B675"/>
  </mergeCells>
  <pageMargins left="0.39370078740157483" right="0" top="0.55118110236220474" bottom="0.55118110236220474" header="0.31496062992125984" footer="0.31496062992125984"/>
  <pageSetup paperSize="9" scale="95" fitToHeight="0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48"/>
  <sheetViews>
    <sheetView tabSelected="1" zoomScaleNormal="100" workbookViewId="0">
      <pane xSplit="2" ySplit="4" topLeftCell="I450" activePane="bottomRight" state="frozen"/>
      <selection pane="topRight" activeCell="C1" sqref="C1"/>
      <selection pane="bottomLeft" activeCell="A7" sqref="A7"/>
      <selection pane="bottomRight" activeCell="AC1429" sqref="AC1429"/>
    </sheetView>
  </sheetViews>
  <sheetFormatPr defaultRowHeight="12.75" x14ac:dyDescent="0.2"/>
  <cols>
    <col min="1" max="1" width="9.7109375" style="1" customWidth="1"/>
    <col min="2" max="2" width="37.7109375" style="1" customWidth="1"/>
    <col min="3" max="3" width="9.5703125" style="1" hidden="1" customWidth="1"/>
    <col min="4" max="4" width="10.5703125" style="1" hidden="1" customWidth="1"/>
    <col min="5" max="5" width="11.85546875" style="1" hidden="1" customWidth="1"/>
    <col min="6" max="6" width="11" style="1" hidden="1" customWidth="1"/>
    <col min="7" max="7" width="10.7109375" style="1" hidden="1" customWidth="1"/>
    <col min="8" max="8" width="10.85546875" style="1" hidden="1" customWidth="1"/>
    <col min="9" max="11" width="11.85546875" style="1" customWidth="1"/>
    <col min="12" max="13" width="9.140625" style="1"/>
    <col min="14" max="14" width="11.7109375" style="1" bestFit="1" customWidth="1"/>
    <col min="15" max="16384" width="9.140625" style="1"/>
  </cols>
  <sheetData>
    <row r="1" spans="1:11" ht="18" customHeight="1" x14ac:dyDescent="0.2">
      <c r="A1" s="25"/>
      <c r="B1" s="25"/>
      <c r="C1" s="22"/>
      <c r="D1" s="22"/>
      <c r="E1" s="22"/>
      <c r="F1" s="490"/>
      <c r="G1" s="22"/>
      <c r="H1" s="22"/>
      <c r="I1" s="22"/>
      <c r="J1" s="22"/>
      <c r="K1" s="22" t="s">
        <v>453</v>
      </c>
    </row>
    <row r="2" spans="1:11" ht="31.5" customHeight="1" x14ac:dyDescent="0.25">
      <c r="A2" s="716" t="s">
        <v>413</v>
      </c>
      <c r="B2" s="716"/>
      <c r="C2" s="716"/>
      <c r="D2" s="716"/>
      <c r="E2" s="716"/>
      <c r="F2" s="716"/>
      <c r="G2" s="716"/>
      <c r="H2" s="716"/>
      <c r="I2" s="716"/>
      <c r="J2" s="716"/>
      <c r="K2" s="716"/>
    </row>
    <row r="3" spans="1:11" ht="20.25" customHeight="1" x14ac:dyDescent="0.2">
      <c r="A3" s="25"/>
      <c r="B3" s="25"/>
      <c r="C3" s="717" t="s">
        <v>376</v>
      </c>
      <c r="D3" s="717"/>
      <c r="E3" s="717"/>
      <c r="F3" s="717"/>
      <c r="G3" s="717"/>
      <c r="H3" s="717"/>
      <c r="I3" s="717"/>
      <c r="J3" s="717"/>
      <c r="K3" s="717"/>
    </row>
    <row r="4" spans="1:11" ht="37.5" customHeight="1" x14ac:dyDescent="0.2">
      <c r="A4" s="492" t="s">
        <v>92</v>
      </c>
      <c r="B4" s="492" t="s">
        <v>93</v>
      </c>
      <c r="C4" s="493" t="s">
        <v>382</v>
      </c>
      <c r="D4" s="494" t="s">
        <v>387</v>
      </c>
      <c r="E4" s="494" t="s">
        <v>388</v>
      </c>
      <c r="F4" s="494" t="s">
        <v>429</v>
      </c>
      <c r="G4" s="494" t="s">
        <v>379</v>
      </c>
      <c r="H4" s="494" t="s">
        <v>380</v>
      </c>
      <c r="I4" s="494" t="s">
        <v>318</v>
      </c>
      <c r="J4" s="494" t="s">
        <v>319</v>
      </c>
      <c r="K4" s="494" t="s">
        <v>381</v>
      </c>
    </row>
    <row r="5" spans="1:11" s="2" customFormat="1" ht="24" customHeight="1" x14ac:dyDescent="0.2">
      <c r="A5" s="495" t="s">
        <v>90</v>
      </c>
      <c r="B5" s="496" t="s">
        <v>0</v>
      </c>
      <c r="C5" s="497">
        <f t="shared" ref="C5:K5" si="0">SUM(C6)</f>
        <v>193145315</v>
      </c>
      <c r="D5" s="497">
        <f t="shared" si="0"/>
        <v>62225200</v>
      </c>
      <c r="E5" s="497">
        <f t="shared" si="0"/>
        <v>24935000</v>
      </c>
      <c r="F5" s="497">
        <f t="shared" si="0"/>
        <v>155855115</v>
      </c>
      <c r="G5" s="497">
        <f t="shared" si="0"/>
        <v>114512000</v>
      </c>
      <c r="H5" s="497">
        <f t="shared" si="0"/>
        <v>119864000</v>
      </c>
      <c r="I5" s="497">
        <f t="shared" si="0"/>
        <v>131313000</v>
      </c>
      <c r="J5" s="497">
        <f t="shared" si="0"/>
        <v>206622000</v>
      </c>
      <c r="K5" s="497">
        <f t="shared" si="0"/>
        <v>141133000</v>
      </c>
    </row>
    <row r="6" spans="1:11" s="2" customFormat="1" ht="24" customHeight="1" x14ac:dyDescent="0.2">
      <c r="A6" s="498" t="s">
        <v>91</v>
      </c>
      <c r="B6" s="499" t="s">
        <v>0</v>
      </c>
      <c r="C6" s="500">
        <f t="shared" ref="C6:K6" si="1">SUM(C7,C72,C99,C128,C136,C153,C157,C195,C264,C310,C370,C392,C413,C452,C488,C549,C573,C590,C595,C617,C685,C697,C702,C707,C759,C812,C879,C916,C927,C955,C975,C1000,C1006,C1053,C1097,C1147,C1193,C1219,C1243,C1262,C1394,C1289,C1308,C1328,C1333,C1341)</f>
        <v>193145315</v>
      </c>
      <c r="D6" s="500">
        <f t="shared" si="1"/>
        <v>62225200</v>
      </c>
      <c r="E6" s="500">
        <f t="shared" si="1"/>
        <v>24935000</v>
      </c>
      <c r="F6" s="500">
        <f t="shared" si="1"/>
        <v>155855115</v>
      </c>
      <c r="G6" s="500">
        <f t="shared" si="1"/>
        <v>114512000</v>
      </c>
      <c r="H6" s="500">
        <f t="shared" si="1"/>
        <v>119864000</v>
      </c>
      <c r="I6" s="500">
        <f t="shared" si="1"/>
        <v>131313000</v>
      </c>
      <c r="J6" s="500">
        <f t="shared" si="1"/>
        <v>206622000</v>
      </c>
      <c r="K6" s="500">
        <f t="shared" si="1"/>
        <v>141133000</v>
      </c>
    </row>
    <row r="7" spans="1:11" ht="24.95" customHeight="1" x14ac:dyDescent="0.2">
      <c r="A7" s="501" t="s">
        <v>2</v>
      </c>
      <c r="B7" s="502" t="s">
        <v>3</v>
      </c>
      <c r="C7" s="503">
        <f>SUM(C8,C12,C16,C33,C46)</f>
        <v>28397000</v>
      </c>
      <c r="D7" s="503">
        <f t="shared" ref="D7:F7" si="2">SUM(D8,D12,D16,D33,D46)</f>
        <v>105000</v>
      </c>
      <c r="E7" s="503">
        <f t="shared" si="2"/>
        <v>16616000</v>
      </c>
      <c r="F7" s="503">
        <f t="shared" si="2"/>
        <v>44908000</v>
      </c>
      <c r="G7" s="503">
        <f t="shared" ref="G7:H7" si="3">SUM(G8,G12,G16,G33,G46)</f>
        <v>28406000</v>
      </c>
      <c r="H7" s="503">
        <f t="shared" si="3"/>
        <v>28406000</v>
      </c>
      <c r="I7" s="503">
        <f t="shared" ref="I7:K7" si="4">SUM(I8,I12,I16,I33,I46)</f>
        <v>28406000</v>
      </c>
      <c r="J7" s="503">
        <f t="shared" si="4"/>
        <v>28406000</v>
      </c>
      <c r="K7" s="503">
        <f t="shared" si="4"/>
        <v>28406000</v>
      </c>
    </row>
    <row r="8" spans="1:11" ht="18" customHeight="1" x14ac:dyDescent="0.2">
      <c r="A8" s="714" t="s">
        <v>94</v>
      </c>
      <c r="B8" s="715"/>
      <c r="C8" s="504">
        <f>SUM(C9)</f>
        <v>1600000</v>
      </c>
      <c r="D8" s="504">
        <f t="shared" ref="D8:K9" si="5">SUM(D9)</f>
        <v>0</v>
      </c>
      <c r="E8" s="504">
        <f t="shared" si="5"/>
        <v>500000</v>
      </c>
      <c r="F8" s="504">
        <f t="shared" si="5"/>
        <v>2100000</v>
      </c>
      <c r="G8" s="504">
        <f t="shared" si="5"/>
        <v>1600000</v>
      </c>
      <c r="H8" s="504">
        <f t="shared" si="5"/>
        <v>1600000</v>
      </c>
      <c r="I8" s="504">
        <f t="shared" si="5"/>
        <v>1600000</v>
      </c>
      <c r="J8" s="504">
        <f t="shared" si="5"/>
        <v>1600000</v>
      </c>
      <c r="K8" s="504">
        <f t="shared" si="5"/>
        <v>1600000</v>
      </c>
    </row>
    <row r="9" spans="1:11" ht="18.75" customHeight="1" x14ac:dyDescent="0.2">
      <c r="A9" s="505" t="s">
        <v>324</v>
      </c>
      <c r="B9" s="506" t="s">
        <v>325</v>
      </c>
      <c r="C9" s="507">
        <f>SUM(C10)</f>
        <v>1600000</v>
      </c>
      <c r="D9" s="507">
        <f t="shared" si="5"/>
        <v>0</v>
      </c>
      <c r="E9" s="507">
        <f t="shared" si="5"/>
        <v>500000</v>
      </c>
      <c r="F9" s="507">
        <f t="shared" si="5"/>
        <v>2100000</v>
      </c>
      <c r="G9" s="507">
        <f t="shared" si="5"/>
        <v>1600000</v>
      </c>
      <c r="H9" s="507">
        <f t="shared" si="5"/>
        <v>1600000</v>
      </c>
      <c r="I9" s="507">
        <f t="shared" si="5"/>
        <v>1600000</v>
      </c>
      <c r="J9" s="507">
        <f t="shared" si="5"/>
        <v>1600000</v>
      </c>
      <c r="K9" s="507">
        <f t="shared" si="5"/>
        <v>1600000</v>
      </c>
    </row>
    <row r="10" spans="1:11" x14ac:dyDescent="0.2">
      <c r="A10" s="508">
        <v>322</v>
      </c>
      <c r="B10" s="509" t="s">
        <v>16</v>
      </c>
      <c r="C10" s="510">
        <f t="shared" ref="C10:K10" si="6">SUM(C11)</f>
        <v>1600000</v>
      </c>
      <c r="D10" s="510">
        <f t="shared" si="6"/>
        <v>0</v>
      </c>
      <c r="E10" s="510">
        <f t="shared" si="6"/>
        <v>500000</v>
      </c>
      <c r="F10" s="510">
        <f t="shared" si="6"/>
        <v>2100000</v>
      </c>
      <c r="G10" s="510">
        <f t="shared" si="6"/>
        <v>1600000</v>
      </c>
      <c r="H10" s="510">
        <f t="shared" si="6"/>
        <v>1600000</v>
      </c>
      <c r="I10" s="510">
        <f t="shared" si="6"/>
        <v>1600000</v>
      </c>
      <c r="J10" s="510">
        <f t="shared" si="6"/>
        <v>1600000</v>
      </c>
      <c r="K10" s="510">
        <f t="shared" si="6"/>
        <v>1600000</v>
      </c>
    </row>
    <row r="11" spans="1:11" x14ac:dyDescent="0.2">
      <c r="A11" s="511">
        <v>3222</v>
      </c>
      <c r="B11" s="512" t="s">
        <v>18</v>
      </c>
      <c r="C11" s="513">
        <v>1600000</v>
      </c>
      <c r="D11" s="513"/>
      <c r="E11" s="514">
        <v>500000</v>
      </c>
      <c r="F11" s="513">
        <f>C11-D11+E11</f>
        <v>2100000</v>
      </c>
      <c r="G11" s="513">
        <v>1600000</v>
      </c>
      <c r="H11" s="513">
        <v>1600000</v>
      </c>
      <c r="I11" s="513">
        <v>1600000</v>
      </c>
      <c r="J11" s="513">
        <v>1600000</v>
      </c>
      <c r="K11" s="513">
        <v>1600000</v>
      </c>
    </row>
    <row r="12" spans="1:11" customFormat="1" ht="18" customHeight="1" x14ac:dyDescent="0.25">
      <c r="A12" s="710" t="s">
        <v>97</v>
      </c>
      <c r="B12" s="710"/>
      <c r="C12" s="515">
        <f>SUM(C13)</f>
        <v>26550000</v>
      </c>
      <c r="D12" s="515">
        <f t="shared" ref="D12:K13" si="7">SUM(D13)</f>
        <v>0</v>
      </c>
      <c r="E12" s="515">
        <f t="shared" si="7"/>
        <v>15950000</v>
      </c>
      <c r="F12" s="515">
        <f t="shared" si="7"/>
        <v>42500000</v>
      </c>
      <c r="G12" s="515">
        <f t="shared" si="7"/>
        <v>26550000</v>
      </c>
      <c r="H12" s="515">
        <f t="shared" si="7"/>
        <v>26550000</v>
      </c>
      <c r="I12" s="515">
        <f t="shared" si="7"/>
        <v>26550000</v>
      </c>
      <c r="J12" s="515">
        <f t="shared" si="7"/>
        <v>26550000</v>
      </c>
      <c r="K12" s="515">
        <f t="shared" si="7"/>
        <v>26550000</v>
      </c>
    </row>
    <row r="13" spans="1:11" customFormat="1" ht="18" customHeight="1" x14ac:dyDescent="0.25">
      <c r="A13" s="505" t="s">
        <v>324</v>
      </c>
      <c r="B13" s="506" t="s">
        <v>325</v>
      </c>
      <c r="C13" s="507">
        <f>SUM(C14)</f>
        <v>26550000</v>
      </c>
      <c r="D13" s="507">
        <f t="shared" si="7"/>
        <v>0</v>
      </c>
      <c r="E13" s="507">
        <f t="shared" si="7"/>
        <v>15950000</v>
      </c>
      <c r="F13" s="507">
        <f t="shared" si="7"/>
        <v>42500000</v>
      </c>
      <c r="G13" s="507">
        <f t="shared" si="7"/>
        <v>26550000</v>
      </c>
      <c r="H13" s="507">
        <f t="shared" si="7"/>
        <v>26550000</v>
      </c>
      <c r="I13" s="507">
        <f t="shared" si="7"/>
        <v>26550000</v>
      </c>
      <c r="J13" s="507">
        <f t="shared" si="7"/>
        <v>26550000</v>
      </c>
      <c r="K13" s="507">
        <f t="shared" si="7"/>
        <v>26550000</v>
      </c>
    </row>
    <row r="14" spans="1:11" customFormat="1" ht="15" x14ac:dyDescent="0.25">
      <c r="A14" s="508">
        <v>323</v>
      </c>
      <c r="B14" s="509" t="s">
        <v>23</v>
      </c>
      <c r="C14" s="510">
        <f t="shared" ref="C14:K14" si="8">SUM(C15)</f>
        <v>26550000</v>
      </c>
      <c r="D14" s="510">
        <f t="shared" si="8"/>
        <v>0</v>
      </c>
      <c r="E14" s="510">
        <f t="shared" si="8"/>
        <v>15950000</v>
      </c>
      <c r="F14" s="510">
        <f t="shared" si="8"/>
        <v>42500000</v>
      </c>
      <c r="G14" s="510">
        <f t="shared" si="8"/>
        <v>26550000</v>
      </c>
      <c r="H14" s="510">
        <f t="shared" si="8"/>
        <v>26550000</v>
      </c>
      <c r="I14" s="510">
        <f t="shared" si="8"/>
        <v>26550000</v>
      </c>
      <c r="J14" s="510">
        <f t="shared" si="8"/>
        <v>26550000</v>
      </c>
      <c r="K14" s="510">
        <f t="shared" si="8"/>
        <v>26550000</v>
      </c>
    </row>
    <row r="15" spans="1:11" customFormat="1" ht="15" x14ac:dyDescent="0.25">
      <c r="A15" s="511">
        <v>3239</v>
      </c>
      <c r="B15" s="512" t="s">
        <v>31</v>
      </c>
      <c r="C15" s="513">
        <v>26550000</v>
      </c>
      <c r="D15" s="513"/>
      <c r="E15" s="514">
        <v>15950000</v>
      </c>
      <c r="F15" s="513">
        <f>C15-D15+E15</f>
        <v>42500000</v>
      </c>
      <c r="G15" s="513">
        <v>26550000</v>
      </c>
      <c r="H15" s="513">
        <v>26550000</v>
      </c>
      <c r="I15" s="513">
        <v>26550000</v>
      </c>
      <c r="J15" s="513">
        <v>26550000</v>
      </c>
      <c r="K15" s="513">
        <v>26550000</v>
      </c>
    </row>
    <row r="16" spans="1:11" customFormat="1" ht="18" customHeight="1" x14ac:dyDescent="0.25">
      <c r="A16" s="710" t="s">
        <v>106</v>
      </c>
      <c r="B16" s="710"/>
      <c r="C16" s="504">
        <f>SUM(C17,C20,C30)</f>
        <v>149000</v>
      </c>
      <c r="D16" s="504">
        <f t="shared" ref="D16:F16" si="9">SUM(D17,D20,D30)</f>
        <v>80000</v>
      </c>
      <c r="E16" s="504">
        <f t="shared" si="9"/>
        <v>10000</v>
      </c>
      <c r="F16" s="504">
        <f t="shared" si="9"/>
        <v>79000</v>
      </c>
      <c r="G16" s="504">
        <f t="shared" ref="G16:H16" si="10">SUM(G17,G20,G30)</f>
        <v>149000</v>
      </c>
      <c r="H16" s="504">
        <f t="shared" si="10"/>
        <v>149000</v>
      </c>
      <c r="I16" s="504">
        <f t="shared" ref="I16:K16" si="11">SUM(I17,I20,I30)</f>
        <v>149000</v>
      </c>
      <c r="J16" s="504">
        <f t="shared" si="11"/>
        <v>149000</v>
      </c>
      <c r="K16" s="504">
        <f t="shared" si="11"/>
        <v>149000</v>
      </c>
    </row>
    <row r="17" spans="1:11" customFormat="1" ht="18" customHeight="1" x14ac:dyDescent="0.25">
      <c r="A17" s="516" t="s">
        <v>322</v>
      </c>
      <c r="B17" s="517" t="s">
        <v>323</v>
      </c>
      <c r="C17" s="518">
        <f>SUM(C18)</f>
        <v>7000</v>
      </c>
      <c r="D17" s="518">
        <f t="shared" ref="D17:K17" si="12">SUM(D18)</f>
        <v>0</v>
      </c>
      <c r="E17" s="518">
        <f t="shared" si="12"/>
        <v>0</v>
      </c>
      <c r="F17" s="518">
        <f t="shared" si="12"/>
        <v>7000</v>
      </c>
      <c r="G17" s="518">
        <f t="shared" si="12"/>
        <v>7000</v>
      </c>
      <c r="H17" s="518">
        <f t="shared" si="12"/>
        <v>7000</v>
      </c>
      <c r="I17" s="518">
        <f t="shared" si="12"/>
        <v>7000</v>
      </c>
      <c r="J17" s="518">
        <f t="shared" si="12"/>
        <v>7000</v>
      </c>
      <c r="K17" s="518">
        <f t="shared" si="12"/>
        <v>7000</v>
      </c>
    </row>
    <row r="18" spans="1:11" customFormat="1" ht="18" customHeight="1" x14ac:dyDescent="0.25">
      <c r="A18" s="519">
        <v>311</v>
      </c>
      <c r="B18" s="509" t="s">
        <v>5</v>
      </c>
      <c r="C18" s="510">
        <f t="shared" ref="C18:K18" si="13">SUM(C19)</f>
        <v>7000</v>
      </c>
      <c r="D18" s="510">
        <f t="shared" si="13"/>
        <v>0</v>
      </c>
      <c r="E18" s="510">
        <f t="shared" si="13"/>
        <v>0</v>
      </c>
      <c r="F18" s="510">
        <f t="shared" si="13"/>
        <v>7000</v>
      </c>
      <c r="G18" s="510">
        <f t="shared" si="13"/>
        <v>7000</v>
      </c>
      <c r="H18" s="510">
        <f t="shared" si="13"/>
        <v>7000</v>
      </c>
      <c r="I18" s="510">
        <f t="shared" si="13"/>
        <v>7000</v>
      </c>
      <c r="J18" s="510">
        <f t="shared" si="13"/>
        <v>7000</v>
      </c>
      <c r="K18" s="510">
        <f t="shared" si="13"/>
        <v>7000</v>
      </c>
    </row>
    <row r="19" spans="1:11" customFormat="1" ht="18" customHeight="1" x14ac:dyDescent="0.25">
      <c r="A19" s="520">
        <v>3111</v>
      </c>
      <c r="B19" s="521" t="s">
        <v>5</v>
      </c>
      <c r="C19" s="513">
        <v>7000</v>
      </c>
      <c r="D19" s="513"/>
      <c r="E19" s="513"/>
      <c r="F19" s="513">
        <f>C19-D19+E19</f>
        <v>7000</v>
      </c>
      <c r="G19" s="513">
        <v>7000</v>
      </c>
      <c r="H19" s="513">
        <v>7000</v>
      </c>
      <c r="I19" s="513">
        <v>7000</v>
      </c>
      <c r="J19" s="513">
        <v>7000</v>
      </c>
      <c r="K19" s="513">
        <v>7000</v>
      </c>
    </row>
    <row r="20" spans="1:11" customFormat="1" ht="18" customHeight="1" x14ac:dyDescent="0.25">
      <c r="A20" s="505" t="s">
        <v>324</v>
      </c>
      <c r="B20" s="506" t="s">
        <v>325</v>
      </c>
      <c r="C20" s="507">
        <f>SUM(C21,C24)</f>
        <v>135000</v>
      </c>
      <c r="D20" s="507">
        <f>SUM(D21,D24)</f>
        <v>80000</v>
      </c>
      <c r="E20" s="507">
        <f>SUM(E21,E24)</f>
        <v>10000</v>
      </c>
      <c r="F20" s="507">
        <f>SUM(F21,F24)</f>
        <v>65000</v>
      </c>
      <c r="G20" s="507">
        <f t="shared" ref="G20:K20" si="14">SUM(G21,G24)</f>
        <v>135000</v>
      </c>
      <c r="H20" s="507">
        <f t="shared" si="14"/>
        <v>135000</v>
      </c>
      <c r="I20" s="507">
        <f t="shared" si="14"/>
        <v>135000</v>
      </c>
      <c r="J20" s="507">
        <f t="shared" si="14"/>
        <v>135000</v>
      </c>
      <c r="K20" s="507">
        <f t="shared" si="14"/>
        <v>135000</v>
      </c>
    </row>
    <row r="21" spans="1:11" customFormat="1" ht="15" x14ac:dyDescent="0.25">
      <c r="A21" s="519">
        <v>321</v>
      </c>
      <c r="B21" s="509" t="s">
        <v>12</v>
      </c>
      <c r="C21" s="510">
        <f>SUM(C22:C23)</f>
        <v>135000</v>
      </c>
      <c r="D21" s="510">
        <f t="shared" ref="D21:F21" si="15">SUM(D22:D23)</f>
        <v>80000</v>
      </c>
      <c r="E21" s="510">
        <f t="shared" si="15"/>
        <v>0</v>
      </c>
      <c r="F21" s="510">
        <f t="shared" si="15"/>
        <v>55000</v>
      </c>
      <c r="G21" s="510">
        <f t="shared" ref="G21:H21" si="16">SUM(G22:G23)</f>
        <v>135000</v>
      </c>
      <c r="H21" s="510">
        <f t="shared" si="16"/>
        <v>135000</v>
      </c>
      <c r="I21" s="510">
        <f t="shared" ref="I21:J21" si="17">SUM(I22:I23)</f>
        <v>135000</v>
      </c>
      <c r="J21" s="510">
        <f t="shared" si="17"/>
        <v>135000</v>
      </c>
      <c r="K21" s="510">
        <f t="shared" ref="K21" si="18">SUM(K22:K23)</f>
        <v>135000</v>
      </c>
    </row>
    <row r="22" spans="1:11" customFormat="1" ht="15" x14ac:dyDescent="0.25">
      <c r="A22" s="520">
        <v>3211</v>
      </c>
      <c r="B22" s="521" t="s">
        <v>13</v>
      </c>
      <c r="C22" s="522">
        <v>133000</v>
      </c>
      <c r="D22" s="522">
        <v>80000</v>
      </c>
      <c r="E22" s="522"/>
      <c r="F22" s="513">
        <f t="shared" ref="F22:F25" si="19">C22-D22+E22</f>
        <v>53000</v>
      </c>
      <c r="G22" s="522">
        <v>133000</v>
      </c>
      <c r="H22" s="522">
        <v>133000</v>
      </c>
      <c r="I22" s="522">
        <v>133000</v>
      </c>
      <c r="J22" s="522">
        <v>133000</v>
      </c>
      <c r="K22" s="522">
        <v>133000</v>
      </c>
    </row>
    <row r="23" spans="1:11" customFormat="1" ht="15" x14ac:dyDescent="0.25">
      <c r="A23" s="520">
        <v>3214</v>
      </c>
      <c r="B23" s="521" t="s">
        <v>121</v>
      </c>
      <c r="C23" s="513">
        <v>2000</v>
      </c>
      <c r="D23" s="513"/>
      <c r="E23" s="513"/>
      <c r="F23" s="513">
        <f t="shared" si="19"/>
        <v>2000</v>
      </c>
      <c r="G23" s="513">
        <v>2000</v>
      </c>
      <c r="H23" s="513">
        <v>2000</v>
      </c>
      <c r="I23" s="513">
        <v>2000</v>
      </c>
      <c r="J23" s="513">
        <v>2000</v>
      </c>
      <c r="K23" s="513">
        <v>2000</v>
      </c>
    </row>
    <row r="24" spans="1:11" customFormat="1" ht="15" customHeight="1" x14ac:dyDescent="0.25">
      <c r="A24" s="519">
        <v>322</v>
      </c>
      <c r="B24" s="509" t="s">
        <v>16</v>
      </c>
      <c r="C24" s="510">
        <f t="shared" ref="C24:K26" si="20">SUM(C25)</f>
        <v>0</v>
      </c>
      <c r="D24" s="510">
        <f t="shared" si="20"/>
        <v>0</v>
      </c>
      <c r="E24" s="510">
        <f t="shared" si="20"/>
        <v>10000</v>
      </c>
      <c r="F24" s="510">
        <f t="shared" si="20"/>
        <v>10000</v>
      </c>
      <c r="G24" s="510">
        <f t="shared" si="20"/>
        <v>0</v>
      </c>
      <c r="H24" s="510">
        <f t="shared" si="20"/>
        <v>0</v>
      </c>
      <c r="I24" s="510">
        <f t="shared" si="20"/>
        <v>0</v>
      </c>
      <c r="J24" s="510">
        <f t="shared" si="20"/>
        <v>0</v>
      </c>
      <c r="K24" s="510">
        <f t="shared" si="20"/>
        <v>0</v>
      </c>
    </row>
    <row r="25" spans="1:11" customFormat="1" ht="11.25" customHeight="1" x14ac:dyDescent="0.25">
      <c r="A25" s="520">
        <v>3223</v>
      </c>
      <c r="B25" s="521" t="s">
        <v>19</v>
      </c>
      <c r="C25" s="513"/>
      <c r="D25" s="513"/>
      <c r="E25" s="514">
        <v>10000</v>
      </c>
      <c r="F25" s="513">
        <f t="shared" si="19"/>
        <v>10000</v>
      </c>
      <c r="G25" s="513"/>
      <c r="H25" s="513"/>
      <c r="I25" s="513"/>
      <c r="J25" s="513"/>
      <c r="K25" s="513"/>
    </row>
    <row r="26" spans="1:11" customFormat="1" ht="15" hidden="1" customHeight="1" x14ac:dyDescent="0.25">
      <c r="A26" s="519">
        <v>329</v>
      </c>
      <c r="B26" s="509" t="s">
        <v>33</v>
      </c>
      <c r="C26" s="510">
        <f t="shared" si="20"/>
        <v>0</v>
      </c>
      <c r="D26" s="510">
        <f t="shared" si="20"/>
        <v>0</v>
      </c>
      <c r="E26" s="510"/>
      <c r="F26" s="510"/>
      <c r="G26" s="510"/>
      <c r="H26" s="510"/>
      <c r="I26" s="510"/>
      <c r="J26" s="510"/>
      <c r="K26" s="510"/>
    </row>
    <row r="27" spans="1:11" customFormat="1" ht="14.25" hidden="1" customHeight="1" x14ac:dyDescent="0.25">
      <c r="A27" s="520">
        <v>3292</v>
      </c>
      <c r="B27" s="521" t="s">
        <v>35</v>
      </c>
      <c r="C27" s="513"/>
      <c r="D27" s="513"/>
      <c r="E27" s="513"/>
      <c r="F27" s="513"/>
      <c r="G27" s="513"/>
      <c r="H27" s="513"/>
      <c r="I27" s="513"/>
      <c r="J27" s="513"/>
      <c r="K27" s="513"/>
    </row>
    <row r="28" spans="1:11" s="6" customFormat="1" ht="14.25" hidden="1" customHeight="1" x14ac:dyDescent="0.25">
      <c r="A28" s="519">
        <v>412</v>
      </c>
      <c r="B28" s="523" t="s">
        <v>67</v>
      </c>
      <c r="C28" s="510">
        <f t="shared" ref="C28:D28" si="21">SUM(C29)</f>
        <v>0</v>
      </c>
      <c r="D28" s="510">
        <f t="shared" si="21"/>
        <v>0</v>
      </c>
      <c r="E28" s="510"/>
      <c r="F28" s="510"/>
      <c r="G28" s="510"/>
      <c r="H28" s="510"/>
      <c r="I28" s="510"/>
      <c r="J28" s="510"/>
      <c r="K28" s="510"/>
    </row>
    <row r="29" spans="1:11" customFormat="1" ht="14.25" hidden="1" customHeight="1" x14ac:dyDescent="0.25">
      <c r="A29" s="520">
        <v>4123</v>
      </c>
      <c r="B29" s="521" t="s">
        <v>68</v>
      </c>
      <c r="C29" s="513"/>
      <c r="D29" s="513"/>
      <c r="E29" s="513"/>
      <c r="F29" s="513"/>
      <c r="G29" s="513"/>
      <c r="H29" s="513"/>
      <c r="I29" s="513"/>
      <c r="J29" s="513"/>
      <c r="K29" s="513"/>
    </row>
    <row r="30" spans="1:11" customFormat="1" ht="25.5" x14ac:dyDescent="0.25">
      <c r="A30" s="524" t="s">
        <v>330</v>
      </c>
      <c r="B30" s="517" t="s">
        <v>331</v>
      </c>
      <c r="C30" s="507">
        <f>SUM(C31)</f>
        <v>7000</v>
      </c>
      <c r="D30" s="507">
        <f t="shared" ref="D30:K30" si="22">SUM(D31)</f>
        <v>0</v>
      </c>
      <c r="E30" s="507">
        <f t="shared" si="22"/>
        <v>0</v>
      </c>
      <c r="F30" s="507">
        <f t="shared" si="22"/>
        <v>7000</v>
      </c>
      <c r="G30" s="507">
        <f t="shared" si="22"/>
        <v>7000</v>
      </c>
      <c r="H30" s="507">
        <f t="shared" si="22"/>
        <v>7000</v>
      </c>
      <c r="I30" s="507">
        <f t="shared" si="22"/>
        <v>7000</v>
      </c>
      <c r="J30" s="507">
        <f t="shared" si="22"/>
        <v>7000</v>
      </c>
      <c r="K30" s="507">
        <f t="shared" si="22"/>
        <v>7000</v>
      </c>
    </row>
    <row r="31" spans="1:11" customFormat="1" ht="15" x14ac:dyDescent="0.25">
      <c r="A31" s="519">
        <v>422</v>
      </c>
      <c r="B31" s="523" t="s">
        <v>53</v>
      </c>
      <c r="C31" s="510">
        <f t="shared" ref="C31:K31" si="23">SUM(C32)</f>
        <v>7000</v>
      </c>
      <c r="D31" s="510">
        <f t="shared" si="23"/>
        <v>0</v>
      </c>
      <c r="E31" s="510">
        <f t="shared" si="23"/>
        <v>0</v>
      </c>
      <c r="F31" s="510">
        <f t="shared" si="23"/>
        <v>7000</v>
      </c>
      <c r="G31" s="510">
        <f t="shared" si="23"/>
        <v>7000</v>
      </c>
      <c r="H31" s="510">
        <f t="shared" si="23"/>
        <v>7000</v>
      </c>
      <c r="I31" s="510">
        <f t="shared" si="23"/>
        <v>7000</v>
      </c>
      <c r="J31" s="510">
        <f t="shared" si="23"/>
        <v>7000</v>
      </c>
      <c r="K31" s="510">
        <f t="shared" si="23"/>
        <v>7000</v>
      </c>
    </row>
    <row r="32" spans="1:11" customFormat="1" ht="15" x14ac:dyDescent="0.25">
      <c r="A32" s="520">
        <v>4223</v>
      </c>
      <c r="B32" s="521" t="s">
        <v>59</v>
      </c>
      <c r="C32" s="513">
        <v>7000</v>
      </c>
      <c r="D32" s="513"/>
      <c r="E32" s="513"/>
      <c r="F32" s="513">
        <f t="shared" ref="F32" si="24">C32-D32+E32</f>
        <v>7000</v>
      </c>
      <c r="G32" s="513">
        <v>7000</v>
      </c>
      <c r="H32" s="513">
        <v>7000</v>
      </c>
      <c r="I32" s="513">
        <v>7000</v>
      </c>
      <c r="J32" s="513">
        <v>7000</v>
      </c>
      <c r="K32" s="513">
        <v>7000</v>
      </c>
    </row>
    <row r="33" spans="1:11" customFormat="1" ht="18" customHeight="1" x14ac:dyDescent="0.25">
      <c r="A33" s="710" t="s">
        <v>113</v>
      </c>
      <c r="B33" s="710"/>
      <c r="C33" s="504">
        <f t="shared" ref="C33:F33" si="25">SUM(C37,C41,C34)</f>
        <v>40000</v>
      </c>
      <c r="D33" s="504">
        <f t="shared" si="25"/>
        <v>25000</v>
      </c>
      <c r="E33" s="504">
        <f t="shared" si="25"/>
        <v>34000</v>
      </c>
      <c r="F33" s="504">
        <f t="shared" si="25"/>
        <v>49000</v>
      </c>
      <c r="G33" s="504">
        <f t="shared" ref="G33:H33" si="26">SUM(G37,G41,G34)</f>
        <v>40000</v>
      </c>
      <c r="H33" s="504">
        <f t="shared" si="26"/>
        <v>40000</v>
      </c>
      <c r="I33" s="504">
        <f>SUM(I36,I41,I34)</f>
        <v>40000</v>
      </c>
      <c r="J33" s="504">
        <f t="shared" ref="J33:K33" si="27">SUM(J36,J41,J34)</f>
        <v>40000</v>
      </c>
      <c r="K33" s="504">
        <f t="shared" si="27"/>
        <v>40000</v>
      </c>
    </row>
    <row r="34" spans="1:11" customFormat="1" ht="15" hidden="1" customHeight="1" x14ac:dyDescent="0.25">
      <c r="A34" s="508">
        <v>322</v>
      </c>
      <c r="B34" s="509" t="s">
        <v>16</v>
      </c>
      <c r="C34" s="525">
        <f t="shared" ref="C34:D34" si="28">SUM(C35)</f>
        <v>0</v>
      </c>
      <c r="D34" s="525">
        <f t="shared" si="28"/>
        <v>0</v>
      </c>
      <c r="E34" s="525"/>
      <c r="F34" s="525"/>
      <c r="G34" s="525"/>
      <c r="H34" s="525"/>
      <c r="I34" s="525"/>
      <c r="J34" s="525"/>
      <c r="K34" s="525"/>
    </row>
    <row r="35" spans="1:11" s="7" customFormat="1" ht="15" hidden="1" customHeight="1" x14ac:dyDescent="0.25">
      <c r="A35" s="511">
        <v>3224</v>
      </c>
      <c r="B35" s="512" t="s">
        <v>112</v>
      </c>
      <c r="C35" s="526"/>
      <c r="D35" s="526"/>
      <c r="E35" s="526"/>
      <c r="F35" s="526"/>
      <c r="G35" s="526"/>
      <c r="H35" s="526"/>
      <c r="I35" s="526"/>
      <c r="J35" s="526"/>
      <c r="K35" s="526"/>
    </row>
    <row r="36" spans="1:11" s="7" customFormat="1" ht="15" customHeight="1" x14ac:dyDescent="0.25">
      <c r="A36" s="505" t="s">
        <v>324</v>
      </c>
      <c r="B36" s="506" t="s">
        <v>325</v>
      </c>
      <c r="C36" s="507">
        <f>SUM(C37,C41)</f>
        <v>40000</v>
      </c>
      <c r="D36" s="507">
        <f t="shared" ref="D36:K36" si="29">SUM(D37,D41)</f>
        <v>25000</v>
      </c>
      <c r="E36" s="507">
        <f t="shared" si="29"/>
        <v>34000</v>
      </c>
      <c r="F36" s="507">
        <f t="shared" si="29"/>
        <v>49000</v>
      </c>
      <c r="G36" s="507">
        <f t="shared" si="29"/>
        <v>40000</v>
      </c>
      <c r="H36" s="507">
        <f t="shared" si="29"/>
        <v>40000</v>
      </c>
      <c r="I36" s="507">
        <f t="shared" si="29"/>
        <v>40000</v>
      </c>
      <c r="J36" s="507">
        <f t="shared" si="29"/>
        <v>40000</v>
      </c>
      <c r="K36" s="507">
        <f t="shared" si="29"/>
        <v>40000</v>
      </c>
    </row>
    <row r="37" spans="1:11" customFormat="1" ht="14.25" customHeight="1" x14ac:dyDescent="0.25">
      <c r="A37" s="508">
        <v>323</v>
      </c>
      <c r="B37" s="509" t="s">
        <v>23</v>
      </c>
      <c r="C37" s="525">
        <f t="shared" ref="C37:F37" si="30">SUM(C38:C40)</f>
        <v>40000</v>
      </c>
      <c r="D37" s="525">
        <f t="shared" si="30"/>
        <v>25000</v>
      </c>
      <c r="E37" s="525">
        <f t="shared" si="30"/>
        <v>0</v>
      </c>
      <c r="F37" s="525">
        <f t="shared" si="30"/>
        <v>15000</v>
      </c>
      <c r="G37" s="525">
        <f t="shared" ref="G37:H37" si="31">SUM(G38:G40)</f>
        <v>40000</v>
      </c>
      <c r="H37" s="525">
        <f t="shared" si="31"/>
        <v>40000</v>
      </c>
      <c r="I37" s="525">
        <f t="shared" ref="I37:J37" si="32">SUM(I38:I40)</f>
        <v>40000</v>
      </c>
      <c r="J37" s="525">
        <f t="shared" si="32"/>
        <v>40000</v>
      </c>
      <c r="K37" s="525">
        <f t="shared" ref="K37" si="33">SUM(K38:K40)</f>
        <v>40000</v>
      </c>
    </row>
    <row r="38" spans="1:11" customFormat="1" ht="15" hidden="1" customHeight="1" x14ac:dyDescent="0.25">
      <c r="A38" s="511" t="s">
        <v>161</v>
      </c>
      <c r="B38" s="512" t="s">
        <v>25</v>
      </c>
      <c r="C38" s="526"/>
      <c r="D38" s="526"/>
      <c r="E38" s="526"/>
      <c r="F38" s="526"/>
      <c r="G38" s="526"/>
      <c r="H38" s="526"/>
      <c r="I38" s="526"/>
      <c r="J38" s="526"/>
      <c r="K38" s="526"/>
    </row>
    <row r="39" spans="1:11" s="7" customFormat="1" ht="15" hidden="1" customHeight="1" x14ac:dyDescent="0.25">
      <c r="A39" s="511">
        <v>3237</v>
      </c>
      <c r="B39" s="527" t="s">
        <v>30</v>
      </c>
      <c r="C39" s="526"/>
      <c r="D39" s="526"/>
      <c r="E39" s="526"/>
      <c r="F39" s="526"/>
      <c r="G39" s="526"/>
      <c r="H39" s="526"/>
      <c r="I39" s="526"/>
      <c r="J39" s="526"/>
      <c r="K39" s="526"/>
    </row>
    <row r="40" spans="1:11" customFormat="1" ht="15" customHeight="1" x14ac:dyDescent="0.25">
      <c r="A40" s="511">
        <v>3239</v>
      </c>
      <c r="B40" s="512" t="s">
        <v>31</v>
      </c>
      <c r="C40" s="528">
        <v>40000</v>
      </c>
      <c r="D40" s="528">
        <v>25000</v>
      </c>
      <c r="E40" s="528"/>
      <c r="F40" s="513">
        <f t="shared" ref="F40:F42" si="34">C40-D40+E40</f>
        <v>15000</v>
      </c>
      <c r="G40" s="528">
        <v>40000</v>
      </c>
      <c r="H40" s="528">
        <v>40000</v>
      </c>
      <c r="I40" s="528">
        <v>40000</v>
      </c>
      <c r="J40" s="528">
        <v>40000</v>
      </c>
      <c r="K40" s="528">
        <v>40000</v>
      </c>
    </row>
    <row r="41" spans="1:11" customFormat="1" ht="22.5" customHeight="1" x14ac:dyDescent="0.25">
      <c r="A41" s="508">
        <v>329</v>
      </c>
      <c r="B41" s="529" t="s">
        <v>33</v>
      </c>
      <c r="C41" s="530">
        <f t="shared" ref="C41:K41" si="35">SUM(C42)</f>
        <v>0</v>
      </c>
      <c r="D41" s="530">
        <f t="shared" si="35"/>
        <v>0</v>
      </c>
      <c r="E41" s="530">
        <f t="shared" si="35"/>
        <v>34000</v>
      </c>
      <c r="F41" s="530">
        <f t="shared" si="35"/>
        <v>34000</v>
      </c>
      <c r="G41" s="530">
        <f t="shared" si="35"/>
        <v>0</v>
      </c>
      <c r="H41" s="530">
        <f t="shared" si="35"/>
        <v>0</v>
      </c>
      <c r="I41" s="530">
        <f t="shared" si="35"/>
        <v>0</v>
      </c>
      <c r="J41" s="530">
        <f t="shared" si="35"/>
        <v>0</v>
      </c>
      <c r="K41" s="530">
        <f t="shared" si="35"/>
        <v>0</v>
      </c>
    </row>
    <row r="42" spans="1:11" customFormat="1" ht="14.25" customHeight="1" x14ac:dyDescent="0.25">
      <c r="A42" s="511">
        <v>3299</v>
      </c>
      <c r="B42" s="512" t="s">
        <v>33</v>
      </c>
      <c r="C42" s="522">
        <v>0</v>
      </c>
      <c r="D42" s="522">
        <v>0</v>
      </c>
      <c r="E42" s="514">
        <v>34000</v>
      </c>
      <c r="F42" s="513">
        <f t="shared" si="34"/>
        <v>34000</v>
      </c>
      <c r="G42" s="522"/>
      <c r="H42" s="522"/>
      <c r="I42" s="522"/>
      <c r="J42" s="522"/>
      <c r="K42" s="522"/>
    </row>
    <row r="43" spans="1:11" customFormat="1" ht="18" hidden="1" customHeight="1" x14ac:dyDescent="0.25">
      <c r="A43" s="710" t="s">
        <v>232</v>
      </c>
      <c r="B43" s="710"/>
      <c r="C43" s="504">
        <f t="shared" ref="C43:D44" si="36">SUM(C44)</f>
        <v>0</v>
      </c>
      <c r="D43" s="504">
        <f t="shared" si="36"/>
        <v>0</v>
      </c>
      <c r="E43" s="504"/>
      <c r="F43" s="504"/>
      <c r="G43" s="504"/>
      <c r="H43" s="504"/>
      <c r="I43" s="504"/>
      <c r="J43" s="504"/>
      <c r="K43" s="504"/>
    </row>
    <row r="44" spans="1:11" customFormat="1" ht="15" hidden="1" x14ac:dyDescent="0.25">
      <c r="A44" s="519">
        <v>321</v>
      </c>
      <c r="B44" s="509" t="s">
        <v>12</v>
      </c>
      <c r="C44" s="510">
        <f t="shared" si="36"/>
        <v>0</v>
      </c>
      <c r="D44" s="510">
        <f t="shared" si="36"/>
        <v>0</v>
      </c>
      <c r="E44" s="510"/>
      <c r="F44" s="510"/>
      <c r="G44" s="510"/>
      <c r="H44" s="510"/>
      <c r="I44" s="510"/>
      <c r="J44" s="510"/>
      <c r="K44" s="510"/>
    </row>
    <row r="45" spans="1:11" customFormat="1" ht="15" hidden="1" x14ac:dyDescent="0.25">
      <c r="A45" s="520">
        <v>3211</v>
      </c>
      <c r="B45" s="521" t="s">
        <v>13</v>
      </c>
      <c r="C45" s="513"/>
      <c r="D45" s="513"/>
      <c r="E45" s="513"/>
      <c r="F45" s="513"/>
      <c r="G45" s="513"/>
      <c r="H45" s="513"/>
      <c r="I45" s="513"/>
      <c r="J45" s="513"/>
      <c r="K45" s="513"/>
    </row>
    <row r="46" spans="1:11" customFormat="1" ht="18.75" customHeight="1" x14ac:dyDescent="0.25">
      <c r="A46" s="710" t="s">
        <v>120</v>
      </c>
      <c r="B46" s="710"/>
      <c r="C46" s="504">
        <f>SUM(C54)</f>
        <v>58000</v>
      </c>
      <c r="D46" s="504">
        <f t="shared" ref="D46:F46" si="37">SUM(D54)</f>
        <v>0</v>
      </c>
      <c r="E46" s="504">
        <f t="shared" si="37"/>
        <v>122000</v>
      </c>
      <c r="F46" s="504">
        <f t="shared" si="37"/>
        <v>180000</v>
      </c>
      <c r="G46" s="504">
        <f t="shared" ref="G46:H46" si="38">SUM(G54)</f>
        <v>67000</v>
      </c>
      <c r="H46" s="504">
        <f t="shared" si="38"/>
        <v>67000</v>
      </c>
      <c r="I46" s="504">
        <f t="shared" ref="I46:K46" si="39">SUM(I54)</f>
        <v>67000</v>
      </c>
      <c r="J46" s="504">
        <f t="shared" si="39"/>
        <v>67000</v>
      </c>
      <c r="K46" s="504">
        <f t="shared" si="39"/>
        <v>67000</v>
      </c>
    </row>
    <row r="47" spans="1:11" hidden="1" x14ac:dyDescent="0.2">
      <c r="A47" s="508">
        <v>322</v>
      </c>
      <c r="B47" s="509" t="s">
        <v>16</v>
      </c>
      <c r="C47" s="510">
        <f t="shared" ref="C47:F47" si="40">SUM(C48:C53)</f>
        <v>0</v>
      </c>
      <c r="D47" s="510">
        <f t="shared" si="40"/>
        <v>0</v>
      </c>
      <c r="E47" s="510">
        <f t="shared" si="40"/>
        <v>0</v>
      </c>
      <c r="F47" s="510">
        <f t="shared" si="40"/>
        <v>0</v>
      </c>
      <c r="G47" s="510">
        <f t="shared" ref="G47:H47" si="41">SUM(G48:G53)</f>
        <v>0</v>
      </c>
      <c r="H47" s="510">
        <f t="shared" si="41"/>
        <v>0</v>
      </c>
      <c r="I47" s="510">
        <f t="shared" ref="I47:J47" si="42">SUM(I48:I53)</f>
        <v>0</v>
      </c>
      <c r="J47" s="510">
        <f t="shared" si="42"/>
        <v>0</v>
      </c>
      <c r="K47" s="510">
        <f t="shared" ref="K47" si="43">SUM(K48:K53)</f>
        <v>0</v>
      </c>
    </row>
    <row r="48" spans="1:11" hidden="1" x14ac:dyDescent="0.2">
      <c r="A48" s="511">
        <v>3221</v>
      </c>
      <c r="B48" s="512" t="s">
        <v>17</v>
      </c>
      <c r="C48" s="513"/>
      <c r="D48" s="513"/>
      <c r="E48" s="513"/>
      <c r="F48" s="513"/>
      <c r="G48" s="513"/>
      <c r="H48" s="513"/>
      <c r="I48" s="513"/>
      <c r="J48" s="513"/>
      <c r="K48" s="513"/>
    </row>
    <row r="49" spans="1:11" hidden="1" x14ac:dyDescent="0.2">
      <c r="A49" s="511">
        <v>3222</v>
      </c>
      <c r="B49" s="512" t="s">
        <v>18</v>
      </c>
      <c r="C49" s="513"/>
      <c r="D49" s="513"/>
      <c r="E49" s="513"/>
      <c r="F49" s="513"/>
      <c r="G49" s="513"/>
      <c r="H49" s="513"/>
      <c r="I49" s="513"/>
      <c r="J49" s="513"/>
      <c r="K49" s="513"/>
    </row>
    <row r="50" spans="1:11" hidden="1" x14ac:dyDescent="0.2">
      <c r="A50" s="511">
        <v>3223</v>
      </c>
      <c r="B50" s="512" t="s">
        <v>19</v>
      </c>
      <c r="C50" s="513"/>
      <c r="D50" s="513"/>
      <c r="E50" s="513"/>
      <c r="F50" s="513"/>
      <c r="G50" s="513"/>
      <c r="H50" s="513"/>
      <c r="I50" s="513"/>
      <c r="J50" s="513"/>
      <c r="K50" s="513"/>
    </row>
    <row r="51" spans="1:11" ht="25.5" hidden="1" x14ac:dyDescent="0.2">
      <c r="A51" s="511">
        <v>3224</v>
      </c>
      <c r="B51" s="512" t="s">
        <v>20</v>
      </c>
      <c r="C51" s="513"/>
      <c r="D51" s="513"/>
      <c r="E51" s="513"/>
      <c r="F51" s="513"/>
      <c r="G51" s="513"/>
      <c r="H51" s="513"/>
      <c r="I51" s="513"/>
      <c r="J51" s="513"/>
      <c r="K51" s="513"/>
    </row>
    <row r="52" spans="1:11" hidden="1" x14ac:dyDescent="0.2">
      <c r="A52" s="511">
        <v>3225</v>
      </c>
      <c r="B52" s="512" t="s">
        <v>21</v>
      </c>
      <c r="C52" s="513"/>
      <c r="D52" s="513"/>
      <c r="E52" s="513"/>
      <c r="F52" s="513"/>
      <c r="G52" s="513"/>
      <c r="H52" s="513"/>
      <c r="I52" s="513"/>
      <c r="J52" s="513"/>
      <c r="K52" s="513"/>
    </row>
    <row r="53" spans="1:11" hidden="1" x14ac:dyDescent="0.2">
      <c r="A53" s="511">
        <v>3227</v>
      </c>
      <c r="B53" s="512" t="s">
        <v>22</v>
      </c>
      <c r="C53" s="513"/>
      <c r="D53" s="513"/>
      <c r="E53" s="513"/>
      <c r="F53" s="513"/>
      <c r="G53" s="513"/>
      <c r="H53" s="513"/>
      <c r="I53" s="513"/>
      <c r="J53" s="513"/>
      <c r="K53" s="513"/>
    </row>
    <row r="54" spans="1:11" x14ac:dyDescent="0.2">
      <c r="A54" s="505" t="s">
        <v>324</v>
      </c>
      <c r="B54" s="506" t="s">
        <v>325</v>
      </c>
      <c r="C54" s="507">
        <f>SUM(C55,C67)</f>
        <v>58000</v>
      </c>
      <c r="D54" s="507">
        <f t="shared" ref="D54:F54" si="44">SUM(D55,D67)</f>
        <v>0</v>
      </c>
      <c r="E54" s="507">
        <f t="shared" si="44"/>
        <v>122000</v>
      </c>
      <c r="F54" s="507">
        <f t="shared" si="44"/>
        <v>180000</v>
      </c>
      <c r="G54" s="507">
        <f t="shared" ref="G54:H54" si="45">SUM(G55,G67)</f>
        <v>67000</v>
      </c>
      <c r="H54" s="507">
        <f t="shared" si="45"/>
        <v>67000</v>
      </c>
      <c r="I54" s="507">
        <f t="shared" ref="I54:K54" si="46">SUM(I55,I67)</f>
        <v>67000</v>
      </c>
      <c r="J54" s="507">
        <f t="shared" si="46"/>
        <v>67000</v>
      </c>
      <c r="K54" s="507">
        <f t="shared" si="46"/>
        <v>67000</v>
      </c>
    </row>
    <row r="55" spans="1:11" ht="15.75" customHeight="1" x14ac:dyDescent="0.2">
      <c r="A55" s="508">
        <v>323</v>
      </c>
      <c r="B55" s="509" t="s">
        <v>23</v>
      </c>
      <c r="C55" s="510">
        <f t="shared" ref="C55:F55" si="47">SUM(C56:C64)</f>
        <v>2000</v>
      </c>
      <c r="D55" s="510">
        <f t="shared" si="47"/>
        <v>0</v>
      </c>
      <c r="E55" s="510">
        <f t="shared" si="47"/>
        <v>29000</v>
      </c>
      <c r="F55" s="510">
        <f t="shared" si="47"/>
        <v>31000</v>
      </c>
      <c r="G55" s="510">
        <f t="shared" ref="G55:H55" si="48">SUM(G56:G64)</f>
        <v>2000</v>
      </c>
      <c r="H55" s="510">
        <f t="shared" si="48"/>
        <v>2000</v>
      </c>
      <c r="I55" s="510">
        <f t="shared" ref="I55:J55" si="49">SUM(I56:I64)</f>
        <v>2000</v>
      </c>
      <c r="J55" s="510">
        <f t="shared" si="49"/>
        <v>2000</v>
      </c>
      <c r="K55" s="510">
        <f t="shared" ref="K55" si="50">SUM(K56:K64)</f>
        <v>2000</v>
      </c>
    </row>
    <row r="56" spans="1:11" hidden="1" x14ac:dyDescent="0.2">
      <c r="A56" s="511">
        <v>3231</v>
      </c>
      <c r="B56" s="512" t="s">
        <v>24</v>
      </c>
      <c r="C56" s="513"/>
      <c r="D56" s="513"/>
      <c r="E56" s="513"/>
      <c r="F56" s="513"/>
      <c r="G56" s="513"/>
      <c r="H56" s="513"/>
      <c r="I56" s="513"/>
      <c r="J56" s="513"/>
      <c r="K56" s="513"/>
    </row>
    <row r="57" spans="1:11" ht="3" hidden="1" customHeight="1" x14ac:dyDescent="0.2">
      <c r="A57" s="511">
        <v>3232</v>
      </c>
      <c r="B57" s="512" t="s">
        <v>25</v>
      </c>
      <c r="C57" s="513"/>
      <c r="D57" s="513"/>
      <c r="E57" s="513"/>
      <c r="F57" s="513"/>
      <c r="G57" s="513"/>
      <c r="H57" s="513"/>
      <c r="I57" s="513"/>
      <c r="J57" s="513"/>
      <c r="K57" s="513"/>
    </row>
    <row r="58" spans="1:11" x14ac:dyDescent="0.2">
      <c r="A58" s="511">
        <v>3233</v>
      </c>
      <c r="B58" s="512" t="s">
        <v>26</v>
      </c>
      <c r="C58" s="513">
        <v>2000</v>
      </c>
      <c r="D58" s="513"/>
      <c r="E58" s="514">
        <v>20000</v>
      </c>
      <c r="F58" s="513">
        <f t="shared" ref="F58:F60" si="51">C58-D58+E58</f>
        <v>22000</v>
      </c>
      <c r="G58" s="513">
        <v>2000</v>
      </c>
      <c r="H58" s="513">
        <v>2000</v>
      </c>
      <c r="I58" s="513">
        <v>2000</v>
      </c>
      <c r="J58" s="513">
        <v>2000</v>
      </c>
      <c r="K58" s="513">
        <v>2000</v>
      </c>
    </row>
    <row r="59" spans="1:11" hidden="1" x14ac:dyDescent="0.2">
      <c r="A59" s="511">
        <v>3234</v>
      </c>
      <c r="B59" s="512" t="s">
        <v>27</v>
      </c>
      <c r="C59" s="513"/>
      <c r="D59" s="513"/>
      <c r="E59" s="513"/>
      <c r="F59" s="513">
        <f t="shared" si="51"/>
        <v>0</v>
      </c>
      <c r="G59" s="513"/>
      <c r="H59" s="513"/>
      <c r="I59" s="513"/>
      <c r="J59" s="513"/>
      <c r="K59" s="513"/>
    </row>
    <row r="60" spans="1:11" x14ac:dyDescent="0.2">
      <c r="A60" s="511">
        <v>3235</v>
      </c>
      <c r="B60" s="512" t="s">
        <v>28</v>
      </c>
      <c r="C60" s="513"/>
      <c r="D60" s="513"/>
      <c r="E60" s="514">
        <v>9000</v>
      </c>
      <c r="F60" s="513">
        <f t="shared" si="51"/>
        <v>9000</v>
      </c>
      <c r="G60" s="513"/>
      <c r="H60" s="513"/>
      <c r="I60" s="513"/>
      <c r="J60" s="513"/>
      <c r="K60" s="513"/>
    </row>
    <row r="61" spans="1:11" hidden="1" x14ac:dyDescent="0.2">
      <c r="A61" s="511">
        <v>3236</v>
      </c>
      <c r="B61" s="512" t="s">
        <v>29</v>
      </c>
      <c r="C61" s="513"/>
      <c r="D61" s="513"/>
      <c r="E61" s="513"/>
      <c r="F61" s="513"/>
      <c r="G61" s="513"/>
      <c r="H61" s="513"/>
      <c r="I61" s="513"/>
      <c r="J61" s="513"/>
      <c r="K61" s="513"/>
    </row>
    <row r="62" spans="1:11" hidden="1" x14ac:dyDescent="0.2">
      <c r="A62" s="511">
        <v>3237</v>
      </c>
      <c r="B62" s="512" t="s">
        <v>30</v>
      </c>
      <c r="C62" s="513"/>
      <c r="D62" s="513"/>
      <c r="E62" s="513"/>
      <c r="F62" s="513"/>
      <c r="G62" s="513"/>
      <c r="H62" s="513"/>
      <c r="I62" s="513"/>
      <c r="J62" s="513"/>
      <c r="K62" s="513"/>
    </row>
    <row r="63" spans="1:11" s="26" customFormat="1" hidden="1" x14ac:dyDescent="0.2">
      <c r="A63" s="531">
        <v>3238</v>
      </c>
      <c r="B63" s="532" t="s">
        <v>70</v>
      </c>
      <c r="C63" s="522"/>
      <c r="D63" s="522"/>
      <c r="E63" s="522"/>
      <c r="F63" s="522"/>
      <c r="G63" s="522"/>
      <c r="H63" s="522"/>
      <c r="I63" s="522"/>
      <c r="J63" s="522"/>
      <c r="K63" s="522"/>
    </row>
    <row r="64" spans="1:11" s="26" customFormat="1" hidden="1" x14ac:dyDescent="0.2">
      <c r="A64" s="531">
        <v>3239</v>
      </c>
      <c r="B64" s="532" t="s">
        <v>31</v>
      </c>
      <c r="C64" s="522"/>
      <c r="D64" s="522"/>
      <c r="E64" s="522"/>
      <c r="F64" s="522"/>
      <c r="G64" s="522"/>
      <c r="H64" s="522"/>
      <c r="I64" s="522"/>
      <c r="J64" s="522"/>
      <c r="K64" s="522"/>
    </row>
    <row r="65" spans="1:11" customFormat="1" ht="15" x14ac:dyDescent="0.25">
      <c r="A65" s="508">
        <v>323</v>
      </c>
      <c r="B65" s="509" t="s">
        <v>23</v>
      </c>
      <c r="C65" s="525">
        <f t="shared" ref="C65:D65" si="52">SUM(C66)</f>
        <v>0</v>
      </c>
      <c r="D65" s="525">
        <f t="shared" si="52"/>
        <v>0</v>
      </c>
      <c r="E65" s="525"/>
      <c r="F65" s="525"/>
      <c r="G65" s="525"/>
      <c r="H65" s="525"/>
      <c r="I65" s="525"/>
      <c r="J65" s="525"/>
      <c r="K65" s="525"/>
    </row>
    <row r="66" spans="1:11" customFormat="1" ht="15" x14ac:dyDescent="0.25">
      <c r="A66" s="511">
        <v>3238</v>
      </c>
      <c r="B66" s="512" t="s">
        <v>70</v>
      </c>
      <c r="C66" s="528"/>
      <c r="D66" s="528"/>
      <c r="E66" s="528"/>
      <c r="F66" s="528"/>
      <c r="G66" s="528"/>
      <c r="H66" s="528"/>
      <c r="I66" s="528"/>
      <c r="J66" s="528"/>
      <c r="K66" s="528"/>
    </row>
    <row r="67" spans="1:11" customFormat="1" ht="15" x14ac:dyDescent="0.25">
      <c r="A67" s="508">
        <v>329</v>
      </c>
      <c r="B67" s="509" t="s">
        <v>33</v>
      </c>
      <c r="C67" s="510">
        <f t="shared" ref="C67:K67" si="53">SUM(C68)</f>
        <v>56000</v>
      </c>
      <c r="D67" s="510">
        <f t="shared" si="53"/>
        <v>0</v>
      </c>
      <c r="E67" s="510">
        <f t="shared" si="53"/>
        <v>93000</v>
      </c>
      <c r="F67" s="510">
        <f t="shared" si="53"/>
        <v>149000</v>
      </c>
      <c r="G67" s="510">
        <f t="shared" si="53"/>
        <v>65000</v>
      </c>
      <c r="H67" s="510">
        <f t="shared" si="53"/>
        <v>65000</v>
      </c>
      <c r="I67" s="510">
        <f t="shared" si="53"/>
        <v>65000</v>
      </c>
      <c r="J67" s="510">
        <f t="shared" si="53"/>
        <v>65000</v>
      </c>
      <c r="K67" s="510">
        <f t="shared" si="53"/>
        <v>65000</v>
      </c>
    </row>
    <row r="68" spans="1:11" customFormat="1" ht="12.75" customHeight="1" x14ac:dyDescent="0.25">
      <c r="A68" s="511">
        <v>3299</v>
      </c>
      <c r="B68" s="512" t="s">
        <v>33</v>
      </c>
      <c r="C68" s="513">
        <v>56000</v>
      </c>
      <c r="D68" s="513"/>
      <c r="E68" s="513">
        <v>93000</v>
      </c>
      <c r="F68" s="513">
        <f t="shared" ref="F68" si="54">C68-D68+E68</f>
        <v>149000</v>
      </c>
      <c r="G68" s="513">
        <v>65000</v>
      </c>
      <c r="H68" s="513">
        <v>65000</v>
      </c>
      <c r="I68" s="513">
        <v>65000</v>
      </c>
      <c r="J68" s="513">
        <v>65000</v>
      </c>
      <c r="K68" s="513">
        <v>65000</v>
      </c>
    </row>
    <row r="69" spans="1:11" s="6" customFormat="1" ht="15" hidden="1" x14ac:dyDescent="0.25">
      <c r="A69" s="508">
        <v>422</v>
      </c>
      <c r="B69" s="523" t="s">
        <v>53</v>
      </c>
      <c r="C69" s="510">
        <f t="shared" ref="C69:D69" si="55">SUM(C70:C71)</f>
        <v>0</v>
      </c>
      <c r="D69" s="510">
        <f t="shared" si="55"/>
        <v>0</v>
      </c>
      <c r="E69" s="510"/>
      <c r="F69" s="510"/>
      <c r="G69" s="510"/>
      <c r="H69" s="510"/>
      <c r="I69" s="510"/>
      <c r="J69" s="510"/>
      <c r="K69" s="510"/>
    </row>
    <row r="70" spans="1:11" customFormat="1" ht="15" hidden="1" x14ac:dyDescent="0.25">
      <c r="A70" s="511">
        <v>4221</v>
      </c>
      <c r="B70" s="512" t="s">
        <v>54</v>
      </c>
      <c r="C70" s="513"/>
      <c r="D70" s="513"/>
      <c r="E70" s="513"/>
      <c r="F70" s="513"/>
      <c r="G70" s="513"/>
      <c r="H70" s="513"/>
      <c r="I70" s="513"/>
      <c r="J70" s="513"/>
      <c r="K70" s="513"/>
    </row>
    <row r="71" spans="1:11" customFormat="1" ht="15" hidden="1" x14ac:dyDescent="0.25">
      <c r="A71" s="511">
        <v>4223</v>
      </c>
      <c r="B71" s="512" t="s">
        <v>59</v>
      </c>
      <c r="C71" s="513"/>
      <c r="D71" s="513"/>
      <c r="E71" s="513"/>
      <c r="F71" s="513"/>
      <c r="G71" s="513"/>
      <c r="H71" s="513"/>
      <c r="I71" s="513"/>
      <c r="J71" s="513"/>
      <c r="K71" s="513"/>
    </row>
    <row r="72" spans="1:11" customFormat="1" ht="28.5" customHeight="1" x14ac:dyDescent="0.25">
      <c r="A72" s="501" t="s">
        <v>95</v>
      </c>
      <c r="B72" s="502" t="s">
        <v>96</v>
      </c>
      <c r="C72" s="503">
        <f t="shared" ref="C72:K72" si="56">SUM(C73)</f>
        <v>93000</v>
      </c>
      <c r="D72" s="503">
        <f>SUM(D73)</f>
        <v>55500</v>
      </c>
      <c r="E72" s="503">
        <f t="shared" si="56"/>
        <v>29000</v>
      </c>
      <c r="F72" s="503">
        <f t="shared" si="56"/>
        <v>66500</v>
      </c>
      <c r="G72" s="503">
        <f t="shared" si="56"/>
        <v>20000</v>
      </c>
      <c r="H72" s="503">
        <f t="shared" si="56"/>
        <v>0</v>
      </c>
      <c r="I72" s="503">
        <f t="shared" si="56"/>
        <v>10000</v>
      </c>
      <c r="J72" s="503">
        <f t="shared" si="56"/>
        <v>0</v>
      </c>
      <c r="K72" s="503">
        <f t="shared" si="56"/>
        <v>0</v>
      </c>
    </row>
    <row r="73" spans="1:11" customFormat="1" ht="18" customHeight="1" x14ac:dyDescent="0.25">
      <c r="A73" s="710" t="s">
        <v>94</v>
      </c>
      <c r="B73" s="710"/>
      <c r="C73" s="504">
        <f t="shared" ref="C73:K73" si="57">SUM(C74,C125)</f>
        <v>93000</v>
      </c>
      <c r="D73" s="504">
        <f t="shared" si="57"/>
        <v>55500</v>
      </c>
      <c r="E73" s="504">
        <f t="shared" si="57"/>
        <v>29000</v>
      </c>
      <c r="F73" s="504">
        <f t="shared" si="57"/>
        <v>66500</v>
      </c>
      <c r="G73" s="504">
        <f t="shared" si="57"/>
        <v>20000</v>
      </c>
      <c r="H73" s="504">
        <f t="shared" si="57"/>
        <v>0</v>
      </c>
      <c r="I73" s="504">
        <f t="shared" si="57"/>
        <v>10000</v>
      </c>
      <c r="J73" s="504">
        <f t="shared" si="57"/>
        <v>0</v>
      </c>
      <c r="K73" s="504">
        <f t="shared" si="57"/>
        <v>0</v>
      </c>
    </row>
    <row r="74" spans="1:11" customFormat="1" ht="21" customHeight="1" x14ac:dyDescent="0.25">
      <c r="A74" s="505" t="s">
        <v>324</v>
      </c>
      <c r="B74" s="506" t="s">
        <v>325</v>
      </c>
      <c r="C74" s="507">
        <f>SUM(C75,C80,C90,C92,C94,C77)</f>
        <v>93000</v>
      </c>
      <c r="D74" s="507">
        <f t="shared" ref="D74:E74" si="58">SUM(D80,D90,D92,D94,D77)</f>
        <v>55500</v>
      </c>
      <c r="E74" s="507">
        <f t="shared" si="58"/>
        <v>29000</v>
      </c>
      <c r="F74" s="507">
        <f>SUM(F75,F80,F90,F92,F94,F77)</f>
        <v>66500</v>
      </c>
      <c r="G74" s="507">
        <f t="shared" ref="G74:K74" si="59">SUM(G75,G80,G90,G92,G94,G77)</f>
        <v>20000</v>
      </c>
      <c r="H74" s="507">
        <f t="shared" si="59"/>
        <v>0</v>
      </c>
      <c r="I74" s="507">
        <f t="shared" si="59"/>
        <v>10000</v>
      </c>
      <c r="J74" s="507">
        <f t="shared" si="59"/>
        <v>0</v>
      </c>
      <c r="K74" s="507">
        <f t="shared" si="59"/>
        <v>0</v>
      </c>
    </row>
    <row r="75" spans="1:11" customFormat="1" ht="18" customHeight="1" x14ac:dyDescent="0.25">
      <c r="A75" s="519" t="s">
        <v>149</v>
      </c>
      <c r="B75" s="523" t="s">
        <v>12</v>
      </c>
      <c r="C75" s="533">
        <f t="shared" ref="C75:K75" si="60">SUM(C76)</f>
        <v>0</v>
      </c>
      <c r="D75" s="533">
        <f t="shared" si="60"/>
        <v>0</v>
      </c>
      <c r="E75" s="533">
        <f t="shared" si="60"/>
        <v>0</v>
      </c>
      <c r="F75" s="533">
        <f t="shared" si="60"/>
        <v>0</v>
      </c>
      <c r="G75" s="533">
        <f t="shared" si="60"/>
        <v>0</v>
      </c>
      <c r="H75" s="533">
        <f t="shared" si="60"/>
        <v>0</v>
      </c>
      <c r="I75" s="533">
        <f t="shared" si="60"/>
        <v>10000</v>
      </c>
      <c r="J75" s="533">
        <f t="shared" si="60"/>
        <v>0</v>
      </c>
      <c r="K75" s="533">
        <f t="shared" si="60"/>
        <v>0</v>
      </c>
    </row>
    <row r="76" spans="1:11" customFormat="1" ht="18" customHeight="1" x14ac:dyDescent="0.25">
      <c r="A76" s="520" t="s">
        <v>150</v>
      </c>
      <c r="B76" s="521" t="s">
        <v>13</v>
      </c>
      <c r="C76" s="522"/>
      <c r="D76" s="522"/>
      <c r="E76" s="522"/>
      <c r="F76" s="513">
        <f t="shared" ref="F76:F79" si="61">C76-D76+E76</f>
        <v>0</v>
      </c>
      <c r="G76" s="522"/>
      <c r="H76" s="522"/>
      <c r="I76" s="522">
        <v>10000</v>
      </c>
      <c r="J76" s="522"/>
      <c r="K76" s="522"/>
    </row>
    <row r="77" spans="1:11" customFormat="1" ht="15" x14ac:dyDescent="0.25">
      <c r="A77" s="508">
        <v>322</v>
      </c>
      <c r="B77" s="509" t="s">
        <v>16</v>
      </c>
      <c r="C77" s="510">
        <f t="shared" ref="C77:K77" si="62">SUM(C78:C79)</f>
        <v>9500</v>
      </c>
      <c r="D77" s="510">
        <f t="shared" si="62"/>
        <v>0</v>
      </c>
      <c r="E77" s="510">
        <f t="shared" si="62"/>
        <v>1000</v>
      </c>
      <c r="F77" s="510">
        <f t="shared" si="62"/>
        <v>10500</v>
      </c>
      <c r="G77" s="510">
        <f t="shared" si="62"/>
        <v>0</v>
      </c>
      <c r="H77" s="510">
        <f t="shared" si="62"/>
        <v>0</v>
      </c>
      <c r="I77" s="510">
        <f t="shared" si="62"/>
        <v>0</v>
      </c>
      <c r="J77" s="510">
        <f t="shared" si="62"/>
        <v>0</v>
      </c>
      <c r="K77" s="510">
        <f t="shared" si="62"/>
        <v>0</v>
      </c>
    </row>
    <row r="78" spans="1:11" customFormat="1" ht="25.5" x14ac:dyDescent="0.25">
      <c r="A78" s="534">
        <v>3224</v>
      </c>
      <c r="B78" s="512" t="s">
        <v>20</v>
      </c>
      <c r="C78" s="513">
        <v>7400</v>
      </c>
      <c r="D78" s="510"/>
      <c r="E78" s="513"/>
      <c r="F78" s="513">
        <f t="shared" si="61"/>
        <v>7400</v>
      </c>
      <c r="G78" s="513"/>
      <c r="H78" s="513"/>
      <c r="I78" s="513"/>
      <c r="J78" s="513"/>
      <c r="K78" s="513"/>
    </row>
    <row r="79" spans="1:11" customFormat="1" ht="15" x14ac:dyDescent="0.25">
      <c r="A79" s="534">
        <v>3225</v>
      </c>
      <c r="B79" s="521" t="s">
        <v>21</v>
      </c>
      <c r="C79" s="513">
        <v>2100</v>
      </c>
      <c r="D79" s="510"/>
      <c r="E79" s="513">
        <v>1000</v>
      </c>
      <c r="F79" s="513">
        <f t="shared" si="61"/>
        <v>3100</v>
      </c>
      <c r="G79" s="513"/>
      <c r="H79" s="513"/>
      <c r="I79" s="513"/>
      <c r="J79" s="513"/>
      <c r="K79" s="513"/>
    </row>
    <row r="80" spans="1:11" ht="14.25" customHeight="1" x14ac:dyDescent="0.2">
      <c r="A80" s="508">
        <v>323</v>
      </c>
      <c r="B80" s="509" t="s">
        <v>23</v>
      </c>
      <c r="C80" s="510">
        <f t="shared" ref="C80:F80" si="63">SUM(C81:C89)</f>
        <v>30500</v>
      </c>
      <c r="D80" s="510">
        <f t="shared" si="63"/>
        <v>28500</v>
      </c>
      <c r="E80" s="510">
        <f t="shared" si="63"/>
        <v>0</v>
      </c>
      <c r="F80" s="510">
        <f t="shared" si="63"/>
        <v>2000</v>
      </c>
      <c r="G80" s="510">
        <f t="shared" ref="G80:H80" si="64">SUM(G81:G89)</f>
        <v>0</v>
      </c>
      <c r="H80" s="510">
        <f t="shared" si="64"/>
        <v>0</v>
      </c>
      <c r="I80" s="510">
        <f t="shared" ref="I80:J80" si="65">SUM(I81:I89)</f>
        <v>0</v>
      </c>
      <c r="J80" s="510">
        <f t="shared" si="65"/>
        <v>0</v>
      </c>
      <c r="K80" s="510">
        <f t="shared" ref="K80" si="66">SUM(K81:K89)</f>
        <v>0</v>
      </c>
    </row>
    <row r="81" spans="1:11" hidden="1" x14ac:dyDescent="0.2">
      <c r="A81" s="511">
        <v>3231</v>
      </c>
      <c r="B81" s="512" t="s">
        <v>24</v>
      </c>
      <c r="C81" s="513"/>
      <c r="D81" s="513"/>
      <c r="E81" s="513"/>
      <c r="F81" s="513"/>
      <c r="G81" s="513"/>
      <c r="H81" s="513"/>
      <c r="I81" s="513"/>
      <c r="J81" s="513"/>
      <c r="K81" s="513"/>
    </row>
    <row r="82" spans="1:11" hidden="1" x14ac:dyDescent="0.2">
      <c r="A82" s="511">
        <v>3232</v>
      </c>
      <c r="B82" s="512" t="s">
        <v>25</v>
      </c>
      <c r="C82" s="513">
        <v>0</v>
      </c>
      <c r="D82" s="513">
        <v>0</v>
      </c>
      <c r="E82" s="513"/>
      <c r="F82" s="513"/>
      <c r="G82" s="513"/>
      <c r="H82" s="513"/>
      <c r="I82" s="513"/>
      <c r="J82" s="513"/>
      <c r="K82" s="513"/>
    </row>
    <row r="83" spans="1:11" hidden="1" x14ac:dyDescent="0.2">
      <c r="A83" s="511">
        <v>3234</v>
      </c>
      <c r="B83" s="512" t="s">
        <v>27</v>
      </c>
      <c r="C83" s="513">
        <v>0</v>
      </c>
      <c r="D83" s="513">
        <v>0</v>
      </c>
      <c r="E83" s="513"/>
      <c r="F83" s="513"/>
      <c r="G83" s="513"/>
      <c r="H83" s="513"/>
      <c r="I83" s="513"/>
      <c r="J83" s="513"/>
      <c r="K83" s="513"/>
    </row>
    <row r="84" spans="1:11" hidden="1" x14ac:dyDescent="0.2">
      <c r="A84" s="511">
        <v>3234</v>
      </c>
      <c r="B84" s="512" t="s">
        <v>27</v>
      </c>
      <c r="C84" s="513">
        <v>0</v>
      </c>
      <c r="D84" s="513">
        <v>0</v>
      </c>
      <c r="E84" s="513"/>
      <c r="F84" s="513"/>
      <c r="G84" s="513"/>
      <c r="H84" s="513"/>
      <c r="I84" s="513"/>
      <c r="J84" s="513"/>
      <c r="K84" s="513"/>
    </row>
    <row r="85" spans="1:11" hidden="1" x14ac:dyDescent="0.2">
      <c r="A85" s="511">
        <v>3235</v>
      </c>
      <c r="B85" s="512" t="s">
        <v>28</v>
      </c>
      <c r="C85" s="513">
        <v>0</v>
      </c>
      <c r="D85" s="513">
        <v>0</v>
      </c>
      <c r="E85" s="513"/>
      <c r="F85" s="513"/>
      <c r="G85" s="513"/>
      <c r="H85" s="513"/>
      <c r="I85" s="513"/>
      <c r="J85" s="513"/>
      <c r="K85" s="513"/>
    </row>
    <row r="86" spans="1:11" ht="16.5" hidden="1" customHeight="1" x14ac:dyDescent="0.2">
      <c r="A86" s="511">
        <v>3236</v>
      </c>
      <c r="B86" s="512" t="s">
        <v>29</v>
      </c>
      <c r="C86" s="513">
        <v>0</v>
      </c>
      <c r="D86" s="513">
        <v>0</v>
      </c>
      <c r="E86" s="513"/>
      <c r="F86" s="513"/>
      <c r="G86" s="513"/>
      <c r="H86" s="513"/>
      <c r="I86" s="513"/>
      <c r="J86" s="513"/>
      <c r="K86" s="513"/>
    </row>
    <row r="87" spans="1:11" x14ac:dyDescent="0.2">
      <c r="A87" s="511">
        <v>3237</v>
      </c>
      <c r="B87" s="512" t="s">
        <v>30</v>
      </c>
      <c r="C87" s="513">
        <v>28500</v>
      </c>
      <c r="D87" s="513">
        <v>28500</v>
      </c>
      <c r="E87" s="513"/>
      <c r="F87" s="513">
        <f>C87-D87+E87</f>
        <v>0</v>
      </c>
      <c r="G87" s="513"/>
      <c r="H87" s="513"/>
      <c r="I87" s="513"/>
      <c r="J87" s="513"/>
      <c r="K87" s="513"/>
    </row>
    <row r="88" spans="1:11" hidden="1" x14ac:dyDescent="0.2">
      <c r="A88" s="511">
        <v>3238</v>
      </c>
      <c r="B88" s="512" t="s">
        <v>70</v>
      </c>
      <c r="C88" s="513">
        <v>0</v>
      </c>
      <c r="D88" s="513">
        <v>0</v>
      </c>
      <c r="E88" s="513"/>
      <c r="F88" s="513">
        <f t="shared" ref="F88:F89" si="67">C88-D88+E88</f>
        <v>0</v>
      </c>
      <c r="G88" s="513"/>
      <c r="H88" s="513"/>
      <c r="I88" s="513"/>
      <c r="J88" s="513"/>
      <c r="K88" s="513"/>
    </row>
    <row r="89" spans="1:11" ht="14.25" customHeight="1" x14ac:dyDescent="0.2">
      <c r="A89" s="511">
        <v>3239</v>
      </c>
      <c r="B89" s="512" t="s">
        <v>31</v>
      </c>
      <c r="C89" s="513">
        <v>2000</v>
      </c>
      <c r="D89" s="513"/>
      <c r="E89" s="513"/>
      <c r="F89" s="513">
        <f t="shared" si="67"/>
        <v>2000</v>
      </c>
      <c r="G89" s="513"/>
      <c r="H89" s="513"/>
      <c r="I89" s="513"/>
      <c r="J89" s="513"/>
      <c r="K89" s="513"/>
    </row>
    <row r="90" spans="1:11" ht="25.5" x14ac:dyDescent="0.2">
      <c r="A90" s="519" t="s">
        <v>168</v>
      </c>
      <c r="B90" s="523" t="s">
        <v>32</v>
      </c>
      <c r="C90" s="533">
        <f t="shared" ref="C90:K90" si="68">SUM(C91)</f>
        <v>27000</v>
      </c>
      <c r="D90" s="533">
        <f t="shared" si="68"/>
        <v>27000</v>
      </c>
      <c r="E90" s="533">
        <f t="shared" si="68"/>
        <v>0</v>
      </c>
      <c r="F90" s="533">
        <f t="shared" si="68"/>
        <v>0</v>
      </c>
      <c r="G90" s="533">
        <f t="shared" si="68"/>
        <v>0</v>
      </c>
      <c r="H90" s="533">
        <f t="shared" si="68"/>
        <v>0</v>
      </c>
      <c r="I90" s="533">
        <f t="shared" si="68"/>
        <v>0</v>
      </c>
      <c r="J90" s="533">
        <f t="shared" si="68"/>
        <v>0</v>
      </c>
      <c r="K90" s="533">
        <f t="shared" si="68"/>
        <v>0</v>
      </c>
    </row>
    <row r="91" spans="1:11" ht="15" customHeight="1" x14ac:dyDescent="0.2">
      <c r="A91" s="520" t="s">
        <v>169</v>
      </c>
      <c r="B91" s="521" t="s">
        <v>32</v>
      </c>
      <c r="C91" s="522">
        <v>27000</v>
      </c>
      <c r="D91" s="522">
        <v>27000</v>
      </c>
      <c r="E91" s="522"/>
      <c r="F91" s="513">
        <f t="shared" ref="F91:F95" si="69">C91-D91+E91</f>
        <v>0</v>
      </c>
      <c r="G91" s="522"/>
      <c r="H91" s="522"/>
      <c r="I91" s="522"/>
      <c r="J91" s="522"/>
      <c r="K91" s="522"/>
    </row>
    <row r="92" spans="1:11" ht="15.75" customHeight="1" x14ac:dyDescent="0.2">
      <c r="A92" s="519">
        <v>412</v>
      </c>
      <c r="B92" s="523" t="s">
        <v>67</v>
      </c>
      <c r="C92" s="510">
        <f t="shared" ref="C92:K92" si="70">SUM(C93)</f>
        <v>4000</v>
      </c>
      <c r="D92" s="510">
        <f t="shared" si="70"/>
        <v>0</v>
      </c>
      <c r="E92" s="510">
        <f t="shared" si="70"/>
        <v>0</v>
      </c>
      <c r="F92" s="510">
        <f>SUM(F93)</f>
        <v>4000</v>
      </c>
      <c r="G92" s="510">
        <f t="shared" si="70"/>
        <v>0</v>
      </c>
      <c r="H92" s="510">
        <f t="shared" si="70"/>
        <v>0</v>
      </c>
      <c r="I92" s="510">
        <f t="shared" si="70"/>
        <v>0</v>
      </c>
      <c r="J92" s="510">
        <f t="shared" si="70"/>
        <v>0</v>
      </c>
      <c r="K92" s="510">
        <f t="shared" si="70"/>
        <v>0</v>
      </c>
    </row>
    <row r="93" spans="1:11" ht="16.5" customHeight="1" x14ac:dyDescent="0.2">
      <c r="A93" s="520">
        <v>4123</v>
      </c>
      <c r="B93" s="521" t="s">
        <v>68</v>
      </c>
      <c r="C93" s="513">
        <v>4000</v>
      </c>
      <c r="D93" s="513"/>
      <c r="E93" s="513"/>
      <c r="F93" s="513">
        <f t="shared" si="69"/>
        <v>4000</v>
      </c>
      <c r="G93" s="513"/>
      <c r="H93" s="513"/>
      <c r="I93" s="513"/>
      <c r="J93" s="513"/>
      <c r="K93" s="513"/>
    </row>
    <row r="94" spans="1:11" customFormat="1" ht="15" x14ac:dyDescent="0.25">
      <c r="A94" s="519">
        <v>422</v>
      </c>
      <c r="B94" s="523" t="s">
        <v>53</v>
      </c>
      <c r="C94" s="510">
        <f t="shared" ref="C94:E94" si="71">SUM(C95:C96)</f>
        <v>22000</v>
      </c>
      <c r="D94" s="510">
        <f t="shared" si="71"/>
        <v>0</v>
      </c>
      <c r="E94" s="510">
        <f t="shared" si="71"/>
        <v>28000</v>
      </c>
      <c r="F94" s="510">
        <f>SUM(F95)</f>
        <v>50000</v>
      </c>
      <c r="G94" s="510">
        <f t="shared" ref="G94:H94" si="72">SUM(G95:G96)</f>
        <v>20000</v>
      </c>
      <c r="H94" s="510">
        <f t="shared" si="72"/>
        <v>0</v>
      </c>
      <c r="I94" s="510">
        <f t="shared" ref="I94:J94" si="73">SUM(I95:I96)</f>
        <v>0</v>
      </c>
      <c r="J94" s="510">
        <f t="shared" si="73"/>
        <v>0</v>
      </c>
      <c r="K94" s="510">
        <f t="shared" ref="K94" si="74">SUM(K95:K96)</f>
        <v>0</v>
      </c>
    </row>
    <row r="95" spans="1:11" customFormat="1" ht="15" customHeight="1" x14ac:dyDescent="0.25">
      <c r="A95" s="520">
        <v>4221</v>
      </c>
      <c r="B95" s="521" t="s">
        <v>54</v>
      </c>
      <c r="C95" s="513">
        <v>22000</v>
      </c>
      <c r="D95" s="513"/>
      <c r="E95" s="513">
        <v>28000</v>
      </c>
      <c r="F95" s="513">
        <f t="shared" si="69"/>
        <v>50000</v>
      </c>
      <c r="G95" s="513">
        <v>20000</v>
      </c>
      <c r="H95" s="513"/>
      <c r="I95" s="513"/>
      <c r="J95" s="513"/>
      <c r="K95" s="513"/>
    </row>
    <row r="96" spans="1:11" customFormat="1" ht="2.25" hidden="1" customHeight="1" x14ac:dyDescent="0.25">
      <c r="A96" s="520">
        <v>4223</v>
      </c>
      <c r="B96" s="521" t="s">
        <v>59</v>
      </c>
      <c r="C96" s="513"/>
      <c r="D96" s="513"/>
      <c r="E96" s="513"/>
      <c r="F96" s="513"/>
      <c r="G96" s="513"/>
      <c r="H96" s="513"/>
      <c r="I96" s="513"/>
      <c r="J96" s="513"/>
      <c r="K96" s="513"/>
    </row>
    <row r="97" spans="1:11" customFormat="1" ht="21" hidden="1" customHeight="1" x14ac:dyDescent="0.25">
      <c r="A97" s="508">
        <v>451</v>
      </c>
      <c r="B97" s="509" t="s">
        <v>55</v>
      </c>
      <c r="C97" s="530">
        <f t="shared" ref="C97:D97" si="75">SUM(C98)</f>
        <v>0</v>
      </c>
      <c r="D97" s="530">
        <f t="shared" si="75"/>
        <v>0</v>
      </c>
      <c r="E97" s="530"/>
      <c r="F97" s="530"/>
      <c r="G97" s="530"/>
      <c r="H97" s="530"/>
      <c r="I97" s="530"/>
      <c r="J97" s="530"/>
      <c r="K97" s="530"/>
    </row>
    <row r="98" spans="1:11" customFormat="1" ht="25.5" hidden="1" x14ac:dyDescent="0.25">
      <c r="A98" s="511">
        <v>4511</v>
      </c>
      <c r="B98" s="512" t="s">
        <v>55</v>
      </c>
      <c r="C98" s="513"/>
      <c r="D98" s="513"/>
      <c r="E98" s="513"/>
      <c r="F98" s="513"/>
      <c r="G98" s="513"/>
      <c r="H98" s="513"/>
      <c r="I98" s="513"/>
      <c r="J98" s="513"/>
      <c r="K98" s="513"/>
    </row>
    <row r="99" spans="1:11" customFormat="1" ht="24.75" hidden="1" customHeight="1" x14ac:dyDescent="0.25">
      <c r="A99" s="501" t="s">
        <v>233</v>
      </c>
      <c r="B99" s="502" t="s">
        <v>234</v>
      </c>
      <c r="C99" s="503">
        <f t="shared" ref="C99:D105" si="76">SUM(C100)</f>
        <v>0</v>
      </c>
      <c r="D99" s="503">
        <f t="shared" si="76"/>
        <v>0</v>
      </c>
      <c r="E99" s="503"/>
      <c r="F99" s="503"/>
      <c r="G99" s="503"/>
      <c r="H99" s="503"/>
      <c r="I99" s="503"/>
      <c r="J99" s="503"/>
      <c r="K99" s="503"/>
    </row>
    <row r="100" spans="1:11" customFormat="1" ht="18" hidden="1" customHeight="1" x14ac:dyDescent="0.25">
      <c r="A100" s="710" t="s">
        <v>94</v>
      </c>
      <c r="B100" s="710"/>
      <c r="C100" s="504">
        <f t="shared" ref="C100:D100" si="77">SUM(C105+C103+C101)</f>
        <v>0</v>
      </c>
      <c r="D100" s="504">
        <f t="shared" si="77"/>
        <v>0</v>
      </c>
      <c r="E100" s="504"/>
      <c r="F100" s="504"/>
      <c r="G100" s="504"/>
      <c r="H100" s="504"/>
      <c r="I100" s="504"/>
      <c r="J100" s="504"/>
      <c r="K100" s="504"/>
    </row>
    <row r="101" spans="1:11" customFormat="1" ht="15" hidden="1" x14ac:dyDescent="0.25">
      <c r="A101" s="519">
        <v>311</v>
      </c>
      <c r="B101" s="509" t="s">
        <v>5</v>
      </c>
      <c r="C101" s="510">
        <f t="shared" ref="C101:D101" si="78">SUM(C102)</f>
        <v>0</v>
      </c>
      <c r="D101" s="510">
        <f t="shared" si="78"/>
        <v>0</v>
      </c>
      <c r="E101" s="510"/>
      <c r="F101" s="510"/>
      <c r="G101" s="510"/>
      <c r="H101" s="510"/>
      <c r="I101" s="510"/>
      <c r="J101" s="510"/>
      <c r="K101" s="510"/>
    </row>
    <row r="102" spans="1:11" customFormat="1" ht="15" hidden="1" x14ac:dyDescent="0.25">
      <c r="A102" s="520">
        <v>3111</v>
      </c>
      <c r="B102" s="521" t="s">
        <v>5</v>
      </c>
      <c r="C102" s="513"/>
      <c r="D102" s="513"/>
      <c r="E102" s="513"/>
      <c r="F102" s="513"/>
      <c r="G102" s="513"/>
      <c r="H102" s="513"/>
      <c r="I102" s="513"/>
      <c r="J102" s="513"/>
      <c r="K102" s="513"/>
    </row>
    <row r="103" spans="1:11" customFormat="1" ht="15" hidden="1" x14ac:dyDescent="0.25">
      <c r="A103" s="519">
        <v>321</v>
      </c>
      <c r="B103" s="509" t="s">
        <v>12</v>
      </c>
      <c r="C103" s="510">
        <f t="shared" ref="C103:D103" si="79">SUM(C104)</f>
        <v>0</v>
      </c>
      <c r="D103" s="510">
        <f t="shared" si="79"/>
        <v>0</v>
      </c>
      <c r="E103" s="510"/>
      <c r="F103" s="510"/>
      <c r="G103" s="510"/>
      <c r="H103" s="510"/>
      <c r="I103" s="510"/>
      <c r="J103" s="510"/>
      <c r="K103" s="510"/>
    </row>
    <row r="104" spans="1:11" customFormat="1" ht="15" hidden="1" x14ac:dyDescent="0.25">
      <c r="A104" s="511">
        <v>3211</v>
      </c>
      <c r="B104" s="535" t="s">
        <v>13</v>
      </c>
      <c r="C104" s="513"/>
      <c r="D104" s="513"/>
      <c r="E104" s="513"/>
      <c r="F104" s="513"/>
      <c r="G104" s="513"/>
      <c r="H104" s="513"/>
      <c r="I104" s="513"/>
      <c r="J104" s="513"/>
      <c r="K104" s="513"/>
    </row>
    <row r="105" spans="1:11" customFormat="1" ht="38.25" hidden="1" x14ac:dyDescent="0.25">
      <c r="A105" s="519">
        <v>353</v>
      </c>
      <c r="B105" s="509" t="s">
        <v>235</v>
      </c>
      <c r="C105" s="510">
        <f t="shared" si="76"/>
        <v>0</v>
      </c>
      <c r="D105" s="510">
        <f t="shared" si="76"/>
        <v>0</v>
      </c>
      <c r="E105" s="510"/>
      <c r="F105" s="510"/>
      <c r="G105" s="510"/>
      <c r="H105" s="510"/>
      <c r="I105" s="510"/>
      <c r="J105" s="510"/>
      <c r="K105" s="510"/>
    </row>
    <row r="106" spans="1:11" customFormat="1" ht="24.75" hidden="1" customHeight="1" x14ac:dyDescent="0.25">
      <c r="A106" s="520">
        <v>3531</v>
      </c>
      <c r="B106" s="512" t="s">
        <v>235</v>
      </c>
      <c r="C106" s="513"/>
      <c r="D106" s="513"/>
      <c r="E106" s="513"/>
      <c r="F106" s="513"/>
      <c r="G106" s="513"/>
      <c r="H106" s="513"/>
      <c r="I106" s="513"/>
      <c r="J106" s="513"/>
      <c r="K106" s="513"/>
    </row>
    <row r="107" spans="1:11" s="6" customFormat="1" ht="15" hidden="1" x14ac:dyDescent="0.25">
      <c r="A107" s="508" t="s">
        <v>174</v>
      </c>
      <c r="B107" s="509" t="s">
        <v>40</v>
      </c>
      <c r="C107" s="510">
        <f t="shared" ref="C107:D107" si="80">SUM(C108:C111)</f>
        <v>0</v>
      </c>
      <c r="D107" s="510">
        <f t="shared" si="80"/>
        <v>0</v>
      </c>
      <c r="E107" s="510"/>
      <c r="F107" s="510"/>
      <c r="G107" s="510"/>
      <c r="H107" s="510"/>
      <c r="I107" s="510"/>
      <c r="J107" s="510"/>
      <c r="K107" s="510"/>
    </row>
    <row r="108" spans="1:11" customFormat="1" ht="13.5" hidden="1" customHeight="1" x14ac:dyDescent="0.25">
      <c r="A108" s="511" t="s">
        <v>236</v>
      </c>
      <c r="B108" s="512" t="s">
        <v>41</v>
      </c>
      <c r="C108" s="513"/>
      <c r="D108" s="513"/>
      <c r="E108" s="513"/>
      <c r="F108" s="513"/>
      <c r="G108" s="513"/>
      <c r="H108" s="513"/>
      <c r="I108" s="513"/>
      <c r="J108" s="513"/>
      <c r="K108" s="513"/>
    </row>
    <row r="109" spans="1:11" customFormat="1" ht="25.5" hidden="1" x14ac:dyDescent="0.25">
      <c r="A109" s="511" t="s">
        <v>237</v>
      </c>
      <c r="B109" s="512" t="s">
        <v>238</v>
      </c>
      <c r="C109" s="513"/>
      <c r="D109" s="513"/>
      <c r="E109" s="513"/>
      <c r="F109" s="513"/>
      <c r="G109" s="513"/>
      <c r="H109" s="513"/>
      <c r="I109" s="513"/>
      <c r="J109" s="513"/>
      <c r="K109" s="513"/>
    </row>
    <row r="110" spans="1:11" customFormat="1" ht="15" hidden="1" x14ac:dyDescent="0.25">
      <c r="A110" s="511" t="s">
        <v>239</v>
      </c>
      <c r="B110" s="512" t="s">
        <v>42</v>
      </c>
      <c r="C110" s="513"/>
      <c r="D110" s="513"/>
      <c r="E110" s="513"/>
      <c r="F110" s="513"/>
      <c r="G110" s="513"/>
      <c r="H110" s="513"/>
      <c r="I110" s="513"/>
      <c r="J110" s="513"/>
      <c r="K110" s="513"/>
    </row>
    <row r="111" spans="1:11" customFormat="1" ht="15" hidden="1" x14ac:dyDescent="0.25">
      <c r="A111" s="511" t="s">
        <v>175</v>
      </c>
      <c r="B111" s="512" t="s">
        <v>43</v>
      </c>
      <c r="C111" s="513"/>
      <c r="D111" s="513"/>
      <c r="E111" s="513"/>
      <c r="F111" s="513"/>
      <c r="G111" s="513"/>
      <c r="H111" s="513"/>
      <c r="I111" s="513"/>
      <c r="J111" s="513"/>
      <c r="K111" s="513"/>
    </row>
    <row r="112" spans="1:11" s="6" customFormat="1" ht="15" hidden="1" x14ac:dyDescent="0.25">
      <c r="A112" s="508" t="s">
        <v>176</v>
      </c>
      <c r="B112" s="509" t="s">
        <v>67</v>
      </c>
      <c r="C112" s="510">
        <f t="shared" ref="C112:D112" si="81">SUM(C113)</f>
        <v>0</v>
      </c>
      <c r="D112" s="510">
        <f t="shared" si="81"/>
        <v>0</v>
      </c>
      <c r="E112" s="510"/>
      <c r="F112" s="510"/>
      <c r="G112" s="510"/>
      <c r="H112" s="510"/>
      <c r="I112" s="510"/>
      <c r="J112" s="510"/>
      <c r="K112" s="510"/>
    </row>
    <row r="113" spans="1:11" customFormat="1" ht="15" hidden="1" x14ac:dyDescent="0.25">
      <c r="A113" s="511" t="s">
        <v>190</v>
      </c>
      <c r="B113" s="512" t="s">
        <v>68</v>
      </c>
      <c r="C113" s="513"/>
      <c r="D113" s="513"/>
      <c r="E113" s="513"/>
      <c r="F113" s="513"/>
      <c r="G113" s="513"/>
      <c r="H113" s="513"/>
      <c r="I113" s="513"/>
      <c r="J113" s="513"/>
      <c r="K113" s="513"/>
    </row>
    <row r="114" spans="1:11" s="6" customFormat="1" ht="5.25" hidden="1" customHeight="1" x14ac:dyDescent="0.25">
      <c r="A114" s="508" t="s">
        <v>177</v>
      </c>
      <c r="B114" s="509" t="s">
        <v>129</v>
      </c>
      <c r="C114" s="510">
        <f t="shared" ref="C114:D114" si="82">SUM(C115:C117)</f>
        <v>0</v>
      </c>
      <c r="D114" s="510">
        <f t="shared" si="82"/>
        <v>0</v>
      </c>
      <c r="E114" s="510"/>
      <c r="F114" s="510"/>
      <c r="G114" s="510"/>
      <c r="H114" s="510"/>
      <c r="I114" s="510"/>
      <c r="J114" s="510"/>
      <c r="K114" s="510"/>
    </row>
    <row r="115" spans="1:11" customFormat="1" ht="22.5" hidden="1" customHeight="1" x14ac:dyDescent="0.25">
      <c r="A115" s="511" t="s">
        <v>178</v>
      </c>
      <c r="B115" s="512" t="s">
        <v>54</v>
      </c>
      <c r="C115" s="513"/>
      <c r="D115" s="513"/>
      <c r="E115" s="513"/>
      <c r="F115" s="513"/>
      <c r="G115" s="513"/>
      <c r="H115" s="513"/>
      <c r="I115" s="513"/>
      <c r="J115" s="513"/>
      <c r="K115" s="513"/>
    </row>
    <row r="116" spans="1:11" customFormat="1" ht="15" hidden="1" x14ac:dyDescent="0.25">
      <c r="A116" s="511" t="s">
        <v>186</v>
      </c>
      <c r="B116" s="512" t="s">
        <v>58</v>
      </c>
      <c r="C116" s="513"/>
      <c r="D116" s="513"/>
      <c r="E116" s="513"/>
      <c r="F116" s="513"/>
      <c r="G116" s="513"/>
      <c r="H116" s="513"/>
      <c r="I116" s="513"/>
      <c r="J116" s="513"/>
      <c r="K116" s="513"/>
    </row>
    <row r="117" spans="1:11" customFormat="1" ht="18.75" hidden="1" customHeight="1" x14ac:dyDescent="0.25">
      <c r="A117" s="511" t="s">
        <v>180</v>
      </c>
      <c r="B117" s="512" t="s">
        <v>60</v>
      </c>
      <c r="C117" s="513"/>
      <c r="D117" s="513"/>
      <c r="E117" s="513"/>
      <c r="F117" s="513"/>
      <c r="G117" s="513"/>
      <c r="H117" s="513"/>
      <c r="I117" s="513"/>
      <c r="J117" s="513"/>
      <c r="K117" s="513"/>
    </row>
    <row r="118" spans="1:11" s="6" customFormat="1" ht="17.25" hidden="1" customHeight="1" x14ac:dyDescent="0.25">
      <c r="A118" s="508" t="s">
        <v>193</v>
      </c>
      <c r="B118" s="509" t="s">
        <v>73</v>
      </c>
      <c r="C118" s="510">
        <f t="shared" ref="C118:D118" si="83">SUM(C119:C120)</f>
        <v>0</v>
      </c>
      <c r="D118" s="510">
        <f t="shared" si="83"/>
        <v>0</v>
      </c>
      <c r="E118" s="510"/>
      <c r="F118" s="510"/>
      <c r="G118" s="510"/>
      <c r="H118" s="510"/>
      <c r="I118" s="510"/>
      <c r="J118" s="510"/>
      <c r="K118" s="510"/>
    </row>
    <row r="119" spans="1:11" customFormat="1" ht="13.5" hidden="1" customHeight="1" x14ac:dyDescent="0.25">
      <c r="A119" s="511" t="s">
        <v>194</v>
      </c>
      <c r="B119" s="512" t="s">
        <v>88</v>
      </c>
      <c r="C119" s="513"/>
      <c r="D119" s="513"/>
      <c r="E119" s="513"/>
      <c r="F119" s="513"/>
      <c r="G119" s="513"/>
      <c r="H119" s="513"/>
      <c r="I119" s="513"/>
      <c r="J119" s="513"/>
      <c r="K119" s="513"/>
    </row>
    <row r="120" spans="1:11" customFormat="1" ht="27.75" hidden="1" customHeight="1" x14ac:dyDescent="0.25">
      <c r="A120" s="511" t="s">
        <v>240</v>
      </c>
      <c r="B120" s="512" t="s">
        <v>138</v>
      </c>
      <c r="C120" s="513"/>
      <c r="D120" s="513"/>
      <c r="E120" s="513"/>
      <c r="F120" s="513"/>
      <c r="G120" s="513"/>
      <c r="H120" s="513"/>
      <c r="I120" s="513"/>
      <c r="J120" s="513"/>
      <c r="K120" s="513"/>
    </row>
    <row r="121" spans="1:11" customFormat="1" ht="22.5" hidden="1" customHeight="1" x14ac:dyDescent="0.25">
      <c r="A121" s="501" t="s">
        <v>291</v>
      </c>
      <c r="B121" s="502" t="s">
        <v>292</v>
      </c>
      <c r="C121" s="503">
        <f t="shared" ref="C121:D122" si="84">SUM(C122)</f>
        <v>0</v>
      </c>
      <c r="D121" s="503">
        <f t="shared" si="84"/>
        <v>0</v>
      </c>
      <c r="E121" s="503"/>
      <c r="F121" s="503"/>
      <c r="G121" s="503"/>
      <c r="H121" s="503"/>
      <c r="I121" s="503"/>
      <c r="J121" s="503"/>
      <c r="K121" s="503"/>
    </row>
    <row r="122" spans="1:11" customFormat="1" ht="14.25" hidden="1" customHeight="1" x14ac:dyDescent="0.25">
      <c r="A122" s="710" t="s">
        <v>94</v>
      </c>
      <c r="B122" s="710"/>
      <c r="C122" s="504">
        <f t="shared" si="84"/>
        <v>0</v>
      </c>
      <c r="D122" s="504">
        <f t="shared" si="84"/>
        <v>0</v>
      </c>
      <c r="E122" s="504"/>
      <c r="F122" s="504"/>
      <c r="G122" s="504"/>
      <c r="H122" s="504"/>
      <c r="I122" s="504"/>
      <c r="J122" s="504"/>
      <c r="K122" s="504"/>
    </row>
    <row r="123" spans="1:11" s="6" customFormat="1" ht="16.5" hidden="1" customHeight="1" x14ac:dyDescent="0.25">
      <c r="A123" s="508">
        <v>383</v>
      </c>
      <c r="B123" s="509" t="s">
        <v>47</v>
      </c>
      <c r="C123" s="510">
        <f t="shared" ref="C123:D123" si="85">SUM(C124:C124)</f>
        <v>0</v>
      </c>
      <c r="D123" s="510">
        <f t="shared" si="85"/>
        <v>0</v>
      </c>
      <c r="E123" s="510"/>
      <c r="F123" s="510"/>
      <c r="G123" s="510"/>
      <c r="H123" s="510"/>
      <c r="I123" s="510"/>
      <c r="J123" s="510"/>
      <c r="K123" s="510"/>
    </row>
    <row r="124" spans="1:11" customFormat="1" ht="10.5" hidden="1" customHeight="1" x14ac:dyDescent="0.25">
      <c r="A124" s="511">
        <v>3835</v>
      </c>
      <c r="B124" s="512" t="s">
        <v>296</v>
      </c>
      <c r="C124" s="513"/>
      <c r="D124" s="513"/>
      <c r="E124" s="513"/>
      <c r="F124" s="513"/>
      <c r="G124" s="513"/>
      <c r="H124" s="513"/>
      <c r="I124" s="513"/>
      <c r="J124" s="513"/>
      <c r="K124" s="513"/>
    </row>
    <row r="125" spans="1:11" customFormat="1" ht="24.75" hidden="1" customHeight="1" x14ac:dyDescent="0.25">
      <c r="A125" s="536" t="s">
        <v>330</v>
      </c>
      <c r="B125" s="537" t="s">
        <v>331</v>
      </c>
      <c r="C125" s="538">
        <f>SUM(C126)</f>
        <v>0</v>
      </c>
      <c r="D125" s="538">
        <f t="shared" ref="D125:K126" si="86">SUM(D126)</f>
        <v>0</v>
      </c>
      <c r="E125" s="538">
        <f t="shared" si="86"/>
        <v>0</v>
      </c>
      <c r="F125" s="538">
        <f t="shared" si="86"/>
        <v>0</v>
      </c>
      <c r="G125" s="538">
        <f t="shared" si="86"/>
        <v>0</v>
      </c>
      <c r="H125" s="538">
        <f t="shared" si="86"/>
        <v>0</v>
      </c>
      <c r="I125" s="538">
        <f t="shared" si="86"/>
        <v>0</v>
      </c>
      <c r="J125" s="538">
        <f t="shared" si="86"/>
        <v>0</v>
      </c>
      <c r="K125" s="538">
        <f t="shared" si="86"/>
        <v>0</v>
      </c>
    </row>
    <row r="126" spans="1:11" customFormat="1" ht="15" hidden="1" customHeight="1" x14ac:dyDescent="0.25">
      <c r="A126" s="519">
        <v>422</v>
      </c>
      <c r="B126" s="523" t="s">
        <v>53</v>
      </c>
      <c r="C126" s="513">
        <f>SUM(C127)</f>
        <v>0</v>
      </c>
      <c r="D126" s="513">
        <f t="shared" si="86"/>
        <v>0</v>
      </c>
      <c r="E126" s="513">
        <f t="shared" si="86"/>
        <v>0</v>
      </c>
      <c r="F126" s="513">
        <f t="shared" si="86"/>
        <v>0</v>
      </c>
      <c r="G126" s="513">
        <f t="shared" si="86"/>
        <v>0</v>
      </c>
      <c r="H126" s="513">
        <f t="shared" si="86"/>
        <v>0</v>
      </c>
      <c r="I126" s="513">
        <f t="shared" si="86"/>
        <v>0</v>
      </c>
      <c r="J126" s="513">
        <f t="shared" si="86"/>
        <v>0</v>
      </c>
      <c r="K126" s="513">
        <f t="shared" si="86"/>
        <v>0</v>
      </c>
    </row>
    <row r="127" spans="1:11" customFormat="1" ht="15" hidden="1" customHeight="1" x14ac:dyDescent="0.25">
      <c r="A127" s="511">
        <v>4221</v>
      </c>
      <c r="B127" s="512" t="s">
        <v>54</v>
      </c>
      <c r="C127" s="513"/>
      <c r="D127" s="513"/>
      <c r="E127" s="513"/>
      <c r="F127" s="513">
        <f t="shared" ref="F127" si="87">C127-D127+E127</f>
        <v>0</v>
      </c>
      <c r="G127" s="513"/>
      <c r="H127" s="513"/>
      <c r="I127" s="513"/>
      <c r="J127" s="513"/>
      <c r="K127" s="513"/>
    </row>
    <row r="128" spans="1:11" customFormat="1" ht="21" customHeight="1" x14ac:dyDescent="0.25">
      <c r="A128" s="501" t="s">
        <v>131</v>
      </c>
      <c r="B128" s="502" t="s">
        <v>135</v>
      </c>
      <c r="C128" s="503">
        <f t="shared" ref="C128:F128" si="88">SUM(C129,C133)</f>
        <v>6640000</v>
      </c>
      <c r="D128" s="503">
        <f t="shared" si="88"/>
        <v>0</v>
      </c>
      <c r="E128" s="503">
        <f t="shared" si="88"/>
        <v>853000</v>
      </c>
      <c r="F128" s="503">
        <f t="shared" si="88"/>
        <v>7493000</v>
      </c>
      <c r="G128" s="503">
        <f t="shared" ref="G128:H128" si="89">SUM(G129,G133)</f>
        <v>6640000</v>
      </c>
      <c r="H128" s="503">
        <f t="shared" si="89"/>
        <v>6640000</v>
      </c>
      <c r="I128" s="503">
        <f t="shared" ref="I128:J128" si="90">SUM(I129,I133)</f>
        <v>6640000</v>
      </c>
      <c r="J128" s="503">
        <f t="shared" si="90"/>
        <v>6640000</v>
      </c>
      <c r="K128" s="503">
        <f t="shared" ref="K128" si="91">SUM(K129,K133)</f>
        <v>6640000</v>
      </c>
    </row>
    <row r="129" spans="1:11" customFormat="1" ht="18.75" customHeight="1" x14ac:dyDescent="0.25">
      <c r="A129" s="710" t="s">
        <v>97</v>
      </c>
      <c r="B129" s="710"/>
      <c r="C129" s="515">
        <f>SUM(C130)</f>
        <v>6640000</v>
      </c>
      <c r="D129" s="515">
        <f t="shared" ref="D129:K130" si="92">SUM(D130)</f>
        <v>0</v>
      </c>
      <c r="E129" s="515">
        <f t="shared" si="92"/>
        <v>853000</v>
      </c>
      <c r="F129" s="515">
        <f t="shared" si="92"/>
        <v>7493000</v>
      </c>
      <c r="G129" s="515">
        <f t="shared" si="92"/>
        <v>6640000</v>
      </c>
      <c r="H129" s="515">
        <f t="shared" si="92"/>
        <v>6640000</v>
      </c>
      <c r="I129" s="515">
        <f t="shared" si="92"/>
        <v>6640000</v>
      </c>
      <c r="J129" s="515">
        <f t="shared" si="92"/>
        <v>6640000</v>
      </c>
      <c r="K129" s="515">
        <f t="shared" si="92"/>
        <v>6640000</v>
      </c>
    </row>
    <row r="130" spans="1:11" customFormat="1" ht="18.75" customHeight="1" x14ac:dyDescent="0.25">
      <c r="A130" s="505" t="s">
        <v>324</v>
      </c>
      <c r="B130" s="506" t="s">
        <v>325</v>
      </c>
      <c r="C130" s="507">
        <f>SUM(C131)</f>
        <v>6640000</v>
      </c>
      <c r="D130" s="507">
        <f t="shared" si="92"/>
        <v>0</v>
      </c>
      <c r="E130" s="507">
        <f t="shared" si="92"/>
        <v>853000</v>
      </c>
      <c r="F130" s="507">
        <f t="shared" si="92"/>
        <v>7493000</v>
      </c>
      <c r="G130" s="507">
        <f t="shared" si="92"/>
        <v>6640000</v>
      </c>
      <c r="H130" s="507">
        <f t="shared" si="92"/>
        <v>6640000</v>
      </c>
      <c r="I130" s="507">
        <f t="shared" si="92"/>
        <v>6640000</v>
      </c>
      <c r="J130" s="507">
        <f t="shared" si="92"/>
        <v>6640000</v>
      </c>
      <c r="K130" s="507">
        <f t="shared" si="92"/>
        <v>6640000</v>
      </c>
    </row>
    <row r="131" spans="1:11" customFormat="1" ht="15" customHeight="1" x14ac:dyDescent="0.25">
      <c r="A131" s="508">
        <v>323</v>
      </c>
      <c r="B131" s="509" t="s">
        <v>23</v>
      </c>
      <c r="C131" s="525">
        <f t="shared" ref="C131:K131" si="93">SUM(C132)</f>
        <v>6640000</v>
      </c>
      <c r="D131" s="525">
        <f t="shared" si="93"/>
        <v>0</v>
      </c>
      <c r="E131" s="525">
        <f t="shared" si="93"/>
        <v>853000</v>
      </c>
      <c r="F131" s="525">
        <f t="shared" si="93"/>
        <v>7493000</v>
      </c>
      <c r="G131" s="525">
        <f t="shared" si="93"/>
        <v>6640000</v>
      </c>
      <c r="H131" s="525">
        <f t="shared" si="93"/>
        <v>6640000</v>
      </c>
      <c r="I131" s="525">
        <f t="shared" si="93"/>
        <v>6640000</v>
      </c>
      <c r="J131" s="525">
        <f t="shared" si="93"/>
        <v>6640000</v>
      </c>
      <c r="K131" s="525">
        <f t="shared" si="93"/>
        <v>6640000</v>
      </c>
    </row>
    <row r="132" spans="1:11" customFormat="1" ht="15" customHeight="1" x14ac:dyDescent="0.25">
      <c r="A132" s="511">
        <v>3239</v>
      </c>
      <c r="B132" s="512" t="s">
        <v>31</v>
      </c>
      <c r="C132" s="526">
        <v>6640000</v>
      </c>
      <c r="D132" s="526"/>
      <c r="E132" s="539">
        <v>853000</v>
      </c>
      <c r="F132" s="513">
        <f t="shared" ref="F132" si="94">C132-D132+E132</f>
        <v>7493000</v>
      </c>
      <c r="G132" s="526">
        <v>6640000</v>
      </c>
      <c r="H132" s="526">
        <v>6640000</v>
      </c>
      <c r="I132" s="526">
        <v>6640000</v>
      </c>
      <c r="J132" s="526">
        <v>6640000</v>
      </c>
      <c r="K132" s="526">
        <v>6640000</v>
      </c>
    </row>
    <row r="133" spans="1:11" customFormat="1" ht="15" hidden="1" customHeight="1" x14ac:dyDescent="0.25">
      <c r="A133" s="710" t="s">
        <v>113</v>
      </c>
      <c r="B133" s="710"/>
      <c r="C133" s="504">
        <f t="shared" ref="C133:D134" si="95">SUM(C134)</f>
        <v>0</v>
      </c>
      <c r="D133" s="504">
        <f t="shared" si="95"/>
        <v>0</v>
      </c>
      <c r="E133" s="504"/>
      <c r="F133" s="504"/>
      <c r="G133" s="504"/>
      <c r="H133" s="504"/>
      <c r="I133" s="504"/>
      <c r="J133" s="504"/>
      <c r="K133" s="504"/>
    </row>
    <row r="134" spans="1:11" customFormat="1" ht="15" hidden="1" customHeight="1" x14ac:dyDescent="0.25">
      <c r="A134" s="508">
        <v>323</v>
      </c>
      <c r="B134" s="509" t="s">
        <v>23</v>
      </c>
      <c r="C134" s="525">
        <f t="shared" si="95"/>
        <v>0</v>
      </c>
      <c r="D134" s="525">
        <f t="shared" si="95"/>
        <v>0</v>
      </c>
      <c r="E134" s="525"/>
      <c r="F134" s="525"/>
      <c r="G134" s="525"/>
      <c r="H134" s="525"/>
      <c r="I134" s="525"/>
      <c r="J134" s="525"/>
      <c r="K134" s="525"/>
    </row>
    <row r="135" spans="1:11" customFormat="1" ht="15" hidden="1" customHeight="1" x14ac:dyDescent="0.25">
      <c r="A135" s="511">
        <v>3239</v>
      </c>
      <c r="B135" s="512" t="s">
        <v>31</v>
      </c>
      <c r="C135" s="526"/>
      <c r="D135" s="526"/>
      <c r="E135" s="526"/>
      <c r="F135" s="526"/>
      <c r="G135" s="526"/>
      <c r="H135" s="526"/>
      <c r="I135" s="526"/>
      <c r="J135" s="526"/>
      <c r="K135" s="526"/>
    </row>
    <row r="136" spans="1:11" customFormat="1" ht="22.5" customHeight="1" x14ac:dyDescent="0.25">
      <c r="A136" s="501" t="s">
        <v>49</v>
      </c>
      <c r="B136" s="502" t="s">
        <v>50</v>
      </c>
      <c r="C136" s="503">
        <f t="shared" ref="C136:F136" si="96">SUM(C137+C146+C149)</f>
        <v>3990000</v>
      </c>
      <c r="D136" s="503">
        <f t="shared" si="96"/>
        <v>3699000</v>
      </c>
      <c r="E136" s="503">
        <f t="shared" si="96"/>
        <v>0</v>
      </c>
      <c r="F136" s="503">
        <f t="shared" si="96"/>
        <v>291000</v>
      </c>
      <c r="G136" s="503">
        <f t="shared" ref="G136:H136" si="97">SUM(G137+G146+G149)</f>
        <v>2130000</v>
      </c>
      <c r="H136" s="503">
        <f t="shared" si="97"/>
        <v>2130000</v>
      </c>
      <c r="I136" s="503">
        <f t="shared" ref="I136:J136" si="98">SUM(I137+I146+I149)</f>
        <v>2240000</v>
      </c>
      <c r="J136" s="503">
        <f t="shared" si="98"/>
        <v>7240000</v>
      </c>
      <c r="K136" s="503">
        <f t="shared" ref="K136" si="99">SUM(K137+K146+K149)</f>
        <v>3620000</v>
      </c>
    </row>
    <row r="137" spans="1:11" customFormat="1" ht="24.75" customHeight="1" x14ac:dyDescent="0.25">
      <c r="A137" s="710" t="s">
        <v>97</v>
      </c>
      <c r="B137" s="710"/>
      <c r="C137" s="504">
        <f>SUM(C138,C143)</f>
        <v>1860000</v>
      </c>
      <c r="D137" s="504">
        <f t="shared" ref="D137:F137" si="100">SUM(D138,D143)</f>
        <v>1569000</v>
      </c>
      <c r="E137" s="504">
        <f t="shared" si="100"/>
        <v>0</v>
      </c>
      <c r="F137" s="504">
        <f t="shared" si="100"/>
        <v>291000</v>
      </c>
      <c r="G137" s="504">
        <f t="shared" ref="G137:H137" si="101">SUM(G138,G143)</f>
        <v>0</v>
      </c>
      <c r="H137" s="504">
        <f t="shared" si="101"/>
        <v>0</v>
      </c>
      <c r="I137" s="504">
        <f t="shared" ref="I137:J137" si="102">SUM(I138,I143)</f>
        <v>0</v>
      </c>
      <c r="J137" s="504">
        <f t="shared" si="102"/>
        <v>0</v>
      </c>
      <c r="K137" s="504">
        <f t="shared" ref="K137" si="103">SUM(K138,K143)</f>
        <v>0</v>
      </c>
    </row>
    <row r="138" spans="1:11" customFormat="1" ht="18.75" customHeight="1" x14ac:dyDescent="0.25">
      <c r="A138" s="505" t="s">
        <v>324</v>
      </c>
      <c r="B138" s="506" t="s">
        <v>325</v>
      </c>
      <c r="C138" s="507">
        <f>SUM(C139)</f>
        <v>10000</v>
      </c>
      <c r="D138" s="507">
        <f t="shared" ref="D138:K138" si="104">SUM(D139)</f>
        <v>0</v>
      </c>
      <c r="E138" s="507">
        <f t="shared" si="104"/>
        <v>0</v>
      </c>
      <c r="F138" s="507">
        <f t="shared" si="104"/>
        <v>10000</v>
      </c>
      <c r="G138" s="507">
        <f t="shared" si="104"/>
        <v>0</v>
      </c>
      <c r="H138" s="507">
        <f t="shared" si="104"/>
        <v>0</v>
      </c>
      <c r="I138" s="507">
        <f t="shared" si="104"/>
        <v>0</v>
      </c>
      <c r="J138" s="507">
        <f t="shared" si="104"/>
        <v>0</v>
      </c>
      <c r="K138" s="507">
        <f t="shared" si="104"/>
        <v>0</v>
      </c>
    </row>
    <row r="139" spans="1:11" customFormat="1" ht="15" customHeight="1" x14ac:dyDescent="0.25">
      <c r="A139" s="508">
        <v>323</v>
      </c>
      <c r="B139" s="509" t="s">
        <v>23</v>
      </c>
      <c r="C139" s="525">
        <f t="shared" ref="C139:K139" si="105">SUM(C140)</f>
        <v>10000</v>
      </c>
      <c r="D139" s="525">
        <f t="shared" si="105"/>
        <v>0</v>
      </c>
      <c r="E139" s="525">
        <f t="shared" si="105"/>
        <v>0</v>
      </c>
      <c r="F139" s="525">
        <f t="shared" si="105"/>
        <v>10000</v>
      </c>
      <c r="G139" s="525">
        <f t="shared" si="105"/>
        <v>0</v>
      </c>
      <c r="H139" s="525">
        <f t="shared" si="105"/>
        <v>0</v>
      </c>
      <c r="I139" s="525">
        <f t="shared" si="105"/>
        <v>0</v>
      </c>
      <c r="J139" s="525">
        <f t="shared" si="105"/>
        <v>0</v>
      </c>
      <c r="K139" s="525">
        <f t="shared" si="105"/>
        <v>0</v>
      </c>
    </row>
    <row r="140" spans="1:11" customFormat="1" ht="14.25" customHeight="1" x14ac:dyDescent="0.25">
      <c r="A140" s="511">
        <v>3232</v>
      </c>
      <c r="B140" s="512" t="s">
        <v>25</v>
      </c>
      <c r="C140" s="526">
        <v>10000</v>
      </c>
      <c r="D140" s="526"/>
      <c r="E140" s="526"/>
      <c r="F140" s="526">
        <f t="shared" ref="F140" si="106">C140-D140+E140</f>
        <v>10000</v>
      </c>
      <c r="G140" s="526"/>
      <c r="H140" s="526"/>
      <c r="I140" s="526"/>
      <c r="J140" s="526"/>
      <c r="K140" s="526"/>
    </row>
    <row r="141" spans="1:11" s="6" customFormat="1" ht="2.25" hidden="1" customHeight="1" x14ac:dyDescent="0.25">
      <c r="A141" s="508" t="s">
        <v>177</v>
      </c>
      <c r="B141" s="509" t="s">
        <v>129</v>
      </c>
      <c r="C141" s="510">
        <f t="shared" ref="C141:D141" si="107">SUM(C142)</f>
        <v>0</v>
      </c>
      <c r="D141" s="510">
        <f t="shared" si="107"/>
        <v>0</v>
      </c>
      <c r="E141" s="510"/>
      <c r="F141" s="510"/>
      <c r="G141" s="510"/>
      <c r="H141" s="510"/>
      <c r="I141" s="510"/>
      <c r="J141" s="510"/>
      <c r="K141" s="510"/>
    </row>
    <row r="142" spans="1:11" customFormat="1" ht="9.75" hidden="1" customHeight="1" x14ac:dyDescent="0.25">
      <c r="A142" s="531" t="s">
        <v>178</v>
      </c>
      <c r="B142" s="512" t="s">
        <v>54</v>
      </c>
      <c r="C142" s="513"/>
      <c r="D142" s="513"/>
      <c r="E142" s="513"/>
      <c r="F142" s="513"/>
      <c r="G142" s="513"/>
      <c r="H142" s="513"/>
      <c r="I142" s="513"/>
      <c r="J142" s="513"/>
      <c r="K142" s="513"/>
    </row>
    <row r="143" spans="1:11" customFormat="1" ht="25.5" x14ac:dyDescent="0.25">
      <c r="A143" s="540" t="s">
        <v>332</v>
      </c>
      <c r="B143" s="541" t="s">
        <v>333</v>
      </c>
      <c r="C143" s="507">
        <f>SUM(C144)</f>
        <v>1850000</v>
      </c>
      <c r="D143" s="507">
        <f t="shared" ref="D143:K143" si="108">SUM(D144)</f>
        <v>1569000</v>
      </c>
      <c r="E143" s="507">
        <f t="shared" si="108"/>
        <v>0</v>
      </c>
      <c r="F143" s="507">
        <f t="shared" si="108"/>
        <v>281000</v>
      </c>
      <c r="G143" s="507">
        <f t="shared" si="108"/>
        <v>0</v>
      </c>
      <c r="H143" s="507">
        <f t="shared" si="108"/>
        <v>0</v>
      </c>
      <c r="I143" s="507">
        <f t="shared" si="108"/>
        <v>0</v>
      </c>
      <c r="J143" s="507">
        <f t="shared" si="108"/>
        <v>0</v>
      </c>
      <c r="K143" s="507">
        <f t="shared" si="108"/>
        <v>0</v>
      </c>
    </row>
    <row r="144" spans="1:11" s="6" customFormat="1" ht="25.5" x14ac:dyDescent="0.25">
      <c r="A144" s="508">
        <v>451</v>
      </c>
      <c r="B144" s="509" t="s">
        <v>55</v>
      </c>
      <c r="C144" s="510">
        <f t="shared" ref="C144:K144" si="109">SUM(C145)</f>
        <v>1850000</v>
      </c>
      <c r="D144" s="510">
        <f t="shared" si="109"/>
        <v>1569000</v>
      </c>
      <c r="E144" s="510">
        <f t="shared" si="109"/>
        <v>0</v>
      </c>
      <c r="F144" s="510">
        <f t="shared" si="109"/>
        <v>281000</v>
      </c>
      <c r="G144" s="510">
        <f t="shared" si="109"/>
        <v>0</v>
      </c>
      <c r="H144" s="510">
        <f t="shared" si="109"/>
        <v>0</v>
      </c>
      <c r="I144" s="510">
        <f t="shared" si="109"/>
        <v>0</v>
      </c>
      <c r="J144" s="510">
        <f t="shared" si="109"/>
        <v>0</v>
      </c>
      <c r="K144" s="510">
        <f t="shared" si="109"/>
        <v>0</v>
      </c>
    </row>
    <row r="145" spans="1:11" customFormat="1" ht="25.5" x14ac:dyDescent="0.25">
      <c r="A145" s="511">
        <v>4511</v>
      </c>
      <c r="B145" s="512" t="s">
        <v>55</v>
      </c>
      <c r="C145" s="522">
        <v>1850000</v>
      </c>
      <c r="D145" s="513">
        <v>1569000</v>
      </c>
      <c r="E145" s="513"/>
      <c r="F145" s="513">
        <f t="shared" ref="F145" si="110">C145-D145+E145</f>
        <v>281000</v>
      </c>
      <c r="G145" s="513"/>
      <c r="H145" s="513"/>
      <c r="I145" s="513"/>
      <c r="J145" s="513"/>
      <c r="K145" s="513"/>
    </row>
    <row r="146" spans="1:11" customFormat="1" ht="18" hidden="1" customHeight="1" x14ac:dyDescent="0.25">
      <c r="A146" s="710" t="s">
        <v>113</v>
      </c>
      <c r="B146" s="710"/>
      <c r="C146" s="504">
        <f t="shared" ref="C146:D147" si="111">SUM(C147)</f>
        <v>0</v>
      </c>
      <c r="D146" s="504">
        <f t="shared" si="111"/>
        <v>0</v>
      </c>
      <c r="E146" s="504"/>
      <c r="F146" s="504"/>
      <c r="G146" s="504"/>
      <c r="H146" s="504"/>
      <c r="I146" s="504"/>
      <c r="J146" s="504"/>
      <c r="K146" s="504"/>
    </row>
    <row r="147" spans="1:11" customFormat="1" ht="18.75" hidden="1" customHeight="1" x14ac:dyDescent="0.25">
      <c r="A147" s="508">
        <v>451</v>
      </c>
      <c r="B147" s="509" t="s">
        <v>55</v>
      </c>
      <c r="C147" s="530">
        <f t="shared" si="111"/>
        <v>0</v>
      </c>
      <c r="D147" s="530">
        <f t="shared" si="111"/>
        <v>0</v>
      </c>
      <c r="E147" s="530"/>
      <c r="F147" s="530"/>
      <c r="G147" s="530"/>
      <c r="H147" s="530"/>
      <c r="I147" s="530"/>
      <c r="J147" s="530"/>
      <c r="K147" s="530"/>
    </row>
    <row r="148" spans="1:11" customFormat="1" ht="12.75" hidden="1" customHeight="1" x14ac:dyDescent="0.25">
      <c r="A148" s="511">
        <v>4511</v>
      </c>
      <c r="B148" s="512" t="s">
        <v>55</v>
      </c>
      <c r="C148" s="513"/>
      <c r="D148" s="513"/>
      <c r="E148" s="513"/>
      <c r="F148" s="513"/>
      <c r="G148" s="513"/>
      <c r="H148" s="513"/>
      <c r="I148" s="513"/>
      <c r="J148" s="513"/>
      <c r="K148" s="513"/>
    </row>
    <row r="149" spans="1:11" customFormat="1" ht="15" x14ac:dyDescent="0.25">
      <c r="A149" s="710" t="s">
        <v>241</v>
      </c>
      <c r="B149" s="710"/>
      <c r="C149" s="542">
        <f>SUM(C150)</f>
        <v>2130000</v>
      </c>
      <c r="D149" s="542">
        <f t="shared" ref="D149:K150" si="112">SUM(D150)</f>
        <v>2130000</v>
      </c>
      <c r="E149" s="542">
        <f t="shared" si="112"/>
        <v>0</v>
      </c>
      <c r="F149" s="542">
        <f t="shared" si="112"/>
        <v>0</v>
      </c>
      <c r="G149" s="542">
        <f t="shared" si="112"/>
        <v>2130000</v>
      </c>
      <c r="H149" s="542">
        <f t="shared" si="112"/>
        <v>2130000</v>
      </c>
      <c r="I149" s="542">
        <f t="shared" si="112"/>
        <v>2240000</v>
      </c>
      <c r="J149" s="542">
        <f t="shared" si="112"/>
        <v>7240000</v>
      </c>
      <c r="K149" s="542">
        <f t="shared" si="112"/>
        <v>3620000</v>
      </c>
    </row>
    <row r="150" spans="1:11" customFormat="1" ht="25.5" x14ac:dyDescent="0.25">
      <c r="A150" s="540" t="s">
        <v>332</v>
      </c>
      <c r="B150" s="541" t="s">
        <v>333</v>
      </c>
      <c r="C150" s="507">
        <f>SUM(C151)</f>
        <v>2130000</v>
      </c>
      <c r="D150" s="507">
        <f t="shared" si="112"/>
        <v>2130000</v>
      </c>
      <c r="E150" s="507">
        <f t="shared" si="112"/>
        <v>0</v>
      </c>
      <c r="F150" s="507">
        <f t="shared" si="112"/>
        <v>0</v>
      </c>
      <c r="G150" s="507">
        <f t="shared" si="112"/>
        <v>2130000</v>
      </c>
      <c r="H150" s="507">
        <f t="shared" si="112"/>
        <v>2130000</v>
      </c>
      <c r="I150" s="507">
        <f t="shared" si="112"/>
        <v>2240000</v>
      </c>
      <c r="J150" s="507">
        <f t="shared" si="112"/>
        <v>7240000</v>
      </c>
      <c r="K150" s="507">
        <f t="shared" si="112"/>
        <v>3620000</v>
      </c>
    </row>
    <row r="151" spans="1:11" customFormat="1" ht="25.5" x14ac:dyDescent="0.25">
      <c r="A151" s="519">
        <v>451</v>
      </c>
      <c r="B151" s="523" t="s">
        <v>55</v>
      </c>
      <c r="C151" s="510">
        <f t="shared" ref="C151:K151" si="113">SUM(C152)</f>
        <v>2130000</v>
      </c>
      <c r="D151" s="510">
        <f t="shared" si="113"/>
        <v>2130000</v>
      </c>
      <c r="E151" s="510">
        <f t="shared" si="113"/>
        <v>0</v>
      </c>
      <c r="F151" s="510">
        <f t="shared" si="113"/>
        <v>0</v>
      </c>
      <c r="G151" s="510">
        <f t="shared" si="113"/>
        <v>2130000</v>
      </c>
      <c r="H151" s="510">
        <f t="shared" si="113"/>
        <v>2130000</v>
      </c>
      <c r="I151" s="510">
        <f t="shared" si="113"/>
        <v>2240000</v>
      </c>
      <c r="J151" s="510">
        <f t="shared" si="113"/>
        <v>7240000</v>
      </c>
      <c r="K151" s="510">
        <f t="shared" si="113"/>
        <v>3620000</v>
      </c>
    </row>
    <row r="152" spans="1:11" customFormat="1" ht="25.5" x14ac:dyDescent="0.25">
      <c r="A152" s="520">
        <v>4511</v>
      </c>
      <c r="B152" s="521" t="s">
        <v>55</v>
      </c>
      <c r="C152" s="543">
        <v>2130000</v>
      </c>
      <c r="D152" s="544">
        <v>2130000</v>
      </c>
      <c r="E152" s="543"/>
      <c r="F152" s="513">
        <f t="shared" ref="F152" si="114">C152-D152+E152</f>
        <v>0</v>
      </c>
      <c r="G152" s="543">
        <v>2130000</v>
      </c>
      <c r="H152" s="543">
        <v>2130000</v>
      </c>
      <c r="I152" s="545">
        <f>7240000-5000000</f>
        <v>2240000</v>
      </c>
      <c r="J152" s="545">
        <v>7240000</v>
      </c>
      <c r="K152" s="545">
        <v>3620000</v>
      </c>
    </row>
    <row r="153" spans="1:11" customFormat="1" ht="22.5" customHeight="1" x14ac:dyDescent="0.25">
      <c r="A153" s="501" t="s">
        <v>56</v>
      </c>
      <c r="B153" s="502" t="s">
        <v>57</v>
      </c>
      <c r="C153" s="503">
        <f t="shared" ref="C153:K155" si="115">SUM(C154)</f>
        <v>0</v>
      </c>
      <c r="D153" s="503">
        <f t="shared" si="115"/>
        <v>0</v>
      </c>
      <c r="E153" s="503">
        <f t="shared" si="115"/>
        <v>418000</v>
      </c>
      <c r="F153" s="503">
        <f t="shared" si="115"/>
        <v>418000</v>
      </c>
      <c r="G153" s="503">
        <f t="shared" si="115"/>
        <v>0</v>
      </c>
      <c r="H153" s="503">
        <f t="shared" si="115"/>
        <v>0</v>
      </c>
      <c r="I153" s="503">
        <f t="shared" si="115"/>
        <v>0</v>
      </c>
      <c r="J153" s="503">
        <f t="shared" si="115"/>
        <v>0</v>
      </c>
      <c r="K153" s="503">
        <f t="shared" si="115"/>
        <v>0</v>
      </c>
    </row>
    <row r="154" spans="1:11" customFormat="1" ht="18" customHeight="1" x14ac:dyDescent="0.25">
      <c r="A154" s="710" t="s">
        <v>97</v>
      </c>
      <c r="B154" s="710"/>
      <c r="C154" s="504">
        <f t="shared" si="115"/>
        <v>0</v>
      </c>
      <c r="D154" s="504">
        <f t="shared" si="115"/>
        <v>0</v>
      </c>
      <c r="E154" s="504">
        <f t="shared" si="115"/>
        <v>418000</v>
      </c>
      <c r="F154" s="504">
        <f t="shared" si="115"/>
        <v>418000</v>
      </c>
      <c r="G154" s="504">
        <f t="shared" si="115"/>
        <v>0</v>
      </c>
      <c r="H154" s="504">
        <f t="shared" si="115"/>
        <v>0</v>
      </c>
      <c r="I154" s="504">
        <f t="shared" si="115"/>
        <v>0</v>
      </c>
      <c r="J154" s="504">
        <f t="shared" si="115"/>
        <v>0</v>
      </c>
      <c r="K154" s="504">
        <f t="shared" si="115"/>
        <v>0</v>
      </c>
    </row>
    <row r="155" spans="1:11" s="6" customFormat="1" ht="15" x14ac:dyDescent="0.25">
      <c r="A155" s="508">
        <v>322</v>
      </c>
      <c r="B155" s="509" t="s">
        <v>16</v>
      </c>
      <c r="C155" s="510">
        <f t="shared" si="115"/>
        <v>0</v>
      </c>
      <c r="D155" s="510">
        <f t="shared" si="115"/>
        <v>0</v>
      </c>
      <c r="E155" s="510">
        <f t="shared" si="115"/>
        <v>418000</v>
      </c>
      <c r="F155" s="510">
        <f t="shared" si="115"/>
        <v>418000</v>
      </c>
      <c r="G155" s="510">
        <f t="shared" si="115"/>
        <v>0</v>
      </c>
      <c r="H155" s="510">
        <f t="shared" si="115"/>
        <v>0</v>
      </c>
      <c r="I155" s="510">
        <f t="shared" si="115"/>
        <v>0</v>
      </c>
      <c r="J155" s="510">
        <f t="shared" si="115"/>
        <v>0</v>
      </c>
      <c r="K155" s="510">
        <f t="shared" si="115"/>
        <v>0</v>
      </c>
    </row>
    <row r="156" spans="1:11" customFormat="1" ht="15" x14ac:dyDescent="0.25">
      <c r="A156" s="531">
        <v>3227</v>
      </c>
      <c r="B156" s="512" t="s">
        <v>22</v>
      </c>
      <c r="C156" s="513"/>
      <c r="D156" s="513"/>
      <c r="E156" s="513">
        <v>418000</v>
      </c>
      <c r="F156" s="513">
        <f t="shared" ref="F156" si="116">C156-D156+E156</f>
        <v>418000</v>
      </c>
      <c r="G156" s="513"/>
      <c r="H156" s="513"/>
      <c r="I156" s="513"/>
      <c r="J156" s="513"/>
      <c r="K156" s="513"/>
    </row>
    <row r="157" spans="1:11" customFormat="1" ht="22.5" customHeight="1" x14ac:dyDescent="0.25">
      <c r="A157" s="501" t="s">
        <v>191</v>
      </c>
      <c r="B157" s="502" t="s">
        <v>275</v>
      </c>
      <c r="C157" s="503">
        <f t="shared" ref="C157:E157" si="117">SUM(C158+C161)</f>
        <v>157500</v>
      </c>
      <c r="D157" s="503">
        <f t="shared" si="117"/>
        <v>60000</v>
      </c>
      <c r="E157" s="503">
        <f t="shared" si="117"/>
        <v>1500</v>
      </c>
      <c r="F157" s="503">
        <f>SUM(F158+F161)</f>
        <v>99000</v>
      </c>
      <c r="G157" s="503">
        <f t="shared" ref="G157:H157" si="118">SUM(G158+G161)</f>
        <v>0</v>
      </c>
      <c r="H157" s="503">
        <f t="shared" si="118"/>
        <v>0</v>
      </c>
      <c r="I157" s="503">
        <f t="shared" ref="I157:K157" si="119">SUM(I158+I161)</f>
        <v>197000</v>
      </c>
      <c r="J157" s="503">
        <f t="shared" si="119"/>
        <v>184000</v>
      </c>
      <c r="K157" s="503">
        <f t="shared" si="119"/>
        <v>0</v>
      </c>
    </row>
    <row r="158" spans="1:11" customFormat="1" ht="18" hidden="1" customHeight="1" x14ac:dyDescent="0.25">
      <c r="A158" s="713" t="s">
        <v>97</v>
      </c>
      <c r="B158" s="713"/>
      <c r="C158" s="504">
        <f t="shared" ref="C158:K192" si="120">SUM(C159)</f>
        <v>0</v>
      </c>
      <c r="D158" s="504">
        <f t="shared" si="120"/>
        <v>0</v>
      </c>
      <c r="E158" s="504">
        <f t="shared" si="120"/>
        <v>0</v>
      </c>
      <c r="F158" s="504">
        <f t="shared" si="120"/>
        <v>0</v>
      </c>
      <c r="G158" s="504">
        <f t="shared" si="120"/>
        <v>0</v>
      </c>
      <c r="H158" s="504">
        <f t="shared" si="120"/>
        <v>0</v>
      </c>
      <c r="I158" s="504">
        <f t="shared" si="120"/>
        <v>0</v>
      </c>
      <c r="J158" s="504">
        <f t="shared" si="120"/>
        <v>0</v>
      </c>
      <c r="K158" s="504">
        <f t="shared" si="120"/>
        <v>0</v>
      </c>
    </row>
    <row r="159" spans="1:11" customFormat="1" ht="15" hidden="1" customHeight="1" x14ac:dyDescent="0.25">
      <c r="A159" s="508">
        <v>323</v>
      </c>
      <c r="B159" s="509" t="s">
        <v>23</v>
      </c>
      <c r="C159" s="525">
        <f t="shared" si="120"/>
        <v>0</v>
      </c>
      <c r="D159" s="525">
        <f t="shared" si="120"/>
        <v>0</v>
      </c>
      <c r="E159" s="525">
        <f t="shared" si="120"/>
        <v>0</v>
      </c>
      <c r="F159" s="525">
        <f t="shared" si="120"/>
        <v>0</v>
      </c>
      <c r="G159" s="525">
        <f t="shared" si="120"/>
        <v>0</v>
      </c>
      <c r="H159" s="525">
        <f t="shared" si="120"/>
        <v>0</v>
      </c>
      <c r="I159" s="525">
        <f t="shared" si="120"/>
        <v>0</v>
      </c>
      <c r="J159" s="525">
        <f t="shared" si="120"/>
        <v>0</v>
      </c>
      <c r="K159" s="525">
        <f t="shared" si="120"/>
        <v>0</v>
      </c>
    </row>
    <row r="160" spans="1:11" customFormat="1" ht="15" hidden="1" customHeight="1" x14ac:dyDescent="0.25">
      <c r="A160" s="511">
        <v>3239</v>
      </c>
      <c r="B160" s="512" t="s">
        <v>31</v>
      </c>
      <c r="C160" s="526"/>
      <c r="D160" s="526"/>
      <c r="E160" s="526"/>
      <c r="F160" s="526"/>
      <c r="G160" s="526"/>
      <c r="H160" s="526"/>
      <c r="I160" s="526"/>
      <c r="J160" s="526"/>
      <c r="K160" s="526"/>
    </row>
    <row r="161" spans="1:12" customFormat="1" ht="17.25" customHeight="1" x14ac:dyDescent="0.25">
      <c r="A161" s="710" t="s">
        <v>106</v>
      </c>
      <c r="B161" s="710"/>
      <c r="C161" s="504">
        <f>SUM(C162,C165)</f>
        <v>157500</v>
      </c>
      <c r="D161" s="504">
        <f t="shared" ref="D161:E161" si="121">SUM(D162,D165)</f>
        <v>60000</v>
      </c>
      <c r="E161" s="504">
        <f t="shared" si="121"/>
        <v>1500</v>
      </c>
      <c r="F161" s="504">
        <f>SUM(F162,F165)</f>
        <v>99000</v>
      </c>
      <c r="G161" s="504">
        <f t="shared" ref="G161:H161" si="122">SUM(G162,G165)</f>
        <v>0</v>
      </c>
      <c r="H161" s="504">
        <f t="shared" si="122"/>
        <v>0</v>
      </c>
      <c r="I161" s="504">
        <f t="shared" ref="I161:K161" si="123">SUM(I162,I165)</f>
        <v>197000</v>
      </c>
      <c r="J161" s="504">
        <f t="shared" si="123"/>
        <v>184000</v>
      </c>
      <c r="K161" s="504">
        <f t="shared" si="123"/>
        <v>0</v>
      </c>
    </row>
    <row r="162" spans="1:12" customFormat="1" ht="17.25" customHeight="1" x14ac:dyDescent="0.25">
      <c r="A162" s="516" t="s">
        <v>322</v>
      </c>
      <c r="B162" s="517" t="s">
        <v>323</v>
      </c>
      <c r="C162" s="518">
        <f>SUM(C163)</f>
        <v>23000</v>
      </c>
      <c r="D162" s="518">
        <f t="shared" ref="D162:K162" si="124">SUM(D163)</f>
        <v>0</v>
      </c>
      <c r="E162" s="518">
        <f t="shared" si="124"/>
        <v>0</v>
      </c>
      <c r="F162" s="518">
        <f t="shared" si="124"/>
        <v>23000</v>
      </c>
      <c r="G162" s="518">
        <f t="shared" si="124"/>
        <v>0</v>
      </c>
      <c r="H162" s="518">
        <f t="shared" si="124"/>
        <v>0</v>
      </c>
      <c r="I162" s="518">
        <f t="shared" si="124"/>
        <v>100000</v>
      </c>
      <c r="J162" s="518">
        <f t="shared" si="124"/>
        <v>85000</v>
      </c>
      <c r="K162" s="518">
        <f t="shared" si="124"/>
        <v>0</v>
      </c>
    </row>
    <row r="163" spans="1:12" customFormat="1" ht="17.25" customHeight="1" x14ac:dyDescent="0.25">
      <c r="A163" s="519">
        <v>311</v>
      </c>
      <c r="B163" s="509" t="s">
        <v>5</v>
      </c>
      <c r="C163" s="510">
        <f t="shared" ref="C163:K163" si="125">SUM(C164)</f>
        <v>23000</v>
      </c>
      <c r="D163" s="510">
        <f t="shared" si="125"/>
        <v>0</v>
      </c>
      <c r="E163" s="510">
        <f t="shared" si="125"/>
        <v>0</v>
      </c>
      <c r="F163" s="510">
        <f t="shared" si="125"/>
        <v>23000</v>
      </c>
      <c r="G163" s="510">
        <f t="shared" si="125"/>
        <v>0</v>
      </c>
      <c r="H163" s="510">
        <f t="shared" si="125"/>
        <v>0</v>
      </c>
      <c r="I163" s="510">
        <f t="shared" si="125"/>
        <v>100000</v>
      </c>
      <c r="J163" s="510">
        <f t="shared" si="125"/>
        <v>85000</v>
      </c>
      <c r="K163" s="510">
        <f t="shared" si="125"/>
        <v>0</v>
      </c>
    </row>
    <row r="164" spans="1:12" customFormat="1" ht="12" customHeight="1" x14ac:dyDescent="0.25">
      <c r="A164" s="520">
        <v>3111</v>
      </c>
      <c r="B164" s="521" t="s">
        <v>5</v>
      </c>
      <c r="C164" s="513">
        <v>23000</v>
      </c>
      <c r="D164" s="513"/>
      <c r="E164" s="513"/>
      <c r="F164" s="513">
        <f t="shared" ref="F164" si="126">C164-D164+E164</f>
        <v>23000</v>
      </c>
      <c r="G164" s="513"/>
      <c r="H164" s="513"/>
      <c r="I164" s="513">
        <v>100000</v>
      </c>
      <c r="J164" s="513">
        <v>85000</v>
      </c>
      <c r="K164" s="513"/>
    </row>
    <row r="165" spans="1:12" customFormat="1" ht="17.25" customHeight="1" x14ac:dyDescent="0.25">
      <c r="A165" s="505" t="s">
        <v>324</v>
      </c>
      <c r="B165" s="506" t="s">
        <v>325</v>
      </c>
      <c r="C165" s="507">
        <f>SUM(C166,C168,C174,C182)</f>
        <v>134500</v>
      </c>
      <c r="D165" s="507">
        <f>SUM(D166,D168,D174,D182)</f>
        <v>60000</v>
      </c>
      <c r="E165" s="507">
        <f>SUM(E166,E168,E174,E182)</f>
        <v>1500</v>
      </c>
      <c r="F165" s="507">
        <f>SUM(F166,F168,F174,F182)</f>
        <v>76000</v>
      </c>
      <c r="G165" s="507">
        <f t="shared" ref="G165:H165" si="127">SUM(G166,G174,G182,G168)</f>
        <v>0</v>
      </c>
      <c r="H165" s="507">
        <f t="shared" si="127"/>
        <v>0</v>
      </c>
      <c r="I165" s="507">
        <f>SUM(I166,I174,I182,I168,I184)</f>
        <v>97000</v>
      </c>
      <c r="J165" s="507">
        <f t="shared" ref="J165:K165" si="128">SUM(J166,J174,J182,J168,J184)</f>
        <v>99000</v>
      </c>
      <c r="K165" s="507">
        <f t="shared" si="128"/>
        <v>0</v>
      </c>
      <c r="L165" s="10"/>
    </row>
    <row r="166" spans="1:12" s="6" customFormat="1" ht="15" x14ac:dyDescent="0.25">
      <c r="A166" s="519" t="s">
        <v>149</v>
      </c>
      <c r="B166" s="523" t="s">
        <v>12</v>
      </c>
      <c r="C166" s="533">
        <f t="shared" ref="C166:K166" si="129">SUM(C167)</f>
        <v>51000</v>
      </c>
      <c r="D166" s="533">
        <f t="shared" si="129"/>
        <v>40000</v>
      </c>
      <c r="E166" s="533">
        <f t="shared" si="129"/>
        <v>0</v>
      </c>
      <c r="F166" s="533">
        <f t="shared" si="129"/>
        <v>11000</v>
      </c>
      <c r="G166" s="533">
        <f t="shared" si="129"/>
        <v>0</v>
      </c>
      <c r="H166" s="533">
        <f t="shared" si="129"/>
        <v>0</v>
      </c>
      <c r="I166" s="533">
        <f t="shared" si="129"/>
        <v>15000</v>
      </c>
      <c r="J166" s="533">
        <f t="shared" si="129"/>
        <v>10000</v>
      </c>
      <c r="K166" s="533">
        <f t="shared" si="129"/>
        <v>0</v>
      </c>
    </row>
    <row r="167" spans="1:12" customFormat="1" ht="15" x14ac:dyDescent="0.25">
      <c r="A167" s="520" t="s">
        <v>150</v>
      </c>
      <c r="B167" s="521" t="s">
        <v>13</v>
      </c>
      <c r="C167" s="522">
        <v>51000</v>
      </c>
      <c r="D167" s="522">
        <v>40000</v>
      </c>
      <c r="E167" s="522"/>
      <c r="F167" s="513">
        <f t="shared" ref="F167" si="130">C167-D167+E167</f>
        <v>11000</v>
      </c>
      <c r="G167" s="522"/>
      <c r="H167" s="522"/>
      <c r="I167" s="522">
        <v>15000</v>
      </c>
      <c r="J167" s="522">
        <v>10000</v>
      </c>
      <c r="K167" s="522"/>
    </row>
    <row r="168" spans="1:12" s="6" customFormat="1" ht="20.25" customHeight="1" x14ac:dyDescent="0.25">
      <c r="A168" s="519" t="s">
        <v>153</v>
      </c>
      <c r="B168" s="523" t="s">
        <v>16</v>
      </c>
      <c r="C168" s="533">
        <f>SUM(C169,C173)</f>
        <v>2000</v>
      </c>
      <c r="D168" s="533">
        <f t="shared" ref="D168:E168" si="131">SUM(D169,D173)</f>
        <v>2000</v>
      </c>
      <c r="E168" s="533">
        <f t="shared" si="131"/>
        <v>0</v>
      </c>
      <c r="F168" s="533">
        <f t="shared" ref="F168" si="132">SUM(F169,F173)</f>
        <v>0</v>
      </c>
      <c r="G168" s="533">
        <f t="shared" ref="G168" si="133">SUM(G169,G173)</f>
        <v>0</v>
      </c>
      <c r="H168" s="533">
        <f t="shared" ref="H168" si="134">SUM(H169,H173)</f>
        <v>0</v>
      </c>
      <c r="I168" s="533">
        <f t="shared" ref="I168" si="135">SUM(I169,I173)</f>
        <v>2000</v>
      </c>
      <c r="J168" s="533">
        <f t="shared" ref="J168" si="136">SUM(J169,J173)</f>
        <v>0</v>
      </c>
      <c r="K168" s="533">
        <f>K169+K173</f>
        <v>0</v>
      </c>
    </row>
    <row r="169" spans="1:12" customFormat="1" ht="17.25" customHeight="1" x14ac:dyDescent="0.25">
      <c r="A169" s="520" t="s">
        <v>154</v>
      </c>
      <c r="B169" s="521" t="s">
        <v>17</v>
      </c>
      <c r="C169" s="522">
        <v>1000</v>
      </c>
      <c r="D169" s="522">
        <v>1000</v>
      </c>
      <c r="E169" s="522">
        <v>0</v>
      </c>
      <c r="F169" s="513">
        <f t="shared" ref="F169:F173" si="137">C169-D169+E169</f>
        <v>0</v>
      </c>
      <c r="G169" s="522"/>
      <c r="H169" s="522"/>
      <c r="I169" s="522">
        <v>2000</v>
      </c>
      <c r="J169" s="522"/>
      <c r="K169" s="522"/>
    </row>
    <row r="170" spans="1:12" customFormat="1" ht="20.25" hidden="1" customHeight="1" x14ac:dyDescent="0.25">
      <c r="A170" s="520" t="s">
        <v>155</v>
      </c>
      <c r="B170" s="521" t="s">
        <v>18</v>
      </c>
      <c r="C170" s="522">
        <v>0</v>
      </c>
      <c r="D170" s="522"/>
      <c r="E170" s="522">
        <v>1000</v>
      </c>
      <c r="F170" s="513">
        <f t="shared" si="137"/>
        <v>1000</v>
      </c>
      <c r="G170" s="522"/>
      <c r="H170" s="522"/>
      <c r="I170" s="522"/>
      <c r="J170" s="522"/>
      <c r="K170" s="522"/>
    </row>
    <row r="171" spans="1:12" customFormat="1" ht="26.25" hidden="1" customHeight="1" x14ac:dyDescent="0.25">
      <c r="A171" s="520" t="s">
        <v>156</v>
      </c>
      <c r="B171" s="521" t="s">
        <v>19</v>
      </c>
      <c r="C171" s="522">
        <v>0</v>
      </c>
      <c r="D171" s="522"/>
      <c r="E171" s="522">
        <v>1000</v>
      </c>
      <c r="F171" s="513">
        <f t="shared" si="137"/>
        <v>1000</v>
      </c>
      <c r="G171" s="522"/>
      <c r="H171" s="522"/>
      <c r="I171" s="522"/>
      <c r="J171" s="522"/>
      <c r="K171" s="522"/>
    </row>
    <row r="172" spans="1:12" customFormat="1" ht="21" hidden="1" customHeight="1" x14ac:dyDescent="0.25">
      <c r="A172" s="520">
        <v>3224</v>
      </c>
      <c r="B172" s="546" t="s">
        <v>112</v>
      </c>
      <c r="C172" s="522">
        <v>0</v>
      </c>
      <c r="D172" s="522"/>
      <c r="E172" s="522">
        <v>1000</v>
      </c>
      <c r="F172" s="513">
        <f t="shared" si="137"/>
        <v>1000</v>
      </c>
      <c r="G172" s="522"/>
      <c r="H172" s="522"/>
      <c r="I172" s="522"/>
      <c r="J172" s="522"/>
      <c r="K172" s="522"/>
    </row>
    <row r="173" spans="1:12" customFormat="1" ht="14.25" customHeight="1" x14ac:dyDescent="0.25">
      <c r="A173" s="520" t="s">
        <v>158</v>
      </c>
      <c r="B173" s="521" t="s">
        <v>21</v>
      </c>
      <c r="C173" s="522">
        <v>1000</v>
      </c>
      <c r="D173" s="522">
        <v>1000</v>
      </c>
      <c r="E173" s="522">
        <v>0</v>
      </c>
      <c r="F173" s="513">
        <f t="shared" si="137"/>
        <v>0</v>
      </c>
      <c r="G173" s="522"/>
      <c r="H173" s="522"/>
      <c r="I173" s="522"/>
      <c r="J173" s="522"/>
      <c r="K173" s="522"/>
    </row>
    <row r="174" spans="1:12" s="6" customFormat="1" ht="15" x14ac:dyDescent="0.25">
      <c r="A174" s="519" t="s">
        <v>159</v>
      </c>
      <c r="B174" s="523" t="s">
        <v>123</v>
      </c>
      <c r="C174" s="533">
        <f t="shared" ref="C174:F174" si="138">SUM(C175:C181)</f>
        <v>72500</v>
      </c>
      <c r="D174" s="533">
        <f t="shared" si="138"/>
        <v>18000</v>
      </c>
      <c r="E174" s="533">
        <f t="shared" si="138"/>
        <v>1500</v>
      </c>
      <c r="F174" s="533">
        <f t="shared" si="138"/>
        <v>56000</v>
      </c>
      <c r="G174" s="533">
        <f t="shared" ref="G174:H174" si="139">SUM(G175:G181)</f>
        <v>0</v>
      </c>
      <c r="H174" s="533">
        <f t="shared" si="139"/>
        <v>0</v>
      </c>
      <c r="I174" s="533">
        <f t="shared" ref="I174:J174" si="140">SUM(I175:I181)</f>
        <v>52000</v>
      </c>
      <c r="J174" s="533">
        <f t="shared" si="140"/>
        <v>45000</v>
      </c>
      <c r="K174" s="533">
        <f t="shared" ref="K174" si="141">SUM(K175:K181)</f>
        <v>0</v>
      </c>
    </row>
    <row r="175" spans="1:12" customFormat="1" ht="15" x14ac:dyDescent="0.25">
      <c r="A175" s="520" t="s">
        <v>160</v>
      </c>
      <c r="B175" s="521" t="s">
        <v>24</v>
      </c>
      <c r="C175" s="513">
        <v>6000</v>
      </c>
      <c r="D175" s="513"/>
      <c r="E175" s="513"/>
      <c r="F175" s="513">
        <f t="shared" ref="F175:F183" si="142">C175-D175+E175</f>
        <v>6000</v>
      </c>
      <c r="G175" s="513"/>
      <c r="H175" s="513"/>
      <c r="I175" s="513"/>
      <c r="J175" s="513"/>
      <c r="K175" s="513"/>
    </row>
    <row r="176" spans="1:12" customFormat="1" ht="15" hidden="1" x14ac:dyDescent="0.25">
      <c r="A176" s="520" t="s">
        <v>161</v>
      </c>
      <c r="B176" s="521" t="s">
        <v>25</v>
      </c>
      <c r="C176" s="513"/>
      <c r="D176" s="513"/>
      <c r="E176" s="513"/>
      <c r="F176" s="513">
        <f t="shared" si="142"/>
        <v>0</v>
      </c>
      <c r="G176" s="513"/>
      <c r="H176" s="513"/>
      <c r="I176" s="513"/>
      <c r="J176" s="513"/>
      <c r="K176" s="513"/>
    </row>
    <row r="177" spans="1:11" customFormat="1" ht="15.75" customHeight="1" x14ac:dyDescent="0.25">
      <c r="A177" s="520" t="s">
        <v>162</v>
      </c>
      <c r="B177" s="521" t="s">
        <v>26</v>
      </c>
      <c r="C177" s="513">
        <v>8500</v>
      </c>
      <c r="D177" s="513"/>
      <c r="E177" s="513">
        <v>1500</v>
      </c>
      <c r="F177" s="513">
        <f t="shared" si="142"/>
        <v>10000</v>
      </c>
      <c r="G177" s="513"/>
      <c r="H177" s="513"/>
      <c r="I177" s="513">
        <v>10000</v>
      </c>
      <c r="J177" s="513">
        <v>20000</v>
      </c>
      <c r="K177" s="513"/>
    </row>
    <row r="178" spans="1:11" customFormat="1" ht="15" x14ac:dyDescent="0.25">
      <c r="A178" s="520" t="s">
        <v>164</v>
      </c>
      <c r="B178" s="521" t="s">
        <v>28</v>
      </c>
      <c r="C178" s="513">
        <v>2000</v>
      </c>
      <c r="D178" s="513">
        <v>2000</v>
      </c>
      <c r="E178" s="513"/>
      <c r="F178" s="513">
        <f t="shared" si="142"/>
        <v>0</v>
      </c>
      <c r="G178" s="513"/>
      <c r="H178" s="513"/>
      <c r="I178" s="513">
        <v>2000</v>
      </c>
      <c r="J178" s="513">
        <v>5000</v>
      </c>
      <c r="K178" s="513"/>
    </row>
    <row r="179" spans="1:11" customFormat="1" ht="13.5" customHeight="1" x14ac:dyDescent="0.25">
      <c r="A179" s="520">
        <v>3237</v>
      </c>
      <c r="B179" s="521" t="s">
        <v>30</v>
      </c>
      <c r="C179" s="513">
        <v>13000</v>
      </c>
      <c r="D179" s="513">
        <v>13000</v>
      </c>
      <c r="E179" s="513"/>
      <c r="F179" s="513">
        <f t="shared" si="142"/>
        <v>0</v>
      </c>
      <c r="G179" s="513"/>
      <c r="H179" s="513"/>
      <c r="I179" s="513">
        <v>15000</v>
      </c>
      <c r="J179" s="513">
        <v>0</v>
      </c>
      <c r="K179" s="513"/>
    </row>
    <row r="180" spans="1:11" customFormat="1" ht="13.5" customHeight="1" x14ac:dyDescent="0.25">
      <c r="A180" s="520">
        <v>3238</v>
      </c>
      <c r="B180" s="521" t="s">
        <v>70</v>
      </c>
      <c r="C180" s="513"/>
      <c r="D180" s="513"/>
      <c r="E180" s="513"/>
      <c r="F180" s="513"/>
      <c r="G180" s="513"/>
      <c r="H180" s="513"/>
      <c r="I180" s="513">
        <v>0</v>
      </c>
      <c r="J180" s="513">
        <v>20000</v>
      </c>
      <c r="K180" s="513"/>
    </row>
    <row r="181" spans="1:11" customFormat="1" ht="14.25" customHeight="1" x14ac:dyDescent="0.25">
      <c r="A181" s="520" t="s">
        <v>167</v>
      </c>
      <c r="B181" s="521" t="s">
        <v>31</v>
      </c>
      <c r="C181" s="522">
        <v>43000</v>
      </c>
      <c r="D181" s="522">
        <v>3000</v>
      </c>
      <c r="E181" s="522"/>
      <c r="F181" s="513">
        <f t="shared" si="142"/>
        <v>40000</v>
      </c>
      <c r="G181" s="522"/>
      <c r="H181" s="522"/>
      <c r="I181" s="522">
        <v>25000</v>
      </c>
      <c r="J181" s="522">
        <v>0</v>
      </c>
      <c r="K181" s="522"/>
    </row>
    <row r="182" spans="1:11" s="6" customFormat="1" ht="25.5" x14ac:dyDescent="0.25">
      <c r="A182" s="519" t="s">
        <v>168</v>
      </c>
      <c r="B182" s="523" t="s">
        <v>32</v>
      </c>
      <c r="C182" s="533">
        <f t="shared" ref="C182:K182" si="143">SUM(C183)</f>
        <v>9000</v>
      </c>
      <c r="D182" s="533">
        <f t="shared" si="143"/>
        <v>0</v>
      </c>
      <c r="E182" s="533">
        <f t="shared" si="143"/>
        <v>0</v>
      </c>
      <c r="F182" s="533">
        <f t="shared" si="143"/>
        <v>9000</v>
      </c>
      <c r="G182" s="533">
        <f t="shared" si="143"/>
        <v>0</v>
      </c>
      <c r="H182" s="533">
        <f t="shared" si="143"/>
        <v>0</v>
      </c>
      <c r="I182" s="533">
        <f t="shared" si="143"/>
        <v>10000</v>
      </c>
      <c r="J182" s="533">
        <f>SUM(J183)</f>
        <v>20000</v>
      </c>
      <c r="K182" s="533">
        <f t="shared" si="143"/>
        <v>0</v>
      </c>
    </row>
    <row r="183" spans="1:11" customFormat="1" ht="25.5" x14ac:dyDescent="0.25">
      <c r="A183" s="520" t="s">
        <v>169</v>
      </c>
      <c r="B183" s="521" t="s">
        <v>32</v>
      </c>
      <c r="C183" s="522">
        <v>9000</v>
      </c>
      <c r="D183" s="522"/>
      <c r="E183" s="522"/>
      <c r="F183" s="513">
        <f t="shared" si="142"/>
        <v>9000</v>
      </c>
      <c r="G183" s="522"/>
      <c r="H183" s="522"/>
      <c r="I183" s="522">
        <v>10000</v>
      </c>
      <c r="J183" s="522">
        <v>20000</v>
      </c>
      <c r="K183" s="522"/>
    </row>
    <row r="184" spans="1:11" s="6" customFormat="1" ht="14.25" customHeight="1" x14ac:dyDescent="0.25">
      <c r="A184" s="519" t="s">
        <v>170</v>
      </c>
      <c r="B184" s="523" t="s">
        <v>33</v>
      </c>
      <c r="C184" s="533">
        <f t="shared" ref="C184:K184" si="144">SUM(C185:C187)</f>
        <v>0</v>
      </c>
      <c r="D184" s="533">
        <f t="shared" si="144"/>
        <v>0</v>
      </c>
      <c r="E184" s="533">
        <f t="shared" si="144"/>
        <v>0</v>
      </c>
      <c r="F184" s="533">
        <f t="shared" si="144"/>
        <v>0</v>
      </c>
      <c r="G184" s="533">
        <f t="shared" si="144"/>
        <v>0</v>
      </c>
      <c r="H184" s="533">
        <f t="shared" si="144"/>
        <v>0</v>
      </c>
      <c r="I184" s="533">
        <f t="shared" si="144"/>
        <v>18000</v>
      </c>
      <c r="J184" s="533">
        <f t="shared" si="144"/>
        <v>24000</v>
      </c>
      <c r="K184" s="533">
        <f t="shared" si="144"/>
        <v>0</v>
      </c>
    </row>
    <row r="185" spans="1:11" customFormat="1" ht="14.25" hidden="1" customHeight="1" x14ac:dyDescent="0.25">
      <c r="A185" s="520" t="s">
        <v>171</v>
      </c>
      <c r="B185" s="521" t="s">
        <v>35</v>
      </c>
      <c r="C185" s="522"/>
      <c r="D185" s="522"/>
      <c r="E185" s="522"/>
      <c r="F185" s="522"/>
      <c r="G185" s="522"/>
      <c r="H185" s="522"/>
      <c r="I185" s="522"/>
      <c r="J185" s="522"/>
      <c r="K185" s="522"/>
    </row>
    <row r="186" spans="1:11" customFormat="1" ht="21" customHeight="1" x14ac:dyDescent="0.25">
      <c r="A186" s="520" t="s">
        <v>172</v>
      </c>
      <c r="B186" s="521" t="s">
        <v>36</v>
      </c>
      <c r="C186" s="522"/>
      <c r="D186" s="522"/>
      <c r="E186" s="522"/>
      <c r="F186" s="522"/>
      <c r="G186" s="522"/>
      <c r="H186" s="522"/>
      <c r="I186" s="522">
        <v>18000</v>
      </c>
      <c r="J186" s="522">
        <v>24000</v>
      </c>
      <c r="K186" s="522"/>
    </row>
    <row r="187" spans="1:11" customFormat="1" ht="14.25" hidden="1" customHeight="1" x14ac:dyDescent="0.25">
      <c r="A187" s="520">
        <v>3299</v>
      </c>
      <c r="B187" s="512" t="s">
        <v>33</v>
      </c>
      <c r="C187" s="522"/>
      <c r="D187" s="522"/>
      <c r="E187" s="522"/>
      <c r="F187" s="522"/>
      <c r="G187" s="522"/>
      <c r="H187" s="522"/>
      <c r="I187" s="522"/>
      <c r="J187" s="522"/>
      <c r="K187" s="522"/>
    </row>
    <row r="188" spans="1:11" customFormat="1" ht="15" hidden="1" customHeight="1" x14ac:dyDescent="0.25">
      <c r="A188" s="519">
        <v>361</v>
      </c>
      <c r="B188" s="509" t="s">
        <v>137</v>
      </c>
      <c r="C188" s="510">
        <f t="shared" ref="C188:D188" si="145">SUM(C189)</f>
        <v>0</v>
      </c>
      <c r="D188" s="510">
        <f t="shared" si="145"/>
        <v>0</v>
      </c>
      <c r="E188" s="510"/>
      <c r="F188" s="510"/>
      <c r="G188" s="510"/>
      <c r="H188" s="510"/>
      <c r="I188" s="510"/>
      <c r="J188" s="510"/>
      <c r="K188" s="510"/>
    </row>
    <row r="189" spans="1:11" customFormat="1" ht="23.25" hidden="1" customHeight="1" x14ac:dyDescent="0.25">
      <c r="A189" s="520">
        <v>3611</v>
      </c>
      <c r="B189" s="512" t="s">
        <v>258</v>
      </c>
      <c r="C189" s="513"/>
      <c r="D189" s="513"/>
      <c r="E189" s="513"/>
      <c r="F189" s="513"/>
      <c r="G189" s="513"/>
      <c r="H189" s="513"/>
      <c r="I189" s="513"/>
      <c r="J189" s="513"/>
      <c r="K189" s="513"/>
    </row>
    <row r="190" spans="1:11" ht="15.75" hidden="1" customHeight="1" x14ac:dyDescent="0.2">
      <c r="A190" s="501" t="s">
        <v>56</v>
      </c>
      <c r="B190" s="502" t="s">
        <v>57</v>
      </c>
      <c r="C190" s="503">
        <f t="shared" si="120"/>
        <v>0</v>
      </c>
      <c r="D190" s="503">
        <f t="shared" si="120"/>
        <v>0</v>
      </c>
      <c r="E190" s="503"/>
      <c r="F190" s="503"/>
      <c r="G190" s="503"/>
      <c r="H190" s="503"/>
      <c r="I190" s="503"/>
      <c r="J190" s="503"/>
      <c r="K190" s="503"/>
    </row>
    <row r="191" spans="1:11" ht="18.75" hidden="1" customHeight="1" x14ac:dyDescent="0.2">
      <c r="A191" s="547" t="s">
        <v>97</v>
      </c>
      <c r="B191" s="547"/>
      <c r="C191" s="504">
        <f t="shared" si="120"/>
        <v>0</v>
      </c>
      <c r="D191" s="504">
        <f t="shared" si="120"/>
        <v>0</v>
      </c>
      <c r="E191" s="504"/>
      <c r="F191" s="504"/>
      <c r="G191" s="504"/>
      <c r="H191" s="504"/>
      <c r="I191" s="504"/>
      <c r="J191" s="504"/>
      <c r="K191" s="504"/>
    </row>
    <row r="192" spans="1:11" ht="12.75" hidden="1" customHeight="1" x14ac:dyDescent="0.2">
      <c r="A192" s="519">
        <v>322</v>
      </c>
      <c r="B192" s="509" t="s">
        <v>16</v>
      </c>
      <c r="C192" s="510">
        <f t="shared" si="120"/>
        <v>0</v>
      </c>
      <c r="D192" s="510">
        <f t="shared" si="120"/>
        <v>0</v>
      </c>
      <c r="E192" s="510"/>
      <c r="F192" s="510"/>
      <c r="G192" s="510"/>
      <c r="H192" s="510"/>
      <c r="I192" s="510"/>
      <c r="J192" s="510"/>
      <c r="K192" s="510"/>
    </row>
    <row r="193" spans="1:11" ht="14.25" hidden="1" customHeight="1" x14ac:dyDescent="0.2">
      <c r="A193" s="520">
        <v>3227</v>
      </c>
      <c r="B193" s="521" t="s">
        <v>22</v>
      </c>
      <c r="C193" s="513"/>
      <c r="D193" s="513"/>
      <c r="E193" s="513"/>
      <c r="F193" s="513"/>
      <c r="G193" s="513"/>
      <c r="H193" s="513"/>
      <c r="I193" s="513"/>
      <c r="J193" s="513"/>
      <c r="K193" s="513"/>
    </row>
    <row r="194" spans="1:11" ht="21.75" hidden="1" customHeight="1" x14ac:dyDescent="0.2">
      <c r="A194" s="18"/>
      <c r="B194" s="19"/>
      <c r="C194" s="17"/>
      <c r="D194" s="17"/>
      <c r="E194" s="17"/>
      <c r="F194" s="17"/>
      <c r="G194" s="17"/>
      <c r="H194" s="17"/>
      <c r="I194" s="17"/>
      <c r="J194" s="17"/>
      <c r="K194" s="17"/>
    </row>
    <row r="195" spans="1:11" customFormat="1" ht="24.95" customHeight="1" x14ac:dyDescent="0.25">
      <c r="A195" s="501" t="s">
        <v>98</v>
      </c>
      <c r="B195" s="502" t="s">
        <v>99</v>
      </c>
      <c r="C195" s="548">
        <f t="shared" ref="C195:K195" si="146">SUM(C196)</f>
        <v>9293000</v>
      </c>
      <c r="D195" s="548">
        <f t="shared" si="146"/>
        <v>0</v>
      </c>
      <c r="E195" s="548">
        <f t="shared" si="146"/>
        <v>2777000</v>
      </c>
      <c r="F195" s="548">
        <f t="shared" si="146"/>
        <v>12070000</v>
      </c>
      <c r="G195" s="548">
        <f t="shared" si="146"/>
        <v>9293000</v>
      </c>
      <c r="H195" s="548">
        <f t="shared" si="146"/>
        <v>9293000</v>
      </c>
      <c r="I195" s="548">
        <f t="shared" si="146"/>
        <v>9570000</v>
      </c>
      <c r="J195" s="548">
        <f t="shared" si="146"/>
        <v>9570000</v>
      </c>
      <c r="K195" s="548">
        <f t="shared" si="146"/>
        <v>9570000</v>
      </c>
    </row>
    <row r="196" spans="1:11" customFormat="1" ht="18" customHeight="1" x14ac:dyDescent="0.25">
      <c r="A196" s="710" t="s">
        <v>97</v>
      </c>
      <c r="B196" s="710"/>
      <c r="C196" s="515">
        <f>SUM(C197,C216,C221,C230,C233,C236)</f>
        <v>9293000</v>
      </c>
      <c r="D196" s="515">
        <f t="shared" ref="D196:F196" si="147">SUM(D197,D216,D221,D230,D233,D236)</f>
        <v>0</v>
      </c>
      <c r="E196" s="515">
        <f t="shared" si="147"/>
        <v>2777000</v>
      </c>
      <c r="F196" s="515">
        <f t="shared" si="147"/>
        <v>12070000</v>
      </c>
      <c r="G196" s="515">
        <f t="shared" ref="G196:H196" si="148">SUM(G197,G216,G221,G230,G233,G236)</f>
        <v>9293000</v>
      </c>
      <c r="H196" s="515">
        <f t="shared" si="148"/>
        <v>9293000</v>
      </c>
      <c r="I196" s="515">
        <f t="shared" ref="I196:K196" si="149">SUM(I197,I216,I221,I230,I233,I236)</f>
        <v>9570000</v>
      </c>
      <c r="J196" s="515">
        <f t="shared" si="149"/>
        <v>9570000</v>
      </c>
      <c r="K196" s="515">
        <f t="shared" si="149"/>
        <v>9570000</v>
      </c>
    </row>
    <row r="197" spans="1:11" customFormat="1" ht="18" customHeight="1" x14ac:dyDescent="0.25">
      <c r="A197" s="516" t="s">
        <v>324</v>
      </c>
      <c r="B197" s="516" t="s">
        <v>325</v>
      </c>
      <c r="C197" s="549">
        <f>SUM(C198,C200,C207,C213)</f>
        <v>3674000</v>
      </c>
      <c r="D197" s="549">
        <f t="shared" ref="D197:F197" si="150">SUM(D198,D200,D207,D213)</f>
        <v>0</v>
      </c>
      <c r="E197" s="549">
        <f t="shared" si="150"/>
        <v>800000</v>
      </c>
      <c r="F197" s="549">
        <f t="shared" si="150"/>
        <v>4474000</v>
      </c>
      <c r="G197" s="549">
        <f t="shared" ref="G197:H197" si="151">SUM(G198,G200,G207,G213)</f>
        <v>2921000</v>
      </c>
      <c r="H197" s="549">
        <f t="shared" si="151"/>
        <v>2921000</v>
      </c>
      <c r="I197" s="549">
        <f t="shared" ref="I197:K197" si="152">SUM(I198,I200,I207,I213)</f>
        <v>2921000</v>
      </c>
      <c r="J197" s="549">
        <f t="shared" si="152"/>
        <v>2921000</v>
      </c>
      <c r="K197" s="549">
        <f t="shared" si="152"/>
        <v>2921000</v>
      </c>
    </row>
    <row r="198" spans="1:11" customFormat="1" ht="15" x14ac:dyDescent="0.25">
      <c r="A198" s="519">
        <v>321</v>
      </c>
      <c r="B198" s="509" t="s">
        <v>12</v>
      </c>
      <c r="C198" s="510">
        <f t="shared" ref="C198:K198" si="153">SUM(C199:C199)</f>
        <v>75000</v>
      </c>
      <c r="D198" s="510">
        <f t="shared" si="153"/>
        <v>0</v>
      </c>
      <c r="E198" s="510">
        <f t="shared" si="153"/>
        <v>0</v>
      </c>
      <c r="F198" s="510">
        <f t="shared" si="153"/>
        <v>75000</v>
      </c>
      <c r="G198" s="510">
        <f t="shared" si="153"/>
        <v>75000</v>
      </c>
      <c r="H198" s="510">
        <f t="shared" si="153"/>
        <v>75000</v>
      </c>
      <c r="I198" s="510">
        <f t="shared" si="153"/>
        <v>75000</v>
      </c>
      <c r="J198" s="510">
        <f t="shared" si="153"/>
        <v>75000</v>
      </c>
      <c r="K198" s="510">
        <f t="shared" si="153"/>
        <v>75000</v>
      </c>
    </row>
    <row r="199" spans="1:11" customFormat="1" ht="15" x14ac:dyDescent="0.25">
      <c r="A199" s="520">
        <v>3213</v>
      </c>
      <c r="B199" s="521" t="s">
        <v>15</v>
      </c>
      <c r="C199" s="513">
        <v>75000</v>
      </c>
      <c r="D199" s="513"/>
      <c r="E199" s="513"/>
      <c r="F199" s="513">
        <f t="shared" ref="F199:F215" si="154">C199-D199+E199</f>
        <v>75000</v>
      </c>
      <c r="G199" s="513">
        <v>75000</v>
      </c>
      <c r="H199" s="513">
        <v>75000</v>
      </c>
      <c r="I199" s="513">
        <v>75000</v>
      </c>
      <c r="J199" s="513">
        <v>75000</v>
      </c>
      <c r="K199" s="513">
        <v>75000</v>
      </c>
    </row>
    <row r="200" spans="1:11" customFormat="1" ht="15" x14ac:dyDescent="0.25">
      <c r="A200" s="519">
        <v>322</v>
      </c>
      <c r="B200" s="509" t="s">
        <v>16</v>
      </c>
      <c r="C200" s="510">
        <f t="shared" ref="C200:F200" si="155">SUM(C201:C206)</f>
        <v>1324000</v>
      </c>
      <c r="D200" s="510">
        <f t="shared" si="155"/>
        <v>0</v>
      </c>
      <c r="E200" s="510">
        <f t="shared" si="155"/>
        <v>400000</v>
      </c>
      <c r="F200" s="510">
        <f t="shared" si="155"/>
        <v>1724000</v>
      </c>
      <c r="G200" s="510">
        <f t="shared" ref="G200:H200" si="156">SUM(G201:G206)</f>
        <v>1289000</v>
      </c>
      <c r="H200" s="510">
        <f t="shared" si="156"/>
        <v>1289000</v>
      </c>
      <c r="I200" s="510">
        <f t="shared" ref="I200:K200" si="157">SUM(I201:I206)</f>
        <v>1289000</v>
      </c>
      <c r="J200" s="510">
        <f t="shared" si="157"/>
        <v>1289000</v>
      </c>
      <c r="K200" s="510">
        <f t="shared" si="157"/>
        <v>1289000</v>
      </c>
    </row>
    <row r="201" spans="1:11" customFormat="1" ht="15" x14ac:dyDescent="0.25">
      <c r="A201" s="520">
        <v>3221</v>
      </c>
      <c r="B201" s="521" t="s">
        <v>17</v>
      </c>
      <c r="C201" s="513">
        <v>67000</v>
      </c>
      <c r="D201" s="513"/>
      <c r="E201" s="513"/>
      <c r="F201" s="513">
        <f t="shared" si="154"/>
        <v>67000</v>
      </c>
      <c r="G201" s="513">
        <v>67000</v>
      </c>
      <c r="H201" s="513">
        <v>67000</v>
      </c>
      <c r="I201" s="513">
        <v>67000</v>
      </c>
      <c r="J201" s="513">
        <v>67000</v>
      </c>
      <c r="K201" s="513">
        <v>67000</v>
      </c>
    </row>
    <row r="202" spans="1:11" customFormat="1" ht="15" x14ac:dyDescent="0.25">
      <c r="A202" s="520">
        <v>3222</v>
      </c>
      <c r="B202" s="521" t="s">
        <v>18</v>
      </c>
      <c r="C202" s="513">
        <v>102000</v>
      </c>
      <c r="D202" s="513"/>
      <c r="E202" s="513"/>
      <c r="F202" s="513">
        <f t="shared" si="154"/>
        <v>102000</v>
      </c>
      <c r="G202" s="513">
        <v>102000</v>
      </c>
      <c r="H202" s="513">
        <v>102000</v>
      </c>
      <c r="I202" s="513">
        <v>102000</v>
      </c>
      <c r="J202" s="513">
        <v>102000</v>
      </c>
      <c r="K202" s="513">
        <v>102000</v>
      </c>
    </row>
    <row r="203" spans="1:11" customFormat="1" ht="15" x14ac:dyDescent="0.25">
      <c r="A203" s="520">
        <v>3223</v>
      </c>
      <c r="B203" s="521" t="s">
        <v>19</v>
      </c>
      <c r="C203" s="513">
        <v>400000</v>
      </c>
      <c r="D203" s="513"/>
      <c r="E203" s="513">
        <v>400000</v>
      </c>
      <c r="F203" s="513">
        <f t="shared" si="154"/>
        <v>800000</v>
      </c>
      <c r="G203" s="513">
        <v>265000</v>
      </c>
      <c r="H203" s="513">
        <v>265000</v>
      </c>
      <c r="I203" s="513">
        <v>265000</v>
      </c>
      <c r="J203" s="513">
        <v>265000</v>
      </c>
      <c r="K203" s="513">
        <v>265000</v>
      </c>
    </row>
    <row r="204" spans="1:11" customFormat="1" ht="25.5" x14ac:dyDescent="0.25">
      <c r="A204" s="511">
        <v>3224</v>
      </c>
      <c r="B204" s="512" t="s">
        <v>20</v>
      </c>
      <c r="C204" s="513">
        <v>110000</v>
      </c>
      <c r="D204" s="513"/>
      <c r="E204" s="513"/>
      <c r="F204" s="513">
        <f t="shared" si="154"/>
        <v>110000</v>
      </c>
      <c r="G204" s="513">
        <v>210000</v>
      </c>
      <c r="H204" s="513">
        <v>210000</v>
      </c>
      <c r="I204" s="513">
        <v>210000</v>
      </c>
      <c r="J204" s="513">
        <v>210000</v>
      </c>
      <c r="K204" s="513">
        <v>210000</v>
      </c>
    </row>
    <row r="205" spans="1:11" customFormat="1" ht="15" x14ac:dyDescent="0.25">
      <c r="A205" s="520">
        <v>3225</v>
      </c>
      <c r="B205" s="521" t="s">
        <v>21</v>
      </c>
      <c r="C205" s="513">
        <v>7000</v>
      </c>
      <c r="D205" s="513"/>
      <c r="E205" s="513"/>
      <c r="F205" s="513">
        <f t="shared" si="154"/>
        <v>7000</v>
      </c>
      <c r="G205" s="513">
        <v>7000</v>
      </c>
      <c r="H205" s="513">
        <v>7000</v>
      </c>
      <c r="I205" s="513">
        <v>7000</v>
      </c>
      <c r="J205" s="513">
        <v>7000</v>
      </c>
      <c r="K205" s="513">
        <v>7000</v>
      </c>
    </row>
    <row r="206" spans="1:11" customFormat="1" ht="15" x14ac:dyDescent="0.25">
      <c r="A206" s="520">
        <v>3227</v>
      </c>
      <c r="B206" s="521" t="s">
        <v>22</v>
      </c>
      <c r="C206" s="513">
        <v>638000</v>
      </c>
      <c r="D206" s="513"/>
      <c r="E206" s="513"/>
      <c r="F206" s="513">
        <f t="shared" si="154"/>
        <v>638000</v>
      </c>
      <c r="G206" s="513">
        <v>638000</v>
      </c>
      <c r="H206" s="513">
        <v>638000</v>
      </c>
      <c r="I206" s="513">
        <v>638000</v>
      </c>
      <c r="J206" s="513">
        <v>638000</v>
      </c>
      <c r="K206" s="513">
        <v>638000</v>
      </c>
    </row>
    <row r="207" spans="1:11" customFormat="1" ht="15" x14ac:dyDescent="0.25">
      <c r="A207" s="519">
        <v>323</v>
      </c>
      <c r="B207" s="509" t="s">
        <v>23</v>
      </c>
      <c r="C207" s="510">
        <f t="shared" ref="C207:F207" si="158">SUM(C208:C212)</f>
        <v>2080000</v>
      </c>
      <c r="D207" s="510">
        <f t="shared" si="158"/>
        <v>0</v>
      </c>
      <c r="E207" s="510">
        <f t="shared" si="158"/>
        <v>400000</v>
      </c>
      <c r="F207" s="510">
        <f t="shared" si="158"/>
        <v>2480000</v>
      </c>
      <c r="G207" s="510">
        <f t="shared" ref="G207:H207" si="159">SUM(G208:G212)</f>
        <v>1362000</v>
      </c>
      <c r="H207" s="510">
        <f t="shared" si="159"/>
        <v>1362000</v>
      </c>
      <c r="I207" s="510">
        <f t="shared" ref="I207:K207" si="160">SUM(I208:I212)</f>
        <v>1362000</v>
      </c>
      <c r="J207" s="510">
        <f t="shared" si="160"/>
        <v>1362000</v>
      </c>
      <c r="K207" s="510">
        <f t="shared" si="160"/>
        <v>1362000</v>
      </c>
    </row>
    <row r="208" spans="1:11" customFormat="1" ht="15" x14ac:dyDescent="0.25">
      <c r="A208" s="511">
        <v>3232</v>
      </c>
      <c r="B208" s="512" t="s">
        <v>25</v>
      </c>
      <c r="C208" s="513">
        <v>1800000</v>
      </c>
      <c r="D208" s="513"/>
      <c r="E208" s="513">
        <v>400000</v>
      </c>
      <c r="F208" s="513">
        <f t="shared" si="154"/>
        <v>2200000</v>
      </c>
      <c r="G208" s="513">
        <v>1082000</v>
      </c>
      <c r="H208" s="513">
        <v>1082000</v>
      </c>
      <c r="I208" s="513">
        <v>1082000</v>
      </c>
      <c r="J208" s="513">
        <v>1082000</v>
      </c>
      <c r="K208" s="513">
        <v>1082000</v>
      </c>
    </row>
    <row r="209" spans="1:11" customFormat="1" ht="15" x14ac:dyDescent="0.25">
      <c r="A209" s="511">
        <v>3233</v>
      </c>
      <c r="B209" s="512" t="s">
        <v>26</v>
      </c>
      <c r="C209" s="513">
        <v>220000</v>
      </c>
      <c r="D209" s="513"/>
      <c r="E209" s="513"/>
      <c r="F209" s="513">
        <f t="shared" si="154"/>
        <v>220000</v>
      </c>
      <c r="G209" s="513">
        <v>220000</v>
      </c>
      <c r="H209" s="513">
        <v>220000</v>
      </c>
      <c r="I209" s="513">
        <v>220000</v>
      </c>
      <c r="J209" s="513">
        <v>220000</v>
      </c>
      <c r="K209" s="513">
        <v>220000</v>
      </c>
    </row>
    <row r="210" spans="1:11" customFormat="1" ht="15" x14ac:dyDescent="0.25">
      <c r="A210" s="511">
        <v>3235</v>
      </c>
      <c r="B210" s="512" t="s">
        <v>28</v>
      </c>
      <c r="C210" s="513">
        <v>37000</v>
      </c>
      <c r="D210" s="513"/>
      <c r="E210" s="513"/>
      <c r="F210" s="513">
        <f t="shared" si="154"/>
        <v>37000</v>
      </c>
      <c r="G210" s="513">
        <v>37000</v>
      </c>
      <c r="H210" s="513">
        <v>37000</v>
      </c>
      <c r="I210" s="513">
        <v>37000</v>
      </c>
      <c r="J210" s="513">
        <v>37000</v>
      </c>
      <c r="K210" s="513">
        <v>37000</v>
      </c>
    </row>
    <row r="211" spans="1:11" customFormat="1" ht="15" x14ac:dyDescent="0.25">
      <c r="A211" s="511">
        <v>3237</v>
      </c>
      <c r="B211" s="512" t="s">
        <v>30</v>
      </c>
      <c r="C211" s="513">
        <v>2000</v>
      </c>
      <c r="D211" s="513"/>
      <c r="E211" s="513"/>
      <c r="F211" s="513">
        <f t="shared" si="154"/>
        <v>2000</v>
      </c>
      <c r="G211" s="513">
        <v>2000</v>
      </c>
      <c r="H211" s="513">
        <v>2000</v>
      </c>
      <c r="I211" s="513">
        <v>2000</v>
      </c>
      <c r="J211" s="513">
        <v>2000</v>
      </c>
      <c r="K211" s="513">
        <v>2000</v>
      </c>
    </row>
    <row r="212" spans="1:11" customFormat="1" ht="15" x14ac:dyDescent="0.25">
      <c r="A212" s="511">
        <v>3238</v>
      </c>
      <c r="B212" s="512" t="s">
        <v>70</v>
      </c>
      <c r="C212" s="513">
        <v>21000</v>
      </c>
      <c r="D212" s="513"/>
      <c r="E212" s="513"/>
      <c r="F212" s="513">
        <f t="shared" si="154"/>
        <v>21000</v>
      </c>
      <c r="G212" s="513">
        <v>21000</v>
      </c>
      <c r="H212" s="513">
        <v>21000</v>
      </c>
      <c r="I212" s="513">
        <v>21000</v>
      </c>
      <c r="J212" s="513">
        <v>21000</v>
      </c>
      <c r="K212" s="513">
        <v>21000</v>
      </c>
    </row>
    <row r="213" spans="1:11" customFormat="1" ht="15" x14ac:dyDescent="0.25">
      <c r="A213" s="519">
        <v>329</v>
      </c>
      <c r="B213" s="509" t="s">
        <v>33</v>
      </c>
      <c r="C213" s="510">
        <f t="shared" ref="C213:F213" si="161">SUM(C214:C215)</f>
        <v>195000</v>
      </c>
      <c r="D213" s="510">
        <f t="shared" si="161"/>
        <v>0</v>
      </c>
      <c r="E213" s="510">
        <f t="shared" si="161"/>
        <v>0</v>
      </c>
      <c r="F213" s="510">
        <f t="shared" si="161"/>
        <v>195000</v>
      </c>
      <c r="G213" s="510">
        <f t="shared" ref="G213:H213" si="162">SUM(G214:G215)</f>
        <v>195000</v>
      </c>
      <c r="H213" s="510">
        <f t="shared" si="162"/>
        <v>195000</v>
      </c>
      <c r="I213" s="510">
        <f t="shared" ref="I213:K213" si="163">SUM(I214:I215)</f>
        <v>195000</v>
      </c>
      <c r="J213" s="510">
        <f t="shared" si="163"/>
        <v>195000</v>
      </c>
      <c r="K213" s="510">
        <f t="shared" si="163"/>
        <v>195000</v>
      </c>
    </row>
    <row r="214" spans="1:11" customFormat="1" ht="15" x14ac:dyDescent="0.25">
      <c r="A214" s="520">
        <v>3294</v>
      </c>
      <c r="B214" s="521" t="s">
        <v>37</v>
      </c>
      <c r="C214" s="513">
        <v>52000</v>
      </c>
      <c r="D214" s="513"/>
      <c r="E214" s="513"/>
      <c r="F214" s="513">
        <f t="shared" si="154"/>
        <v>52000</v>
      </c>
      <c r="G214" s="513">
        <v>52000</v>
      </c>
      <c r="H214" s="513">
        <v>52000</v>
      </c>
      <c r="I214" s="513">
        <v>52000</v>
      </c>
      <c r="J214" s="513">
        <v>52000</v>
      </c>
      <c r="K214" s="513">
        <v>52000</v>
      </c>
    </row>
    <row r="215" spans="1:11" customFormat="1" ht="15" x14ac:dyDescent="0.25">
      <c r="A215" s="520">
        <v>3299</v>
      </c>
      <c r="B215" s="521" t="s">
        <v>33</v>
      </c>
      <c r="C215" s="513">
        <v>143000</v>
      </c>
      <c r="D215" s="513"/>
      <c r="E215" s="513"/>
      <c r="F215" s="513">
        <f t="shared" si="154"/>
        <v>143000</v>
      </c>
      <c r="G215" s="513">
        <v>143000</v>
      </c>
      <c r="H215" s="513">
        <v>143000</v>
      </c>
      <c r="I215" s="513">
        <v>143000</v>
      </c>
      <c r="J215" s="513">
        <v>143000</v>
      </c>
      <c r="K215" s="513">
        <v>143000</v>
      </c>
    </row>
    <row r="216" spans="1:11" customFormat="1" ht="15" x14ac:dyDescent="0.25">
      <c r="A216" s="540" t="s">
        <v>338</v>
      </c>
      <c r="B216" s="541" t="s">
        <v>339</v>
      </c>
      <c r="C216" s="507">
        <f t="shared" ref="C216:F216" si="164">SUM(C217,C219)</f>
        <v>108000</v>
      </c>
      <c r="D216" s="507">
        <f t="shared" si="164"/>
        <v>0</v>
      </c>
      <c r="E216" s="507">
        <f t="shared" si="164"/>
        <v>45000</v>
      </c>
      <c r="F216" s="507">
        <f t="shared" si="164"/>
        <v>153000</v>
      </c>
      <c r="G216" s="507">
        <f t="shared" ref="G216:H216" si="165">SUM(G217,G219)</f>
        <v>108000</v>
      </c>
      <c r="H216" s="507">
        <f t="shared" si="165"/>
        <v>108000</v>
      </c>
      <c r="I216" s="507">
        <f t="shared" ref="I216:K216" si="166">SUM(I217,I219)</f>
        <v>108000</v>
      </c>
      <c r="J216" s="507">
        <f t="shared" si="166"/>
        <v>108000</v>
      </c>
      <c r="K216" s="507">
        <f t="shared" si="166"/>
        <v>108000</v>
      </c>
    </row>
    <row r="217" spans="1:11" customFormat="1" ht="25.5" x14ac:dyDescent="0.25">
      <c r="A217" s="519">
        <v>351</v>
      </c>
      <c r="B217" s="509" t="s">
        <v>132</v>
      </c>
      <c r="C217" s="510">
        <f t="shared" ref="C217:K217" si="167">SUM(C218:C218)</f>
        <v>53000</v>
      </c>
      <c r="D217" s="510">
        <f t="shared" si="167"/>
        <v>0</v>
      </c>
      <c r="E217" s="510">
        <f t="shared" si="167"/>
        <v>0</v>
      </c>
      <c r="F217" s="510">
        <f t="shared" si="167"/>
        <v>53000</v>
      </c>
      <c r="G217" s="510">
        <f t="shared" si="167"/>
        <v>53000</v>
      </c>
      <c r="H217" s="510">
        <f t="shared" si="167"/>
        <v>53000</v>
      </c>
      <c r="I217" s="510">
        <f t="shared" si="167"/>
        <v>53000</v>
      </c>
      <c r="J217" s="510">
        <f t="shared" si="167"/>
        <v>53000</v>
      </c>
      <c r="K217" s="510">
        <f t="shared" si="167"/>
        <v>53000</v>
      </c>
    </row>
    <row r="218" spans="1:11" customFormat="1" ht="25.5" x14ac:dyDescent="0.25">
      <c r="A218" s="520">
        <v>3512</v>
      </c>
      <c r="B218" s="512" t="s">
        <v>132</v>
      </c>
      <c r="C218" s="513">
        <v>53000</v>
      </c>
      <c r="D218" s="513"/>
      <c r="E218" s="513"/>
      <c r="F218" s="513">
        <f t="shared" ref="F218:F220" si="168">C218-D218+E218</f>
        <v>53000</v>
      </c>
      <c r="G218" s="513">
        <v>53000</v>
      </c>
      <c r="H218" s="513">
        <v>53000</v>
      </c>
      <c r="I218" s="513">
        <v>53000</v>
      </c>
      <c r="J218" s="513">
        <v>53000</v>
      </c>
      <c r="K218" s="513">
        <v>53000</v>
      </c>
    </row>
    <row r="219" spans="1:11" customFormat="1" ht="15" x14ac:dyDescent="0.25">
      <c r="A219" s="519">
        <v>352</v>
      </c>
      <c r="B219" s="509" t="s">
        <v>100</v>
      </c>
      <c r="C219" s="510">
        <f t="shared" ref="C219:K219" si="169">SUM(C220:C220)</f>
        <v>55000</v>
      </c>
      <c r="D219" s="510">
        <f t="shared" si="169"/>
        <v>0</v>
      </c>
      <c r="E219" s="510">
        <f t="shared" si="169"/>
        <v>45000</v>
      </c>
      <c r="F219" s="510">
        <f t="shared" si="169"/>
        <v>100000</v>
      </c>
      <c r="G219" s="510">
        <f t="shared" si="169"/>
        <v>55000</v>
      </c>
      <c r="H219" s="510">
        <f t="shared" si="169"/>
        <v>55000</v>
      </c>
      <c r="I219" s="510">
        <f t="shared" si="169"/>
        <v>55000</v>
      </c>
      <c r="J219" s="510">
        <f t="shared" si="169"/>
        <v>55000</v>
      </c>
      <c r="K219" s="510">
        <f t="shared" si="169"/>
        <v>55000</v>
      </c>
    </row>
    <row r="220" spans="1:11" customFormat="1" ht="25.5" x14ac:dyDescent="0.25">
      <c r="A220" s="520">
        <v>3522</v>
      </c>
      <c r="B220" s="512" t="s">
        <v>101</v>
      </c>
      <c r="C220" s="513">
        <v>55000</v>
      </c>
      <c r="D220" s="513"/>
      <c r="E220" s="513">
        <v>45000</v>
      </c>
      <c r="F220" s="513">
        <f t="shared" si="168"/>
        <v>100000</v>
      </c>
      <c r="G220" s="513">
        <v>55000</v>
      </c>
      <c r="H220" s="513">
        <v>55000</v>
      </c>
      <c r="I220" s="513">
        <v>55000</v>
      </c>
      <c r="J220" s="513">
        <v>55000</v>
      </c>
      <c r="K220" s="513">
        <v>55000</v>
      </c>
    </row>
    <row r="221" spans="1:11" customFormat="1" ht="25.5" x14ac:dyDescent="0.25">
      <c r="A221" s="540" t="s">
        <v>340</v>
      </c>
      <c r="B221" s="517" t="s">
        <v>341</v>
      </c>
      <c r="C221" s="507">
        <f>SUM(C222,C225,C227)</f>
        <v>1728000</v>
      </c>
      <c r="D221" s="507">
        <f t="shared" ref="D221:F221" si="170">SUM(D222,D225,D227)</f>
        <v>0</v>
      </c>
      <c r="E221" s="507">
        <f t="shared" si="170"/>
        <v>321000</v>
      </c>
      <c r="F221" s="507">
        <f t="shared" si="170"/>
        <v>2049000</v>
      </c>
      <c r="G221" s="507">
        <f t="shared" ref="G221" si="171">SUM(G222,G225,G227)</f>
        <v>1728000</v>
      </c>
      <c r="H221" s="507">
        <f t="shared" ref="H221" si="172">SUM(H222,H225,H227)</f>
        <v>1728000</v>
      </c>
      <c r="I221" s="507">
        <f t="shared" ref="I221" si="173">SUM(I222,I225,I227)</f>
        <v>2005000</v>
      </c>
      <c r="J221" s="507">
        <f t="shared" ref="J221" si="174">SUM(J222,J225,J227)</f>
        <v>2005000</v>
      </c>
      <c r="K221" s="507">
        <f t="shared" ref="K221" si="175">SUM(K222,K225,K227)</f>
        <v>2005000</v>
      </c>
    </row>
    <row r="222" spans="1:11" customFormat="1" ht="15" x14ac:dyDescent="0.25">
      <c r="A222" s="519">
        <v>363</v>
      </c>
      <c r="B222" s="509" t="s">
        <v>102</v>
      </c>
      <c r="C222" s="510">
        <f t="shared" ref="C222" si="176">SUM(C223:C224)</f>
        <v>905000</v>
      </c>
      <c r="D222" s="510">
        <f t="shared" ref="D222:F222" si="177">SUM(D223:D224)</f>
        <v>0</v>
      </c>
      <c r="E222" s="510">
        <f t="shared" si="177"/>
        <v>1000</v>
      </c>
      <c r="F222" s="510">
        <f t="shared" si="177"/>
        <v>906000</v>
      </c>
      <c r="G222" s="510">
        <f t="shared" ref="G222:H222" si="178">SUM(G223:G224)</f>
        <v>905000</v>
      </c>
      <c r="H222" s="510">
        <f t="shared" si="178"/>
        <v>905000</v>
      </c>
      <c r="I222" s="510">
        <f t="shared" ref="I222:J222" si="179">SUM(I223:I224)</f>
        <v>905000</v>
      </c>
      <c r="J222" s="510">
        <f t="shared" si="179"/>
        <v>905000</v>
      </c>
      <c r="K222" s="510">
        <f t="shared" ref="K222" si="180">SUM(K223:K224)</f>
        <v>905000</v>
      </c>
    </row>
    <row r="223" spans="1:11" customFormat="1" ht="15" x14ac:dyDescent="0.25">
      <c r="A223" s="520">
        <v>3631</v>
      </c>
      <c r="B223" s="512" t="s">
        <v>103</v>
      </c>
      <c r="C223" s="513"/>
      <c r="D223" s="513"/>
      <c r="E223" s="513">
        <v>1000</v>
      </c>
      <c r="F223" s="513">
        <f t="shared" ref="F223:F229" si="181">C223-D223+E223</f>
        <v>1000</v>
      </c>
      <c r="G223" s="513"/>
      <c r="H223" s="513"/>
      <c r="I223" s="513"/>
      <c r="J223" s="513"/>
      <c r="K223" s="513"/>
    </row>
    <row r="224" spans="1:11" customFormat="1" ht="15" x14ac:dyDescent="0.25">
      <c r="A224" s="520">
        <v>3632</v>
      </c>
      <c r="B224" s="512" t="s">
        <v>104</v>
      </c>
      <c r="C224" s="513">
        <v>905000</v>
      </c>
      <c r="D224" s="513"/>
      <c r="E224" s="513"/>
      <c r="F224" s="513">
        <f t="shared" si="181"/>
        <v>905000</v>
      </c>
      <c r="G224" s="513">
        <v>905000</v>
      </c>
      <c r="H224" s="513">
        <v>905000</v>
      </c>
      <c r="I224" s="513">
        <v>905000</v>
      </c>
      <c r="J224" s="513">
        <v>905000</v>
      </c>
      <c r="K224" s="513">
        <v>905000</v>
      </c>
    </row>
    <row r="225" spans="1:11" customFormat="1" ht="25.5" x14ac:dyDescent="0.25">
      <c r="A225" s="519">
        <v>366</v>
      </c>
      <c r="B225" s="509" t="s">
        <v>231</v>
      </c>
      <c r="C225" s="550">
        <f>SUM(C226)</f>
        <v>0</v>
      </c>
      <c r="D225" s="550">
        <f t="shared" ref="D225:K225" si="182">SUM(D226)</f>
        <v>0</v>
      </c>
      <c r="E225" s="550">
        <f t="shared" si="182"/>
        <v>9000</v>
      </c>
      <c r="F225" s="550">
        <f t="shared" si="182"/>
        <v>9000</v>
      </c>
      <c r="G225" s="550">
        <f t="shared" si="182"/>
        <v>0</v>
      </c>
      <c r="H225" s="550">
        <f t="shared" si="182"/>
        <v>0</v>
      </c>
      <c r="I225" s="550">
        <f t="shared" si="182"/>
        <v>0</v>
      </c>
      <c r="J225" s="550">
        <f t="shared" si="182"/>
        <v>0</v>
      </c>
      <c r="K225" s="550">
        <f t="shared" si="182"/>
        <v>0</v>
      </c>
    </row>
    <row r="226" spans="1:11" customFormat="1" ht="25.5" x14ac:dyDescent="0.25">
      <c r="A226" s="520">
        <v>3661</v>
      </c>
      <c r="B226" s="512" t="s">
        <v>251</v>
      </c>
      <c r="C226" s="551"/>
      <c r="D226" s="551"/>
      <c r="E226" s="551">
        <v>9000</v>
      </c>
      <c r="F226" s="513">
        <f t="shared" si="181"/>
        <v>9000</v>
      </c>
      <c r="G226" s="551"/>
      <c r="H226" s="551"/>
      <c r="I226" s="551"/>
      <c r="J226" s="551"/>
      <c r="K226" s="551"/>
    </row>
    <row r="227" spans="1:11" s="6" customFormat="1" ht="25.5" x14ac:dyDescent="0.25">
      <c r="A227" s="508">
        <v>369</v>
      </c>
      <c r="B227" s="509" t="s">
        <v>242</v>
      </c>
      <c r="C227" s="510">
        <f t="shared" ref="C227:F227" si="183">SUM(C228,C229)</f>
        <v>823000</v>
      </c>
      <c r="D227" s="510">
        <f t="shared" si="183"/>
        <v>0</v>
      </c>
      <c r="E227" s="510">
        <f t="shared" si="183"/>
        <v>311000</v>
      </c>
      <c r="F227" s="510">
        <f t="shared" si="183"/>
        <v>1134000</v>
      </c>
      <c r="G227" s="510">
        <f t="shared" ref="G227:H227" si="184">SUM(G228,G229)</f>
        <v>823000</v>
      </c>
      <c r="H227" s="510">
        <f t="shared" si="184"/>
        <v>823000</v>
      </c>
      <c r="I227" s="510">
        <f t="shared" ref="I227:K227" si="185">SUM(I228,I229)</f>
        <v>1100000</v>
      </c>
      <c r="J227" s="510">
        <f t="shared" si="185"/>
        <v>1100000</v>
      </c>
      <c r="K227" s="510">
        <f t="shared" si="185"/>
        <v>1100000</v>
      </c>
    </row>
    <row r="228" spans="1:11" customFormat="1" ht="25.5" x14ac:dyDescent="0.25">
      <c r="A228" s="531">
        <v>3691</v>
      </c>
      <c r="B228" s="532" t="s">
        <v>243</v>
      </c>
      <c r="C228" s="522">
        <v>226000</v>
      </c>
      <c r="D228" s="522"/>
      <c r="E228" s="522">
        <v>311000</v>
      </c>
      <c r="F228" s="522">
        <f t="shared" si="181"/>
        <v>537000</v>
      </c>
      <c r="G228" s="522">
        <v>226000</v>
      </c>
      <c r="H228" s="522">
        <v>226000</v>
      </c>
      <c r="I228" s="522">
        <v>700000</v>
      </c>
      <c r="J228" s="522">
        <v>700000</v>
      </c>
      <c r="K228" s="522">
        <v>700000</v>
      </c>
    </row>
    <row r="229" spans="1:11" s="10" customFormat="1" ht="25.5" x14ac:dyDescent="0.25">
      <c r="A229" s="531">
        <v>3692</v>
      </c>
      <c r="B229" s="532" t="s">
        <v>399</v>
      </c>
      <c r="C229" s="522">
        <v>597000</v>
      </c>
      <c r="D229" s="522"/>
      <c r="E229" s="522"/>
      <c r="F229" s="522">
        <f t="shared" si="181"/>
        <v>597000</v>
      </c>
      <c r="G229" s="522">
        <v>597000</v>
      </c>
      <c r="H229" s="522">
        <v>597000</v>
      </c>
      <c r="I229" s="522">
        <v>400000</v>
      </c>
      <c r="J229" s="522">
        <v>400000</v>
      </c>
      <c r="K229" s="522">
        <v>400000</v>
      </c>
    </row>
    <row r="230" spans="1:11" s="10" customFormat="1" ht="15" x14ac:dyDescent="0.25">
      <c r="A230" s="505" t="s">
        <v>320</v>
      </c>
      <c r="B230" s="517" t="s">
        <v>321</v>
      </c>
      <c r="C230" s="507">
        <f t="shared" ref="C230:K231" si="186">SUM(C231)</f>
        <v>344000</v>
      </c>
      <c r="D230" s="507">
        <f t="shared" si="186"/>
        <v>0</v>
      </c>
      <c r="E230" s="507">
        <f t="shared" si="186"/>
        <v>0</v>
      </c>
      <c r="F230" s="507">
        <f t="shared" si="186"/>
        <v>344000</v>
      </c>
      <c r="G230" s="507">
        <f t="shared" si="186"/>
        <v>344000</v>
      </c>
      <c r="H230" s="507">
        <f t="shared" si="186"/>
        <v>344000</v>
      </c>
      <c r="I230" s="507">
        <f t="shared" si="186"/>
        <v>344000</v>
      </c>
      <c r="J230" s="507">
        <f t="shared" si="186"/>
        <v>344000</v>
      </c>
      <c r="K230" s="507">
        <f t="shared" si="186"/>
        <v>344000</v>
      </c>
    </row>
    <row r="231" spans="1:11" customFormat="1" ht="15" x14ac:dyDescent="0.25">
      <c r="A231" s="508">
        <v>381</v>
      </c>
      <c r="B231" s="509" t="s">
        <v>46</v>
      </c>
      <c r="C231" s="510">
        <f t="shared" si="186"/>
        <v>344000</v>
      </c>
      <c r="D231" s="510">
        <f t="shared" si="186"/>
        <v>0</v>
      </c>
      <c r="E231" s="510">
        <f t="shared" si="186"/>
        <v>0</v>
      </c>
      <c r="F231" s="510">
        <f t="shared" si="186"/>
        <v>344000</v>
      </c>
      <c r="G231" s="510">
        <f t="shared" si="186"/>
        <v>344000</v>
      </c>
      <c r="H231" s="510">
        <f t="shared" si="186"/>
        <v>344000</v>
      </c>
      <c r="I231" s="510">
        <f t="shared" si="186"/>
        <v>344000</v>
      </c>
      <c r="J231" s="510">
        <f t="shared" si="186"/>
        <v>344000</v>
      </c>
      <c r="K231" s="510">
        <f t="shared" si="186"/>
        <v>344000</v>
      </c>
    </row>
    <row r="232" spans="1:11" customFormat="1" ht="15" x14ac:dyDescent="0.25">
      <c r="A232" s="511">
        <v>3811</v>
      </c>
      <c r="B232" s="512" t="s">
        <v>46</v>
      </c>
      <c r="C232" s="513">
        <v>344000</v>
      </c>
      <c r="D232" s="513"/>
      <c r="E232" s="513"/>
      <c r="F232" s="513">
        <f t="shared" ref="F232" si="187">C232-D232+E232</f>
        <v>344000</v>
      </c>
      <c r="G232" s="513">
        <v>344000</v>
      </c>
      <c r="H232" s="513">
        <v>344000</v>
      </c>
      <c r="I232" s="513">
        <v>344000</v>
      </c>
      <c r="J232" s="513">
        <v>344000</v>
      </c>
      <c r="K232" s="513">
        <v>344000</v>
      </c>
    </row>
    <row r="233" spans="1:11" customFormat="1" ht="25.5" x14ac:dyDescent="0.25">
      <c r="A233" s="540" t="s">
        <v>334</v>
      </c>
      <c r="B233" s="541" t="s">
        <v>335</v>
      </c>
      <c r="C233" s="507">
        <f>SUM(C234)</f>
        <v>15000</v>
      </c>
      <c r="D233" s="507">
        <f t="shared" ref="D233:K233" si="188">SUM(D234)</f>
        <v>0</v>
      </c>
      <c r="E233" s="507">
        <f t="shared" si="188"/>
        <v>0</v>
      </c>
      <c r="F233" s="507">
        <f t="shared" si="188"/>
        <v>15000</v>
      </c>
      <c r="G233" s="507">
        <f t="shared" si="188"/>
        <v>0</v>
      </c>
      <c r="H233" s="507">
        <f t="shared" si="188"/>
        <v>0</v>
      </c>
      <c r="I233" s="507">
        <f t="shared" si="188"/>
        <v>0</v>
      </c>
      <c r="J233" s="507">
        <f t="shared" si="188"/>
        <v>0</v>
      </c>
      <c r="K233" s="507">
        <f t="shared" si="188"/>
        <v>0</v>
      </c>
    </row>
    <row r="234" spans="1:11" customFormat="1" ht="15" x14ac:dyDescent="0.25">
      <c r="A234" s="519" t="s">
        <v>176</v>
      </c>
      <c r="B234" s="523" t="s">
        <v>67</v>
      </c>
      <c r="C234" s="510">
        <f t="shared" ref="C234:K234" si="189">SUM(C235)</f>
        <v>15000</v>
      </c>
      <c r="D234" s="510">
        <f t="shared" si="189"/>
        <v>0</v>
      </c>
      <c r="E234" s="510">
        <f t="shared" si="189"/>
        <v>0</v>
      </c>
      <c r="F234" s="510">
        <f t="shared" si="189"/>
        <v>15000</v>
      </c>
      <c r="G234" s="510">
        <f t="shared" si="189"/>
        <v>0</v>
      </c>
      <c r="H234" s="510">
        <f t="shared" si="189"/>
        <v>0</v>
      </c>
      <c r="I234" s="510">
        <f t="shared" si="189"/>
        <v>0</v>
      </c>
      <c r="J234" s="510">
        <f t="shared" si="189"/>
        <v>0</v>
      </c>
      <c r="K234" s="510">
        <f t="shared" si="189"/>
        <v>0</v>
      </c>
    </row>
    <row r="235" spans="1:11" customFormat="1" ht="15" x14ac:dyDescent="0.25">
      <c r="A235" s="511">
        <v>4123</v>
      </c>
      <c r="B235" s="512" t="s">
        <v>68</v>
      </c>
      <c r="C235" s="513">
        <v>15000</v>
      </c>
      <c r="D235" s="513"/>
      <c r="E235" s="513"/>
      <c r="F235" s="513">
        <f t="shared" ref="F235" si="190">C235-D235+E235</f>
        <v>15000</v>
      </c>
      <c r="G235" s="513"/>
      <c r="H235" s="513"/>
      <c r="I235" s="513"/>
      <c r="J235" s="513"/>
      <c r="K235" s="513"/>
    </row>
    <row r="236" spans="1:11" customFormat="1" ht="25.5" x14ac:dyDescent="0.25">
      <c r="A236" s="505" t="s">
        <v>330</v>
      </c>
      <c r="B236" s="517" t="s">
        <v>331</v>
      </c>
      <c r="C236" s="507">
        <f t="shared" ref="C236:F236" si="191">SUM(C237,C242,C244)</f>
        <v>3424000</v>
      </c>
      <c r="D236" s="507">
        <f t="shared" si="191"/>
        <v>0</v>
      </c>
      <c r="E236" s="507">
        <f t="shared" si="191"/>
        <v>1611000</v>
      </c>
      <c r="F236" s="507">
        <f t="shared" si="191"/>
        <v>5035000</v>
      </c>
      <c r="G236" s="507">
        <f t="shared" ref="G236:H236" si="192">SUM(G237,G242,G244)</f>
        <v>4192000</v>
      </c>
      <c r="H236" s="507">
        <f t="shared" si="192"/>
        <v>4192000</v>
      </c>
      <c r="I236" s="507">
        <f t="shared" ref="I236:K236" si="193">SUM(I237,I242,I244)</f>
        <v>4192000</v>
      </c>
      <c r="J236" s="507">
        <f t="shared" si="193"/>
        <v>4192000</v>
      </c>
      <c r="K236" s="507">
        <f t="shared" si="193"/>
        <v>4192000</v>
      </c>
    </row>
    <row r="237" spans="1:11" customFormat="1" ht="15" x14ac:dyDescent="0.25">
      <c r="A237" s="519">
        <v>422</v>
      </c>
      <c r="B237" s="523" t="s">
        <v>53</v>
      </c>
      <c r="C237" s="510">
        <f t="shared" ref="C237:F237" si="194">SUM(C238:C241)</f>
        <v>568000</v>
      </c>
      <c r="D237" s="510">
        <f t="shared" si="194"/>
        <v>0</v>
      </c>
      <c r="E237" s="510">
        <f t="shared" si="194"/>
        <v>0</v>
      </c>
      <c r="F237" s="510">
        <f t="shared" si="194"/>
        <v>568000</v>
      </c>
      <c r="G237" s="510">
        <f t="shared" ref="G237:H237" si="195">SUM(G238:G241)</f>
        <v>1336000</v>
      </c>
      <c r="H237" s="510">
        <f t="shared" si="195"/>
        <v>1336000</v>
      </c>
      <c r="I237" s="510">
        <f t="shared" ref="I237:K237" si="196">SUM(I238:I241)</f>
        <v>1336000</v>
      </c>
      <c r="J237" s="510">
        <f t="shared" si="196"/>
        <v>1336000</v>
      </c>
      <c r="K237" s="510">
        <f t="shared" si="196"/>
        <v>1336000</v>
      </c>
    </row>
    <row r="238" spans="1:11" customFormat="1" ht="15" x14ac:dyDescent="0.25">
      <c r="A238" s="520">
        <v>4221</v>
      </c>
      <c r="B238" s="521" t="s">
        <v>54</v>
      </c>
      <c r="C238" s="513">
        <v>14000</v>
      </c>
      <c r="D238" s="513"/>
      <c r="E238" s="513"/>
      <c r="F238" s="513">
        <f t="shared" ref="F238:F245" si="197">C238-D238+E238</f>
        <v>14000</v>
      </c>
      <c r="G238" s="513">
        <v>14000</v>
      </c>
      <c r="H238" s="513">
        <v>14000</v>
      </c>
      <c r="I238" s="513">
        <v>14000</v>
      </c>
      <c r="J238" s="513">
        <v>14000</v>
      </c>
      <c r="K238" s="513">
        <v>14000</v>
      </c>
    </row>
    <row r="239" spans="1:11" customFormat="1" ht="15" x14ac:dyDescent="0.25">
      <c r="A239" s="520">
        <v>4222</v>
      </c>
      <c r="B239" s="521" t="s">
        <v>58</v>
      </c>
      <c r="C239" s="513">
        <v>42000</v>
      </c>
      <c r="D239" s="513"/>
      <c r="E239" s="513"/>
      <c r="F239" s="513">
        <f t="shared" si="197"/>
        <v>42000</v>
      </c>
      <c r="G239" s="513">
        <v>42000</v>
      </c>
      <c r="H239" s="513">
        <v>42000</v>
      </c>
      <c r="I239" s="513">
        <v>42000</v>
      </c>
      <c r="J239" s="513">
        <v>42000</v>
      </c>
      <c r="K239" s="513">
        <v>42000</v>
      </c>
    </row>
    <row r="240" spans="1:11" customFormat="1" ht="15" x14ac:dyDescent="0.25">
      <c r="A240" s="520">
        <v>4223</v>
      </c>
      <c r="B240" s="521" t="s">
        <v>59</v>
      </c>
      <c r="C240" s="513">
        <v>452000</v>
      </c>
      <c r="D240" s="513"/>
      <c r="E240" s="513"/>
      <c r="F240" s="513">
        <f t="shared" si="197"/>
        <v>452000</v>
      </c>
      <c r="G240" s="513">
        <v>1220000</v>
      </c>
      <c r="H240" s="513">
        <v>1220000</v>
      </c>
      <c r="I240" s="513">
        <v>1220000</v>
      </c>
      <c r="J240" s="513">
        <v>1220000</v>
      </c>
      <c r="K240" s="513">
        <v>1220000</v>
      </c>
    </row>
    <row r="241" spans="1:11" customFormat="1" ht="15" x14ac:dyDescent="0.25">
      <c r="A241" s="520">
        <v>4225</v>
      </c>
      <c r="B241" s="521" t="s">
        <v>105</v>
      </c>
      <c r="C241" s="513">
        <v>60000</v>
      </c>
      <c r="D241" s="513"/>
      <c r="E241" s="513"/>
      <c r="F241" s="513">
        <f t="shared" si="197"/>
        <v>60000</v>
      </c>
      <c r="G241" s="513">
        <v>60000</v>
      </c>
      <c r="H241" s="513">
        <v>60000</v>
      </c>
      <c r="I241" s="513">
        <v>60000</v>
      </c>
      <c r="J241" s="513">
        <v>60000</v>
      </c>
      <c r="K241" s="513">
        <v>60000</v>
      </c>
    </row>
    <row r="242" spans="1:11" customFormat="1" ht="15" x14ac:dyDescent="0.25">
      <c r="A242" s="519">
        <v>423</v>
      </c>
      <c r="B242" s="523" t="s">
        <v>61</v>
      </c>
      <c r="C242" s="510">
        <f t="shared" ref="C242:K242" si="198">SUM(C243)</f>
        <v>2529000</v>
      </c>
      <c r="D242" s="510">
        <f t="shared" si="198"/>
        <v>0</v>
      </c>
      <c r="E242" s="510">
        <f t="shared" si="198"/>
        <v>1611000</v>
      </c>
      <c r="F242" s="510">
        <f t="shared" si="198"/>
        <v>4140000</v>
      </c>
      <c r="G242" s="510">
        <f t="shared" si="198"/>
        <v>2529000</v>
      </c>
      <c r="H242" s="510">
        <f t="shared" si="198"/>
        <v>2529000</v>
      </c>
      <c r="I242" s="510">
        <f t="shared" si="198"/>
        <v>2529000</v>
      </c>
      <c r="J242" s="510">
        <f t="shared" si="198"/>
        <v>2529000</v>
      </c>
      <c r="K242" s="510">
        <f t="shared" si="198"/>
        <v>2529000</v>
      </c>
    </row>
    <row r="243" spans="1:11" customFormat="1" ht="15" x14ac:dyDescent="0.25">
      <c r="A243" s="520">
        <v>4231</v>
      </c>
      <c r="B243" s="521" t="s">
        <v>62</v>
      </c>
      <c r="C243" s="513">
        <v>2529000</v>
      </c>
      <c r="D243" s="513"/>
      <c r="E243" s="513">
        <v>1611000</v>
      </c>
      <c r="F243" s="513">
        <f t="shared" si="197"/>
        <v>4140000</v>
      </c>
      <c r="G243" s="513">
        <v>2529000</v>
      </c>
      <c r="H243" s="513">
        <v>2529000</v>
      </c>
      <c r="I243" s="513">
        <v>2529000</v>
      </c>
      <c r="J243" s="513">
        <v>2529000</v>
      </c>
      <c r="K243" s="513">
        <v>2529000</v>
      </c>
    </row>
    <row r="244" spans="1:11" customFormat="1" ht="15" x14ac:dyDescent="0.25">
      <c r="A244" s="519">
        <v>426</v>
      </c>
      <c r="B244" s="523" t="s">
        <v>73</v>
      </c>
      <c r="C244" s="510">
        <f t="shared" ref="C244:K244" si="199">SUM(C245)</f>
        <v>327000</v>
      </c>
      <c r="D244" s="510">
        <f t="shared" si="199"/>
        <v>0</v>
      </c>
      <c r="E244" s="510">
        <f t="shared" si="199"/>
        <v>0</v>
      </c>
      <c r="F244" s="510">
        <f t="shared" si="199"/>
        <v>327000</v>
      </c>
      <c r="G244" s="510">
        <f t="shared" si="199"/>
        <v>327000</v>
      </c>
      <c r="H244" s="510">
        <f t="shared" si="199"/>
        <v>327000</v>
      </c>
      <c r="I244" s="510">
        <f t="shared" si="199"/>
        <v>327000</v>
      </c>
      <c r="J244" s="510">
        <f t="shared" si="199"/>
        <v>327000</v>
      </c>
      <c r="K244" s="510">
        <f t="shared" si="199"/>
        <v>327000</v>
      </c>
    </row>
    <row r="245" spans="1:11" customFormat="1" ht="13.5" customHeight="1" x14ac:dyDescent="0.25">
      <c r="A245" s="520">
        <v>4262</v>
      </c>
      <c r="B245" s="521" t="s">
        <v>74</v>
      </c>
      <c r="C245" s="513">
        <v>327000</v>
      </c>
      <c r="D245" s="513"/>
      <c r="E245" s="513"/>
      <c r="F245" s="513">
        <f t="shared" si="197"/>
        <v>327000</v>
      </c>
      <c r="G245" s="513">
        <v>327000</v>
      </c>
      <c r="H245" s="513">
        <v>327000</v>
      </c>
      <c r="I245" s="513">
        <v>327000</v>
      </c>
      <c r="J245" s="513">
        <v>327000</v>
      </c>
      <c r="K245" s="513">
        <v>327000</v>
      </c>
    </row>
    <row r="246" spans="1:11" customFormat="1" ht="25.5" hidden="1" x14ac:dyDescent="0.25">
      <c r="A246" s="519">
        <v>451</v>
      </c>
      <c r="B246" s="523" t="s">
        <v>55</v>
      </c>
      <c r="C246" s="510">
        <f t="shared" ref="C246:D246" si="200">SUM(C247)</f>
        <v>0</v>
      </c>
      <c r="D246" s="510">
        <f t="shared" si="200"/>
        <v>0</v>
      </c>
      <c r="E246" s="510"/>
      <c r="F246" s="510"/>
      <c r="G246" s="510"/>
      <c r="H246" s="510"/>
      <c r="I246" s="510"/>
      <c r="J246" s="510"/>
      <c r="K246" s="510"/>
    </row>
    <row r="247" spans="1:11" customFormat="1" ht="25.5" hidden="1" x14ac:dyDescent="0.25">
      <c r="A247" s="520">
        <v>4511</v>
      </c>
      <c r="B247" s="521" t="s">
        <v>55</v>
      </c>
      <c r="C247" s="513"/>
      <c r="D247" s="513"/>
      <c r="E247" s="513"/>
      <c r="F247" s="513"/>
      <c r="G247" s="513"/>
      <c r="H247" s="513"/>
      <c r="I247" s="513"/>
      <c r="J247" s="513"/>
      <c r="K247" s="513"/>
    </row>
    <row r="248" spans="1:11" customFormat="1" ht="23.25" hidden="1" customHeight="1" x14ac:dyDescent="0.25">
      <c r="A248" s="501" t="s">
        <v>226</v>
      </c>
      <c r="B248" s="502" t="s">
        <v>261</v>
      </c>
      <c r="C248" s="503">
        <f t="shared" ref="C248:D248" si="201">SUM(C249+C254+C259)</f>
        <v>0</v>
      </c>
      <c r="D248" s="503">
        <f t="shared" si="201"/>
        <v>0</v>
      </c>
      <c r="E248" s="503"/>
      <c r="F248" s="503"/>
      <c r="G248" s="503"/>
      <c r="H248" s="503"/>
      <c r="I248" s="503"/>
      <c r="J248" s="503"/>
      <c r="K248" s="503"/>
    </row>
    <row r="249" spans="1:11" customFormat="1" ht="15" hidden="1" x14ac:dyDescent="0.25">
      <c r="A249" s="710" t="s">
        <v>97</v>
      </c>
      <c r="B249" s="710"/>
      <c r="C249" s="515">
        <f t="shared" ref="C249:D249" si="202">SUM(C250,C252)</f>
        <v>0</v>
      </c>
      <c r="D249" s="515">
        <f t="shared" si="202"/>
        <v>0</v>
      </c>
      <c r="E249" s="515"/>
      <c r="F249" s="515"/>
      <c r="G249" s="515"/>
      <c r="H249" s="515"/>
      <c r="I249" s="515"/>
      <c r="J249" s="515"/>
      <c r="K249" s="515"/>
    </row>
    <row r="250" spans="1:11" s="6" customFormat="1" ht="15" hidden="1" x14ac:dyDescent="0.25">
      <c r="A250" s="508">
        <v>323</v>
      </c>
      <c r="B250" s="509" t="s">
        <v>123</v>
      </c>
      <c r="C250" s="510">
        <f t="shared" ref="C250:D252" si="203">SUM(C251)</f>
        <v>0</v>
      </c>
      <c r="D250" s="510">
        <f t="shared" si="203"/>
        <v>0</v>
      </c>
      <c r="E250" s="510"/>
      <c r="F250" s="510"/>
      <c r="G250" s="510"/>
      <c r="H250" s="510"/>
      <c r="I250" s="510"/>
      <c r="J250" s="510"/>
      <c r="K250" s="510"/>
    </row>
    <row r="251" spans="1:11" customFormat="1" ht="15" hidden="1" x14ac:dyDescent="0.25">
      <c r="A251" s="511">
        <v>3233</v>
      </c>
      <c r="B251" s="535" t="s">
        <v>26</v>
      </c>
      <c r="C251" s="513"/>
      <c r="D251" s="513"/>
      <c r="E251" s="513"/>
      <c r="F251" s="513"/>
      <c r="G251" s="513"/>
      <c r="H251" s="513"/>
      <c r="I251" s="513"/>
      <c r="J251" s="513"/>
      <c r="K251" s="513"/>
    </row>
    <row r="252" spans="1:11" s="6" customFormat="1" ht="15" hidden="1" x14ac:dyDescent="0.25">
      <c r="A252" s="508">
        <v>423</v>
      </c>
      <c r="B252" s="509" t="s">
        <v>61</v>
      </c>
      <c r="C252" s="510">
        <f t="shared" si="203"/>
        <v>0</v>
      </c>
      <c r="D252" s="510">
        <f t="shared" si="203"/>
        <v>0</v>
      </c>
      <c r="E252" s="510"/>
      <c r="F252" s="510"/>
      <c r="G252" s="510"/>
      <c r="H252" s="510"/>
      <c r="I252" s="510"/>
      <c r="J252" s="510"/>
      <c r="K252" s="510"/>
    </row>
    <row r="253" spans="1:11" customFormat="1" ht="15" hidden="1" x14ac:dyDescent="0.25">
      <c r="A253" s="511">
        <v>4231</v>
      </c>
      <c r="B253" s="535" t="s">
        <v>62</v>
      </c>
      <c r="C253" s="513"/>
      <c r="D253" s="513"/>
      <c r="E253" s="513"/>
      <c r="F253" s="513"/>
      <c r="G253" s="513"/>
      <c r="H253" s="513"/>
      <c r="I253" s="513"/>
      <c r="J253" s="513"/>
      <c r="K253" s="513"/>
    </row>
    <row r="254" spans="1:11" customFormat="1" ht="18" hidden="1" customHeight="1" x14ac:dyDescent="0.25">
      <c r="A254" s="710" t="s">
        <v>113</v>
      </c>
      <c r="B254" s="710"/>
      <c r="C254" s="504">
        <f t="shared" ref="C254:D254" si="204">SUM(C255,C257)</f>
        <v>0</v>
      </c>
      <c r="D254" s="504">
        <f t="shared" si="204"/>
        <v>0</v>
      </c>
      <c r="E254" s="504"/>
      <c r="F254" s="504"/>
      <c r="G254" s="504"/>
      <c r="H254" s="504"/>
      <c r="I254" s="504"/>
      <c r="J254" s="504"/>
      <c r="K254" s="504"/>
    </row>
    <row r="255" spans="1:11" customFormat="1" ht="18" hidden="1" customHeight="1" x14ac:dyDescent="0.25">
      <c r="A255" s="508">
        <v>323</v>
      </c>
      <c r="B255" s="509" t="s">
        <v>123</v>
      </c>
      <c r="C255" s="510">
        <f t="shared" ref="C255:D255" si="205">SUM(C256)</f>
        <v>0</v>
      </c>
      <c r="D255" s="510">
        <f t="shared" si="205"/>
        <v>0</v>
      </c>
      <c r="E255" s="510"/>
      <c r="F255" s="510"/>
      <c r="G255" s="510"/>
      <c r="H255" s="510"/>
      <c r="I255" s="510"/>
      <c r="J255" s="510"/>
      <c r="K255" s="510"/>
    </row>
    <row r="256" spans="1:11" customFormat="1" ht="18" hidden="1" customHeight="1" x14ac:dyDescent="0.25">
      <c r="A256" s="511">
        <v>3233</v>
      </c>
      <c r="B256" s="535" t="s">
        <v>26</v>
      </c>
      <c r="C256" s="513"/>
      <c r="D256" s="513"/>
      <c r="E256" s="513"/>
      <c r="F256" s="513"/>
      <c r="G256" s="513"/>
      <c r="H256" s="513"/>
      <c r="I256" s="513"/>
      <c r="J256" s="513"/>
      <c r="K256" s="513"/>
    </row>
    <row r="257" spans="1:11" s="6" customFormat="1" ht="15" hidden="1" x14ac:dyDescent="0.25">
      <c r="A257" s="508">
        <v>423</v>
      </c>
      <c r="B257" s="509" t="s">
        <v>61</v>
      </c>
      <c r="C257" s="510">
        <f t="shared" ref="C257:D257" si="206">SUM(C258)</f>
        <v>0</v>
      </c>
      <c r="D257" s="510">
        <f t="shared" si="206"/>
        <v>0</v>
      </c>
      <c r="E257" s="510"/>
      <c r="F257" s="510"/>
      <c r="G257" s="510"/>
      <c r="H257" s="510"/>
      <c r="I257" s="510"/>
      <c r="J257" s="510"/>
      <c r="K257" s="510"/>
    </row>
    <row r="258" spans="1:11" customFormat="1" ht="15" hidden="1" x14ac:dyDescent="0.25">
      <c r="A258" s="511">
        <v>4231</v>
      </c>
      <c r="B258" s="535" t="s">
        <v>62</v>
      </c>
      <c r="C258" s="513"/>
      <c r="D258" s="513"/>
      <c r="E258" s="513"/>
      <c r="F258" s="513"/>
      <c r="G258" s="513"/>
      <c r="H258" s="513"/>
      <c r="I258" s="513"/>
      <c r="J258" s="513"/>
      <c r="K258" s="513"/>
    </row>
    <row r="259" spans="1:11" customFormat="1" ht="18" hidden="1" customHeight="1" x14ac:dyDescent="0.25">
      <c r="A259" s="710" t="s">
        <v>241</v>
      </c>
      <c r="B259" s="710"/>
      <c r="C259" s="504">
        <f t="shared" ref="C259:D259" si="207">SUM(C260,C262)</f>
        <v>0</v>
      </c>
      <c r="D259" s="504">
        <f t="shared" si="207"/>
        <v>0</v>
      </c>
      <c r="E259" s="504"/>
      <c r="F259" s="504"/>
      <c r="G259" s="504"/>
      <c r="H259" s="504"/>
      <c r="I259" s="504"/>
      <c r="J259" s="504"/>
      <c r="K259" s="504"/>
    </row>
    <row r="260" spans="1:11" s="6" customFormat="1" ht="15" hidden="1" x14ac:dyDescent="0.25">
      <c r="A260" s="508">
        <v>323</v>
      </c>
      <c r="B260" s="509" t="s">
        <v>123</v>
      </c>
      <c r="C260" s="510">
        <f t="shared" ref="C260:D260" si="208">SUM(C261)</f>
        <v>0</v>
      </c>
      <c r="D260" s="510">
        <f t="shared" si="208"/>
        <v>0</v>
      </c>
      <c r="E260" s="510"/>
      <c r="F260" s="510"/>
      <c r="G260" s="510"/>
      <c r="H260" s="510"/>
      <c r="I260" s="510"/>
      <c r="J260" s="510"/>
      <c r="K260" s="510"/>
    </row>
    <row r="261" spans="1:11" customFormat="1" ht="15" hidden="1" x14ac:dyDescent="0.25">
      <c r="A261" s="511">
        <v>3233</v>
      </c>
      <c r="B261" s="535" t="s">
        <v>26</v>
      </c>
      <c r="C261" s="513"/>
      <c r="D261" s="513"/>
      <c r="E261" s="513"/>
      <c r="F261" s="513"/>
      <c r="G261" s="513"/>
      <c r="H261" s="513"/>
      <c r="I261" s="513"/>
      <c r="J261" s="513"/>
      <c r="K261" s="513"/>
    </row>
    <row r="262" spans="1:11" customFormat="1" ht="15" hidden="1" x14ac:dyDescent="0.25">
      <c r="A262" s="519">
        <v>423</v>
      </c>
      <c r="B262" s="523" t="s">
        <v>61</v>
      </c>
      <c r="C262" s="510">
        <f t="shared" ref="C262:D262" si="209">SUM(C263)</f>
        <v>0</v>
      </c>
      <c r="D262" s="510">
        <f t="shared" si="209"/>
        <v>0</v>
      </c>
      <c r="E262" s="510"/>
      <c r="F262" s="510"/>
      <c r="G262" s="510"/>
      <c r="H262" s="510"/>
      <c r="I262" s="510"/>
      <c r="J262" s="510"/>
      <c r="K262" s="510"/>
    </row>
    <row r="263" spans="1:11" customFormat="1" ht="15" hidden="1" x14ac:dyDescent="0.25">
      <c r="A263" s="520">
        <v>4231</v>
      </c>
      <c r="B263" s="521" t="s">
        <v>62</v>
      </c>
      <c r="C263" s="513"/>
      <c r="D263" s="513"/>
      <c r="E263" s="513"/>
      <c r="F263" s="513"/>
      <c r="G263" s="513"/>
      <c r="H263" s="513"/>
      <c r="I263" s="513"/>
      <c r="J263" s="513"/>
      <c r="K263" s="513"/>
    </row>
    <row r="264" spans="1:11" customFormat="1" ht="31.5" customHeight="1" x14ac:dyDescent="0.25">
      <c r="A264" s="501" t="s">
        <v>192</v>
      </c>
      <c r="B264" s="502" t="s">
        <v>244</v>
      </c>
      <c r="C264" s="503">
        <f t="shared" ref="C264:K264" si="210">SUM(C265)</f>
        <v>1262000</v>
      </c>
      <c r="D264" s="503">
        <f t="shared" si="210"/>
        <v>54000</v>
      </c>
      <c r="E264" s="503">
        <f t="shared" si="210"/>
        <v>63000</v>
      </c>
      <c r="F264" s="503">
        <f t="shared" si="210"/>
        <v>1271000</v>
      </c>
      <c r="G264" s="503">
        <f t="shared" si="210"/>
        <v>1262000</v>
      </c>
      <c r="H264" s="503">
        <f t="shared" si="210"/>
        <v>1262000</v>
      </c>
      <c r="I264" s="503">
        <f t="shared" si="210"/>
        <v>1262000</v>
      </c>
      <c r="J264" s="503">
        <f t="shared" si="210"/>
        <v>1262000</v>
      </c>
      <c r="K264" s="503">
        <f t="shared" si="210"/>
        <v>1262000</v>
      </c>
    </row>
    <row r="265" spans="1:11" customFormat="1" ht="18" customHeight="1" x14ac:dyDescent="0.25">
      <c r="A265" s="710" t="s">
        <v>97</v>
      </c>
      <c r="B265" s="710"/>
      <c r="C265" s="515">
        <f>SUM(C266,C292,C295,C305)</f>
        <v>1262000</v>
      </c>
      <c r="D265" s="515">
        <f t="shared" ref="D265:F265" si="211">SUM(D266,D292,D295,D305)</f>
        <v>54000</v>
      </c>
      <c r="E265" s="515">
        <f t="shared" si="211"/>
        <v>63000</v>
      </c>
      <c r="F265" s="515">
        <f t="shared" si="211"/>
        <v>1271000</v>
      </c>
      <c r="G265" s="515">
        <f t="shared" ref="G265:H265" si="212">SUM(G266,G292,G295,G305)</f>
        <v>1262000</v>
      </c>
      <c r="H265" s="515">
        <f t="shared" si="212"/>
        <v>1262000</v>
      </c>
      <c r="I265" s="515">
        <f t="shared" ref="I265:K265" si="213">SUM(I266,I292,I295,I305)</f>
        <v>1262000</v>
      </c>
      <c r="J265" s="515">
        <f t="shared" si="213"/>
        <v>1262000</v>
      </c>
      <c r="K265" s="515">
        <f t="shared" si="213"/>
        <v>1262000</v>
      </c>
    </row>
    <row r="266" spans="1:11" customFormat="1" ht="18" customHeight="1" x14ac:dyDescent="0.25">
      <c r="A266" s="516" t="s">
        <v>324</v>
      </c>
      <c r="B266" s="516" t="s">
        <v>325</v>
      </c>
      <c r="C266" s="549">
        <f>SUM(C267,C270,C276,C285,C287,C290)</f>
        <v>395000</v>
      </c>
      <c r="D266" s="549">
        <f t="shared" ref="D266:F266" si="214">SUM(D267,D270,D276,D285,D287,D290)</f>
        <v>20000</v>
      </c>
      <c r="E266" s="549">
        <f t="shared" si="214"/>
        <v>20000</v>
      </c>
      <c r="F266" s="549">
        <f t="shared" si="214"/>
        <v>395000</v>
      </c>
      <c r="G266" s="549">
        <f t="shared" ref="G266" si="215">SUM(G267,G270,G276,G285,G287,G290)</f>
        <v>395000</v>
      </c>
      <c r="H266" s="549">
        <f t="shared" ref="H266" si="216">SUM(H267,H270,H276,H285,H287,H290)</f>
        <v>395000</v>
      </c>
      <c r="I266" s="549">
        <f t="shared" ref="I266:K266" si="217">SUM(I267,I270,I276,I285,I287,I290)</f>
        <v>395000</v>
      </c>
      <c r="J266" s="549">
        <f t="shared" si="217"/>
        <v>395000</v>
      </c>
      <c r="K266" s="549">
        <f t="shared" si="217"/>
        <v>395000</v>
      </c>
    </row>
    <row r="267" spans="1:11" s="6" customFormat="1" ht="15" customHeight="1" x14ac:dyDescent="0.25">
      <c r="A267" s="519" t="s">
        <v>149</v>
      </c>
      <c r="B267" s="523" t="s">
        <v>12</v>
      </c>
      <c r="C267" s="510">
        <f t="shared" ref="C267:F267" si="218">SUM(C268:C269)</f>
        <v>66000</v>
      </c>
      <c r="D267" s="510">
        <f t="shared" si="218"/>
        <v>0</v>
      </c>
      <c r="E267" s="510">
        <f t="shared" si="218"/>
        <v>0</v>
      </c>
      <c r="F267" s="510">
        <f t="shared" si="218"/>
        <v>66000</v>
      </c>
      <c r="G267" s="510">
        <f t="shared" ref="G267:H267" si="219">SUM(G268:G269)</f>
        <v>66000</v>
      </c>
      <c r="H267" s="510">
        <f t="shared" si="219"/>
        <v>66000</v>
      </c>
      <c r="I267" s="510">
        <f t="shared" ref="I267:K267" si="220">SUM(I268:I269)</f>
        <v>66000</v>
      </c>
      <c r="J267" s="510">
        <f t="shared" si="220"/>
        <v>66000</v>
      </c>
      <c r="K267" s="510">
        <f t="shared" si="220"/>
        <v>66000</v>
      </c>
    </row>
    <row r="268" spans="1:11" customFormat="1" ht="15" customHeight="1" x14ac:dyDescent="0.25">
      <c r="A268" s="520" t="s">
        <v>150</v>
      </c>
      <c r="B268" s="521" t="s">
        <v>13</v>
      </c>
      <c r="C268" s="513">
        <v>26000</v>
      </c>
      <c r="D268" s="513"/>
      <c r="E268" s="513"/>
      <c r="F268" s="513">
        <f t="shared" ref="F268:F291" si="221">C268-D268+E268</f>
        <v>26000</v>
      </c>
      <c r="G268" s="513">
        <v>26000</v>
      </c>
      <c r="H268" s="513">
        <v>26000</v>
      </c>
      <c r="I268" s="513">
        <v>26000</v>
      </c>
      <c r="J268" s="513">
        <v>26000</v>
      </c>
      <c r="K268" s="513">
        <v>26000</v>
      </c>
    </row>
    <row r="269" spans="1:11" customFormat="1" ht="15" customHeight="1" x14ac:dyDescent="0.25">
      <c r="A269" s="520" t="s">
        <v>152</v>
      </c>
      <c r="B269" s="521" t="s">
        <v>15</v>
      </c>
      <c r="C269" s="513">
        <v>40000</v>
      </c>
      <c r="D269" s="513"/>
      <c r="E269" s="513"/>
      <c r="F269" s="513">
        <f t="shared" si="221"/>
        <v>40000</v>
      </c>
      <c r="G269" s="513">
        <v>40000</v>
      </c>
      <c r="H269" s="513">
        <v>40000</v>
      </c>
      <c r="I269" s="513">
        <v>40000</v>
      </c>
      <c r="J269" s="513">
        <v>40000</v>
      </c>
      <c r="K269" s="513">
        <v>40000</v>
      </c>
    </row>
    <row r="270" spans="1:11" s="6" customFormat="1" ht="15" customHeight="1" x14ac:dyDescent="0.25">
      <c r="A270" s="519" t="s">
        <v>153</v>
      </c>
      <c r="B270" s="523" t="s">
        <v>16</v>
      </c>
      <c r="C270" s="510">
        <f t="shared" ref="C270:F270" si="222">SUM(C271:C275)</f>
        <v>43000</v>
      </c>
      <c r="D270" s="510">
        <f t="shared" si="222"/>
        <v>0</v>
      </c>
      <c r="E270" s="510">
        <f t="shared" si="222"/>
        <v>0</v>
      </c>
      <c r="F270" s="510">
        <f t="shared" si="222"/>
        <v>43000</v>
      </c>
      <c r="G270" s="510">
        <f t="shared" ref="G270:H270" si="223">SUM(G271:G275)</f>
        <v>43000</v>
      </c>
      <c r="H270" s="510">
        <f t="shared" si="223"/>
        <v>43000</v>
      </c>
      <c r="I270" s="510">
        <f t="shared" ref="I270:K270" si="224">SUM(I271:I275)</f>
        <v>43000</v>
      </c>
      <c r="J270" s="510">
        <f t="shared" si="224"/>
        <v>43000</v>
      </c>
      <c r="K270" s="510">
        <f t="shared" si="224"/>
        <v>43000</v>
      </c>
    </row>
    <row r="271" spans="1:11" customFormat="1" ht="15" customHeight="1" x14ac:dyDescent="0.25">
      <c r="A271" s="520" t="s">
        <v>154</v>
      </c>
      <c r="B271" s="521" t="s">
        <v>17</v>
      </c>
      <c r="C271" s="513">
        <v>13000</v>
      </c>
      <c r="D271" s="513"/>
      <c r="E271" s="513"/>
      <c r="F271" s="513">
        <f t="shared" si="221"/>
        <v>13000</v>
      </c>
      <c r="G271" s="513">
        <v>13000</v>
      </c>
      <c r="H271" s="513">
        <v>13000</v>
      </c>
      <c r="I271" s="513">
        <v>13000</v>
      </c>
      <c r="J271" s="513">
        <v>13000</v>
      </c>
      <c r="K271" s="513">
        <v>13000</v>
      </c>
    </row>
    <row r="272" spans="1:11" customFormat="1" ht="15" customHeight="1" x14ac:dyDescent="0.25">
      <c r="A272" s="520" t="s">
        <v>155</v>
      </c>
      <c r="B272" s="521" t="s">
        <v>18</v>
      </c>
      <c r="C272" s="513">
        <v>13000</v>
      </c>
      <c r="D272" s="513"/>
      <c r="E272" s="513"/>
      <c r="F272" s="513">
        <f t="shared" si="221"/>
        <v>13000</v>
      </c>
      <c r="G272" s="513">
        <v>13000</v>
      </c>
      <c r="H272" s="513">
        <v>13000</v>
      </c>
      <c r="I272" s="513">
        <v>13000</v>
      </c>
      <c r="J272" s="513">
        <v>13000</v>
      </c>
      <c r="K272" s="513">
        <v>13000</v>
      </c>
    </row>
    <row r="273" spans="1:11" customFormat="1" ht="6.75" hidden="1" customHeight="1" x14ac:dyDescent="0.25">
      <c r="A273" s="520" t="s">
        <v>156</v>
      </c>
      <c r="B273" s="521" t="s">
        <v>19</v>
      </c>
      <c r="C273" s="513"/>
      <c r="D273" s="513"/>
      <c r="E273" s="513"/>
      <c r="F273" s="513">
        <f t="shared" si="221"/>
        <v>0</v>
      </c>
      <c r="G273" s="513"/>
      <c r="H273" s="513"/>
      <c r="I273" s="513"/>
      <c r="J273" s="513"/>
      <c r="K273" s="513"/>
    </row>
    <row r="274" spans="1:11" customFormat="1" ht="23.25" customHeight="1" x14ac:dyDescent="0.25">
      <c r="A274" s="520" t="s">
        <v>157</v>
      </c>
      <c r="B274" s="521" t="s">
        <v>112</v>
      </c>
      <c r="C274" s="513">
        <v>4000</v>
      </c>
      <c r="D274" s="513"/>
      <c r="E274" s="513"/>
      <c r="F274" s="513">
        <f t="shared" si="221"/>
        <v>4000</v>
      </c>
      <c r="G274" s="513">
        <v>4000</v>
      </c>
      <c r="H274" s="513">
        <v>4000</v>
      </c>
      <c r="I274" s="513">
        <v>4000</v>
      </c>
      <c r="J274" s="513">
        <v>4000</v>
      </c>
      <c r="K274" s="513">
        <v>4000</v>
      </c>
    </row>
    <row r="275" spans="1:11" customFormat="1" ht="15" customHeight="1" x14ac:dyDescent="0.25">
      <c r="A275" s="520" t="s">
        <v>158</v>
      </c>
      <c r="B275" s="521" t="s">
        <v>21</v>
      </c>
      <c r="C275" s="513">
        <v>13000</v>
      </c>
      <c r="D275" s="513"/>
      <c r="E275" s="513"/>
      <c r="F275" s="513">
        <f t="shared" si="221"/>
        <v>13000</v>
      </c>
      <c r="G275" s="513">
        <v>13000</v>
      </c>
      <c r="H275" s="513">
        <v>13000</v>
      </c>
      <c r="I275" s="513">
        <v>13000</v>
      </c>
      <c r="J275" s="513">
        <v>13000</v>
      </c>
      <c r="K275" s="513">
        <v>13000</v>
      </c>
    </row>
    <row r="276" spans="1:11" s="6" customFormat="1" ht="15" customHeight="1" x14ac:dyDescent="0.25">
      <c r="A276" s="519" t="s">
        <v>159</v>
      </c>
      <c r="B276" s="523" t="s">
        <v>123</v>
      </c>
      <c r="C276" s="510">
        <f t="shared" ref="C276:F276" si="225">SUM(C277:C284)</f>
        <v>249000</v>
      </c>
      <c r="D276" s="510">
        <f t="shared" si="225"/>
        <v>20000</v>
      </c>
      <c r="E276" s="510">
        <f t="shared" si="225"/>
        <v>20000</v>
      </c>
      <c r="F276" s="510">
        <f t="shared" si="225"/>
        <v>249000</v>
      </c>
      <c r="G276" s="510">
        <f t="shared" ref="G276:H276" si="226">SUM(G277:G284)</f>
        <v>254000</v>
      </c>
      <c r="H276" s="510">
        <f t="shared" si="226"/>
        <v>254000</v>
      </c>
      <c r="I276" s="510">
        <f t="shared" ref="I276:K276" si="227">SUM(I277:I284)</f>
        <v>254000</v>
      </c>
      <c r="J276" s="510">
        <f t="shared" si="227"/>
        <v>254000</v>
      </c>
      <c r="K276" s="510">
        <f t="shared" si="227"/>
        <v>254000</v>
      </c>
    </row>
    <row r="277" spans="1:11" customFormat="1" ht="15" customHeight="1" x14ac:dyDescent="0.25">
      <c r="A277" s="520">
        <v>3232</v>
      </c>
      <c r="B277" s="521" t="s">
        <v>25</v>
      </c>
      <c r="C277" s="513">
        <v>128000</v>
      </c>
      <c r="D277" s="513">
        <v>20000</v>
      </c>
      <c r="E277" s="513"/>
      <c r="F277" s="513">
        <f t="shared" si="221"/>
        <v>108000</v>
      </c>
      <c r="G277" s="513">
        <v>133000</v>
      </c>
      <c r="H277" s="513">
        <v>133000</v>
      </c>
      <c r="I277" s="513">
        <v>133000</v>
      </c>
      <c r="J277" s="513">
        <v>133000</v>
      </c>
      <c r="K277" s="513">
        <v>133000</v>
      </c>
    </row>
    <row r="278" spans="1:11" customFormat="1" ht="15" customHeight="1" x14ac:dyDescent="0.25">
      <c r="A278" s="520">
        <v>3233</v>
      </c>
      <c r="B278" s="521" t="s">
        <v>26</v>
      </c>
      <c r="C278" s="513">
        <v>13000</v>
      </c>
      <c r="D278" s="513"/>
      <c r="E278" s="513"/>
      <c r="F278" s="513">
        <f t="shared" si="221"/>
        <v>13000</v>
      </c>
      <c r="G278" s="513">
        <v>13000</v>
      </c>
      <c r="H278" s="513">
        <v>13000</v>
      </c>
      <c r="I278" s="513">
        <v>13000</v>
      </c>
      <c r="J278" s="513">
        <v>13000</v>
      </c>
      <c r="K278" s="513">
        <v>13000</v>
      </c>
    </row>
    <row r="279" spans="1:11" customFormat="1" ht="15" customHeight="1" x14ac:dyDescent="0.25">
      <c r="A279" s="520" t="s">
        <v>163</v>
      </c>
      <c r="B279" s="521" t="s">
        <v>27</v>
      </c>
      <c r="C279" s="513">
        <v>2000</v>
      </c>
      <c r="D279" s="513"/>
      <c r="E279" s="513"/>
      <c r="F279" s="513">
        <f t="shared" si="221"/>
        <v>2000</v>
      </c>
      <c r="G279" s="513">
        <v>2000</v>
      </c>
      <c r="H279" s="513">
        <v>2000</v>
      </c>
      <c r="I279" s="513">
        <v>2000</v>
      </c>
      <c r="J279" s="513">
        <v>2000</v>
      </c>
      <c r="K279" s="513">
        <v>2000</v>
      </c>
    </row>
    <row r="280" spans="1:11" customFormat="1" ht="15" customHeight="1" x14ac:dyDescent="0.25">
      <c r="A280" s="520" t="s">
        <v>164</v>
      </c>
      <c r="B280" s="521" t="s">
        <v>28</v>
      </c>
      <c r="C280" s="513">
        <v>33000</v>
      </c>
      <c r="D280" s="513"/>
      <c r="E280" s="513"/>
      <c r="F280" s="513">
        <f t="shared" si="221"/>
        <v>33000</v>
      </c>
      <c r="G280" s="513">
        <v>33000</v>
      </c>
      <c r="H280" s="513">
        <v>33000</v>
      </c>
      <c r="I280" s="513">
        <v>33000</v>
      </c>
      <c r="J280" s="513">
        <v>33000</v>
      </c>
      <c r="K280" s="513">
        <v>33000</v>
      </c>
    </row>
    <row r="281" spans="1:11" customFormat="1" ht="15" customHeight="1" x14ac:dyDescent="0.25">
      <c r="A281" s="520" t="s">
        <v>165</v>
      </c>
      <c r="B281" s="521" t="s">
        <v>29</v>
      </c>
      <c r="C281" s="513">
        <v>7000</v>
      </c>
      <c r="D281" s="513"/>
      <c r="E281" s="513"/>
      <c r="F281" s="513">
        <f t="shared" si="221"/>
        <v>7000</v>
      </c>
      <c r="G281" s="513">
        <v>7000</v>
      </c>
      <c r="H281" s="513">
        <v>7000</v>
      </c>
      <c r="I281" s="513">
        <v>7000</v>
      </c>
      <c r="J281" s="513">
        <v>7000</v>
      </c>
      <c r="K281" s="513">
        <v>7000</v>
      </c>
    </row>
    <row r="282" spans="1:11" customFormat="1" ht="15" customHeight="1" x14ac:dyDescent="0.25">
      <c r="A282" s="520" t="s">
        <v>166</v>
      </c>
      <c r="B282" s="521" t="s">
        <v>30</v>
      </c>
      <c r="C282" s="513">
        <v>33000</v>
      </c>
      <c r="D282" s="513"/>
      <c r="E282" s="513"/>
      <c r="F282" s="513">
        <f t="shared" si="221"/>
        <v>33000</v>
      </c>
      <c r="G282" s="513">
        <v>33000</v>
      </c>
      <c r="H282" s="513">
        <v>33000</v>
      </c>
      <c r="I282" s="513">
        <v>33000</v>
      </c>
      <c r="J282" s="513">
        <v>33000</v>
      </c>
      <c r="K282" s="513">
        <v>33000</v>
      </c>
    </row>
    <row r="283" spans="1:11" customFormat="1" ht="15" customHeight="1" x14ac:dyDescent="0.25">
      <c r="A283" s="520" t="s">
        <v>189</v>
      </c>
      <c r="B283" s="521" t="s">
        <v>70</v>
      </c>
      <c r="C283" s="513">
        <v>13000</v>
      </c>
      <c r="D283" s="513"/>
      <c r="E283" s="513"/>
      <c r="F283" s="513">
        <f t="shared" si="221"/>
        <v>13000</v>
      </c>
      <c r="G283" s="513">
        <v>13000</v>
      </c>
      <c r="H283" s="513">
        <v>13000</v>
      </c>
      <c r="I283" s="513">
        <v>13000</v>
      </c>
      <c r="J283" s="513">
        <v>13000</v>
      </c>
      <c r="K283" s="513">
        <v>13000</v>
      </c>
    </row>
    <row r="284" spans="1:11" customFormat="1" ht="15" customHeight="1" x14ac:dyDescent="0.25">
      <c r="A284" s="520" t="s">
        <v>167</v>
      </c>
      <c r="B284" s="521" t="s">
        <v>31</v>
      </c>
      <c r="C284" s="513">
        <v>20000</v>
      </c>
      <c r="D284" s="513"/>
      <c r="E284" s="513">
        <v>20000</v>
      </c>
      <c r="F284" s="513">
        <f t="shared" si="221"/>
        <v>40000</v>
      </c>
      <c r="G284" s="513">
        <v>20000</v>
      </c>
      <c r="H284" s="513">
        <v>20000</v>
      </c>
      <c r="I284" s="513">
        <v>20000</v>
      </c>
      <c r="J284" s="513">
        <v>20000</v>
      </c>
      <c r="K284" s="513">
        <v>20000</v>
      </c>
    </row>
    <row r="285" spans="1:11" s="6" customFormat="1" ht="24.75" customHeight="1" x14ac:dyDescent="0.25">
      <c r="A285" s="519" t="s">
        <v>168</v>
      </c>
      <c r="B285" s="523" t="s">
        <v>32</v>
      </c>
      <c r="C285" s="510">
        <f t="shared" ref="C285:K285" si="228">SUM(C286)</f>
        <v>20000</v>
      </c>
      <c r="D285" s="510">
        <f t="shared" si="228"/>
        <v>0</v>
      </c>
      <c r="E285" s="510">
        <f t="shared" si="228"/>
        <v>0</v>
      </c>
      <c r="F285" s="510">
        <f t="shared" si="228"/>
        <v>20000</v>
      </c>
      <c r="G285" s="510">
        <f t="shared" si="228"/>
        <v>20000</v>
      </c>
      <c r="H285" s="510">
        <f t="shared" si="228"/>
        <v>20000</v>
      </c>
      <c r="I285" s="510">
        <f t="shared" si="228"/>
        <v>20000</v>
      </c>
      <c r="J285" s="510">
        <f t="shared" si="228"/>
        <v>20000</v>
      </c>
      <c r="K285" s="510">
        <f t="shared" si="228"/>
        <v>20000</v>
      </c>
    </row>
    <row r="286" spans="1:11" customFormat="1" ht="15" customHeight="1" x14ac:dyDescent="0.25">
      <c r="A286" s="520" t="s">
        <v>169</v>
      </c>
      <c r="B286" s="521" t="s">
        <v>32</v>
      </c>
      <c r="C286" s="513">
        <v>20000</v>
      </c>
      <c r="D286" s="513"/>
      <c r="E286" s="513"/>
      <c r="F286" s="513">
        <f t="shared" si="221"/>
        <v>20000</v>
      </c>
      <c r="G286" s="513">
        <v>20000</v>
      </c>
      <c r="H286" s="513">
        <v>20000</v>
      </c>
      <c r="I286" s="513">
        <v>20000</v>
      </c>
      <c r="J286" s="513">
        <v>20000</v>
      </c>
      <c r="K286" s="513">
        <v>20000</v>
      </c>
    </row>
    <row r="287" spans="1:11" s="6" customFormat="1" ht="15" customHeight="1" x14ac:dyDescent="0.25">
      <c r="A287" s="519" t="s">
        <v>170</v>
      </c>
      <c r="B287" s="523" t="s">
        <v>33</v>
      </c>
      <c r="C287" s="510">
        <f t="shared" ref="C287:F287" si="229">SUM(C288:C289)</f>
        <v>12000</v>
      </c>
      <c r="D287" s="510">
        <f t="shared" si="229"/>
        <v>0</v>
      </c>
      <c r="E287" s="510">
        <f t="shared" si="229"/>
        <v>0</v>
      </c>
      <c r="F287" s="510">
        <f t="shared" si="229"/>
        <v>12000</v>
      </c>
      <c r="G287" s="510">
        <f t="shared" ref="G287:H287" si="230">SUM(G288:G289)</f>
        <v>12000</v>
      </c>
      <c r="H287" s="510">
        <f t="shared" si="230"/>
        <v>12000</v>
      </c>
      <c r="I287" s="510">
        <f t="shared" ref="I287:K287" si="231">SUM(I288:I289)</f>
        <v>12000</v>
      </c>
      <c r="J287" s="510">
        <f t="shared" si="231"/>
        <v>12000</v>
      </c>
      <c r="K287" s="510">
        <f t="shared" si="231"/>
        <v>12000</v>
      </c>
    </row>
    <row r="288" spans="1:11" customFormat="1" ht="15" customHeight="1" x14ac:dyDescent="0.25">
      <c r="A288" s="520" t="s">
        <v>171</v>
      </c>
      <c r="B288" s="521" t="s">
        <v>35</v>
      </c>
      <c r="C288" s="513">
        <v>2000</v>
      </c>
      <c r="D288" s="513"/>
      <c r="E288" s="513"/>
      <c r="F288" s="513">
        <f t="shared" si="221"/>
        <v>2000</v>
      </c>
      <c r="G288" s="513">
        <v>2000</v>
      </c>
      <c r="H288" s="513">
        <v>2000</v>
      </c>
      <c r="I288" s="513">
        <v>2000</v>
      </c>
      <c r="J288" s="513">
        <v>2000</v>
      </c>
      <c r="K288" s="513">
        <v>2000</v>
      </c>
    </row>
    <row r="289" spans="1:11" customFormat="1" ht="15" customHeight="1" x14ac:dyDescent="0.25">
      <c r="A289" s="520" t="s">
        <v>172</v>
      </c>
      <c r="B289" s="521" t="s">
        <v>36</v>
      </c>
      <c r="C289" s="513">
        <v>10000</v>
      </c>
      <c r="D289" s="513"/>
      <c r="E289" s="513"/>
      <c r="F289" s="513">
        <f t="shared" si="221"/>
        <v>10000</v>
      </c>
      <c r="G289" s="513">
        <v>10000</v>
      </c>
      <c r="H289" s="513">
        <v>10000</v>
      </c>
      <c r="I289" s="513">
        <v>10000</v>
      </c>
      <c r="J289" s="513">
        <v>10000</v>
      </c>
      <c r="K289" s="513">
        <v>10000</v>
      </c>
    </row>
    <row r="290" spans="1:11" customFormat="1" ht="15" customHeight="1" x14ac:dyDescent="0.25">
      <c r="A290" s="508">
        <v>343</v>
      </c>
      <c r="B290" s="509" t="s">
        <v>40</v>
      </c>
      <c r="C290" s="510">
        <f t="shared" ref="C290:K290" si="232">SUM(C291)</f>
        <v>5000</v>
      </c>
      <c r="D290" s="510">
        <f t="shared" si="232"/>
        <v>0</v>
      </c>
      <c r="E290" s="510">
        <f t="shared" si="232"/>
        <v>0</v>
      </c>
      <c r="F290" s="510">
        <f t="shared" si="232"/>
        <v>5000</v>
      </c>
      <c r="G290" s="510">
        <f t="shared" si="232"/>
        <v>0</v>
      </c>
      <c r="H290" s="510">
        <f t="shared" si="232"/>
        <v>0</v>
      </c>
      <c r="I290" s="510">
        <f t="shared" si="232"/>
        <v>0</v>
      </c>
      <c r="J290" s="510">
        <f t="shared" si="232"/>
        <v>0</v>
      </c>
      <c r="K290" s="510">
        <f t="shared" si="232"/>
        <v>0</v>
      </c>
    </row>
    <row r="291" spans="1:11" customFormat="1" ht="15" customHeight="1" x14ac:dyDescent="0.25">
      <c r="A291" s="511">
        <v>3434</v>
      </c>
      <c r="B291" s="512" t="s">
        <v>43</v>
      </c>
      <c r="C291" s="513">
        <v>5000</v>
      </c>
      <c r="D291" s="513"/>
      <c r="E291" s="513"/>
      <c r="F291" s="513">
        <f t="shared" si="221"/>
        <v>5000</v>
      </c>
      <c r="G291" s="513"/>
      <c r="H291" s="513"/>
      <c r="I291" s="513"/>
      <c r="J291" s="513"/>
      <c r="K291" s="513"/>
    </row>
    <row r="292" spans="1:11" customFormat="1" ht="25.5" x14ac:dyDescent="0.25">
      <c r="A292" s="540" t="s">
        <v>334</v>
      </c>
      <c r="B292" s="541" t="s">
        <v>335</v>
      </c>
      <c r="C292" s="507">
        <f>SUM(C293)</f>
        <v>4000</v>
      </c>
      <c r="D292" s="507">
        <f t="shared" ref="D292:K292" si="233">SUM(D293)</f>
        <v>0</v>
      </c>
      <c r="E292" s="507">
        <f t="shared" si="233"/>
        <v>9000</v>
      </c>
      <c r="F292" s="507">
        <f t="shared" si="233"/>
        <v>13000</v>
      </c>
      <c r="G292" s="507">
        <f>SUM(G293)</f>
        <v>4000</v>
      </c>
      <c r="H292" s="507">
        <f>SUM(H293)</f>
        <v>4000</v>
      </c>
      <c r="I292" s="507">
        <f t="shared" si="233"/>
        <v>4000</v>
      </c>
      <c r="J292" s="507">
        <f t="shared" si="233"/>
        <v>4000</v>
      </c>
      <c r="K292" s="507">
        <f t="shared" si="233"/>
        <v>4000</v>
      </c>
    </row>
    <row r="293" spans="1:11" s="6" customFormat="1" ht="15" customHeight="1" x14ac:dyDescent="0.25">
      <c r="A293" s="519" t="s">
        <v>176</v>
      </c>
      <c r="B293" s="523" t="s">
        <v>67</v>
      </c>
      <c r="C293" s="510">
        <f t="shared" ref="C293:K293" si="234">SUM(C294)</f>
        <v>4000</v>
      </c>
      <c r="D293" s="510">
        <f t="shared" si="234"/>
        <v>0</v>
      </c>
      <c r="E293" s="510">
        <f t="shared" si="234"/>
        <v>9000</v>
      </c>
      <c r="F293" s="510">
        <f t="shared" si="234"/>
        <v>13000</v>
      </c>
      <c r="G293" s="510">
        <f t="shared" si="234"/>
        <v>4000</v>
      </c>
      <c r="H293" s="510">
        <f t="shared" si="234"/>
        <v>4000</v>
      </c>
      <c r="I293" s="510">
        <f t="shared" si="234"/>
        <v>4000</v>
      </c>
      <c r="J293" s="510">
        <f t="shared" si="234"/>
        <v>4000</v>
      </c>
      <c r="K293" s="510">
        <f t="shared" si="234"/>
        <v>4000</v>
      </c>
    </row>
    <row r="294" spans="1:11" customFormat="1" ht="15" customHeight="1" x14ac:dyDescent="0.25">
      <c r="A294" s="520" t="s">
        <v>190</v>
      </c>
      <c r="B294" s="521" t="s">
        <v>68</v>
      </c>
      <c r="C294" s="513">
        <v>4000</v>
      </c>
      <c r="D294" s="513"/>
      <c r="E294" s="513">
        <v>9000</v>
      </c>
      <c r="F294" s="513">
        <f t="shared" ref="F294" si="235">C294-D294+E294</f>
        <v>13000</v>
      </c>
      <c r="G294" s="513">
        <v>4000</v>
      </c>
      <c r="H294" s="513">
        <v>4000</v>
      </c>
      <c r="I294" s="513">
        <v>4000</v>
      </c>
      <c r="J294" s="513">
        <v>4000</v>
      </c>
      <c r="K294" s="513">
        <v>4000</v>
      </c>
    </row>
    <row r="295" spans="1:11" customFormat="1" ht="22.5" customHeight="1" x14ac:dyDescent="0.25">
      <c r="A295" s="505" t="s">
        <v>330</v>
      </c>
      <c r="B295" s="517" t="s">
        <v>331</v>
      </c>
      <c r="C295" s="507">
        <f t="shared" ref="C295:F295" si="236">SUM(C296,C303)</f>
        <v>729000</v>
      </c>
      <c r="D295" s="507">
        <f t="shared" si="236"/>
        <v>34000</v>
      </c>
      <c r="E295" s="507">
        <f t="shared" si="236"/>
        <v>34000</v>
      </c>
      <c r="F295" s="507">
        <f t="shared" si="236"/>
        <v>729000</v>
      </c>
      <c r="G295" s="507">
        <f>SUM(G296,G303)</f>
        <v>729000</v>
      </c>
      <c r="H295" s="507">
        <f>SUM(H296,H303)</f>
        <v>729000</v>
      </c>
      <c r="I295" s="507">
        <f t="shared" ref="I295:K295" si="237">SUM(I296,I303)</f>
        <v>729000</v>
      </c>
      <c r="J295" s="507">
        <f t="shared" si="237"/>
        <v>729000</v>
      </c>
      <c r="K295" s="507">
        <f t="shared" si="237"/>
        <v>729000</v>
      </c>
    </row>
    <row r="296" spans="1:11" s="6" customFormat="1" ht="15" customHeight="1" x14ac:dyDescent="0.25">
      <c r="A296" s="519" t="s">
        <v>177</v>
      </c>
      <c r="B296" s="523" t="s">
        <v>129</v>
      </c>
      <c r="C296" s="510">
        <f t="shared" ref="C296" si="238">SUM(C297:C300)</f>
        <v>596000</v>
      </c>
      <c r="D296" s="510">
        <f t="shared" ref="D296:F296" si="239">SUM(D297:D300)</f>
        <v>34000</v>
      </c>
      <c r="E296" s="510">
        <f t="shared" si="239"/>
        <v>34000</v>
      </c>
      <c r="F296" s="510">
        <f t="shared" si="239"/>
        <v>596000</v>
      </c>
      <c r="G296" s="510">
        <f t="shared" ref="G296:H296" si="240">SUM(G297:G300)</f>
        <v>596000</v>
      </c>
      <c r="H296" s="510">
        <f t="shared" si="240"/>
        <v>596000</v>
      </c>
      <c r="I296" s="510">
        <f t="shared" ref="I296:K296" si="241">SUM(I297:I300)</f>
        <v>596000</v>
      </c>
      <c r="J296" s="510">
        <f t="shared" si="241"/>
        <v>596000</v>
      </c>
      <c r="K296" s="510">
        <f t="shared" si="241"/>
        <v>596000</v>
      </c>
    </row>
    <row r="297" spans="1:11" customFormat="1" ht="15" customHeight="1" x14ac:dyDescent="0.25">
      <c r="A297" s="520" t="s">
        <v>178</v>
      </c>
      <c r="B297" s="521" t="s">
        <v>54</v>
      </c>
      <c r="C297" s="513">
        <v>330000</v>
      </c>
      <c r="D297" s="513"/>
      <c r="E297" s="513"/>
      <c r="F297" s="513">
        <f t="shared" ref="F297:F299" si="242">C297-D297+E297</f>
        <v>330000</v>
      </c>
      <c r="G297" s="513">
        <v>330000</v>
      </c>
      <c r="H297" s="513">
        <v>330000</v>
      </c>
      <c r="I297" s="513">
        <v>330000</v>
      </c>
      <c r="J297" s="513">
        <v>330000</v>
      </c>
      <c r="K297" s="513">
        <v>330000</v>
      </c>
    </row>
    <row r="298" spans="1:11" customFormat="1" ht="14.25" customHeight="1" x14ac:dyDescent="0.25">
      <c r="A298" s="520" t="s">
        <v>186</v>
      </c>
      <c r="B298" s="521" t="s">
        <v>58</v>
      </c>
      <c r="C298" s="513">
        <v>266000</v>
      </c>
      <c r="D298" s="513">
        <v>34000</v>
      </c>
      <c r="E298" s="513"/>
      <c r="F298" s="513">
        <f t="shared" si="242"/>
        <v>232000</v>
      </c>
      <c r="G298" s="513">
        <v>266000</v>
      </c>
      <c r="H298" s="513">
        <v>266000</v>
      </c>
      <c r="I298" s="513">
        <v>266000</v>
      </c>
      <c r="J298" s="513">
        <v>266000</v>
      </c>
      <c r="K298" s="513">
        <v>266000</v>
      </c>
    </row>
    <row r="299" spans="1:11" customFormat="1" ht="15" customHeight="1" x14ac:dyDescent="0.25">
      <c r="A299" s="520" t="s">
        <v>179</v>
      </c>
      <c r="B299" s="521" t="s">
        <v>59</v>
      </c>
      <c r="C299" s="513"/>
      <c r="D299" s="513"/>
      <c r="E299" s="513">
        <v>34000</v>
      </c>
      <c r="F299" s="513">
        <f t="shared" si="242"/>
        <v>34000</v>
      </c>
      <c r="G299" s="513"/>
      <c r="H299" s="513"/>
      <c r="I299" s="513"/>
      <c r="J299" s="513"/>
      <c r="K299" s="513"/>
    </row>
    <row r="300" spans="1:11" customFormat="1" ht="18" hidden="1" customHeight="1" x14ac:dyDescent="0.25">
      <c r="A300" s="520" t="s">
        <v>180</v>
      </c>
      <c r="B300" s="521" t="s">
        <v>60</v>
      </c>
      <c r="C300" s="513"/>
      <c r="D300" s="513"/>
      <c r="E300" s="513"/>
      <c r="F300" s="513"/>
      <c r="G300" s="513"/>
      <c r="H300" s="513"/>
      <c r="I300" s="513"/>
      <c r="J300" s="513"/>
      <c r="K300" s="513"/>
    </row>
    <row r="301" spans="1:11" s="6" customFormat="1" ht="21" hidden="1" customHeight="1" x14ac:dyDescent="0.25">
      <c r="A301" s="519" t="s">
        <v>181</v>
      </c>
      <c r="B301" s="523" t="s">
        <v>61</v>
      </c>
      <c r="C301" s="510">
        <f t="shared" ref="C301:D301" si="243">SUM(C302)</f>
        <v>0</v>
      </c>
      <c r="D301" s="510">
        <f t="shared" si="243"/>
        <v>0</v>
      </c>
      <c r="E301" s="510"/>
      <c r="F301" s="510"/>
      <c r="G301" s="510">
        <f t="shared" ref="G301:H301" si="244">SUM(G302)</f>
        <v>0</v>
      </c>
      <c r="H301" s="510">
        <f t="shared" si="244"/>
        <v>0</v>
      </c>
      <c r="I301" s="510"/>
      <c r="J301" s="510"/>
      <c r="K301" s="510"/>
    </row>
    <row r="302" spans="1:11" customFormat="1" ht="10.5" hidden="1" customHeight="1" x14ac:dyDescent="0.25">
      <c r="A302" s="520" t="s">
        <v>182</v>
      </c>
      <c r="B302" s="521" t="s">
        <v>62</v>
      </c>
      <c r="C302" s="513"/>
      <c r="D302" s="513"/>
      <c r="E302" s="513"/>
      <c r="F302" s="513"/>
      <c r="G302" s="513"/>
      <c r="H302" s="513"/>
      <c r="I302" s="513"/>
      <c r="J302" s="513"/>
      <c r="K302" s="513"/>
    </row>
    <row r="303" spans="1:11" s="6" customFormat="1" ht="15" customHeight="1" x14ac:dyDescent="0.25">
      <c r="A303" s="519" t="s">
        <v>193</v>
      </c>
      <c r="B303" s="523" t="s">
        <v>73</v>
      </c>
      <c r="C303" s="510">
        <f t="shared" ref="C303:K303" si="245">SUM(C304)</f>
        <v>133000</v>
      </c>
      <c r="D303" s="510">
        <f t="shared" si="245"/>
        <v>0</v>
      </c>
      <c r="E303" s="510">
        <f t="shared" si="245"/>
        <v>0</v>
      </c>
      <c r="F303" s="510">
        <f t="shared" si="245"/>
        <v>133000</v>
      </c>
      <c r="G303" s="510">
        <f t="shared" si="245"/>
        <v>133000</v>
      </c>
      <c r="H303" s="510">
        <f t="shared" si="245"/>
        <v>133000</v>
      </c>
      <c r="I303" s="510">
        <f t="shared" si="245"/>
        <v>133000</v>
      </c>
      <c r="J303" s="510">
        <f t="shared" si="245"/>
        <v>133000</v>
      </c>
      <c r="K303" s="510">
        <f t="shared" si="245"/>
        <v>133000</v>
      </c>
    </row>
    <row r="304" spans="1:11" customFormat="1" ht="15" customHeight="1" x14ac:dyDescent="0.25">
      <c r="A304" s="520" t="s">
        <v>194</v>
      </c>
      <c r="B304" s="521" t="s">
        <v>88</v>
      </c>
      <c r="C304" s="513">
        <v>133000</v>
      </c>
      <c r="D304" s="513"/>
      <c r="E304" s="513"/>
      <c r="F304" s="513">
        <f t="shared" ref="F304" si="246">C304-D304+E304</f>
        <v>133000</v>
      </c>
      <c r="G304" s="513">
        <v>133000</v>
      </c>
      <c r="H304" s="513">
        <v>133000</v>
      </c>
      <c r="I304" s="513">
        <v>133000</v>
      </c>
      <c r="J304" s="513">
        <v>133000</v>
      </c>
      <c r="K304" s="513">
        <v>133000</v>
      </c>
    </row>
    <row r="305" spans="1:11" customFormat="1" ht="24" customHeight="1" x14ac:dyDescent="0.25">
      <c r="A305" s="540" t="s">
        <v>332</v>
      </c>
      <c r="B305" s="541" t="s">
        <v>333</v>
      </c>
      <c r="C305" s="507">
        <f>SUM(C306,C308)</f>
        <v>134000</v>
      </c>
      <c r="D305" s="507">
        <f t="shared" ref="D305:F305" si="247">SUM(D306,D308)</f>
        <v>0</v>
      </c>
      <c r="E305" s="507">
        <f t="shared" si="247"/>
        <v>0</v>
      </c>
      <c r="F305" s="507">
        <f t="shared" si="247"/>
        <v>134000</v>
      </c>
      <c r="G305" s="507">
        <f>SUM(G306,G308)</f>
        <v>134000</v>
      </c>
      <c r="H305" s="507">
        <f>SUM(H306,H308)</f>
        <v>134000</v>
      </c>
      <c r="I305" s="507">
        <f t="shared" ref="I305:K305" si="248">SUM(I306,I308)</f>
        <v>134000</v>
      </c>
      <c r="J305" s="507">
        <f t="shared" si="248"/>
        <v>134000</v>
      </c>
      <c r="K305" s="507">
        <f t="shared" si="248"/>
        <v>134000</v>
      </c>
    </row>
    <row r="306" spans="1:11" s="6" customFormat="1" ht="25.5" x14ac:dyDescent="0.25">
      <c r="A306" s="519" t="s">
        <v>183</v>
      </c>
      <c r="B306" s="523" t="s">
        <v>55</v>
      </c>
      <c r="C306" s="510">
        <f t="shared" ref="C306:K308" si="249">SUM(C307)</f>
        <v>67000</v>
      </c>
      <c r="D306" s="510">
        <f t="shared" si="249"/>
        <v>0</v>
      </c>
      <c r="E306" s="510">
        <f t="shared" si="249"/>
        <v>0</v>
      </c>
      <c r="F306" s="510">
        <f t="shared" si="249"/>
        <v>67000</v>
      </c>
      <c r="G306" s="510">
        <f t="shared" si="249"/>
        <v>67000</v>
      </c>
      <c r="H306" s="510">
        <f t="shared" si="249"/>
        <v>67000</v>
      </c>
      <c r="I306" s="510">
        <f t="shared" si="249"/>
        <v>67000</v>
      </c>
      <c r="J306" s="510">
        <f t="shared" si="249"/>
        <v>67000</v>
      </c>
      <c r="K306" s="510">
        <f t="shared" si="249"/>
        <v>67000</v>
      </c>
    </row>
    <row r="307" spans="1:11" customFormat="1" ht="15" customHeight="1" x14ac:dyDescent="0.25">
      <c r="A307" s="520" t="s">
        <v>184</v>
      </c>
      <c r="B307" s="521" t="s">
        <v>55</v>
      </c>
      <c r="C307" s="513">
        <v>67000</v>
      </c>
      <c r="D307" s="513"/>
      <c r="E307" s="513"/>
      <c r="F307" s="513">
        <f t="shared" ref="F307:F309" si="250">C307-D307+E307</f>
        <v>67000</v>
      </c>
      <c r="G307" s="513">
        <v>67000</v>
      </c>
      <c r="H307" s="513">
        <v>67000</v>
      </c>
      <c r="I307" s="513">
        <v>67000</v>
      </c>
      <c r="J307" s="513">
        <v>67000</v>
      </c>
      <c r="K307" s="513">
        <v>67000</v>
      </c>
    </row>
    <row r="308" spans="1:11" s="6" customFormat="1" ht="25.5" x14ac:dyDescent="0.25">
      <c r="A308" s="519">
        <v>453</v>
      </c>
      <c r="B308" s="523" t="s">
        <v>288</v>
      </c>
      <c r="C308" s="510">
        <f t="shared" si="249"/>
        <v>67000</v>
      </c>
      <c r="D308" s="510">
        <f t="shared" si="249"/>
        <v>0</v>
      </c>
      <c r="E308" s="510">
        <f t="shared" si="249"/>
        <v>0</v>
      </c>
      <c r="F308" s="510">
        <f t="shared" si="249"/>
        <v>67000</v>
      </c>
      <c r="G308" s="510">
        <f t="shared" si="249"/>
        <v>67000</v>
      </c>
      <c r="H308" s="510">
        <f t="shared" si="249"/>
        <v>67000</v>
      </c>
      <c r="I308" s="510">
        <f t="shared" si="249"/>
        <v>67000</v>
      </c>
      <c r="J308" s="510">
        <f t="shared" si="249"/>
        <v>67000</v>
      </c>
      <c r="K308" s="510">
        <f t="shared" si="249"/>
        <v>67000</v>
      </c>
    </row>
    <row r="309" spans="1:11" customFormat="1" ht="15" customHeight="1" x14ac:dyDescent="0.25">
      <c r="A309" s="520">
        <v>4531</v>
      </c>
      <c r="B309" s="521" t="s">
        <v>289</v>
      </c>
      <c r="C309" s="513">
        <v>67000</v>
      </c>
      <c r="D309" s="513"/>
      <c r="E309" s="513"/>
      <c r="F309" s="513">
        <f t="shared" si="250"/>
        <v>67000</v>
      </c>
      <c r="G309" s="513">
        <v>67000</v>
      </c>
      <c r="H309" s="513">
        <v>67000</v>
      </c>
      <c r="I309" s="513">
        <v>67000</v>
      </c>
      <c r="J309" s="513">
        <v>67000</v>
      </c>
      <c r="K309" s="513">
        <v>67000</v>
      </c>
    </row>
    <row r="310" spans="1:11" customFormat="1" ht="38.25" x14ac:dyDescent="0.25">
      <c r="A310" s="501" t="s">
        <v>110</v>
      </c>
      <c r="B310" s="502" t="s">
        <v>111</v>
      </c>
      <c r="C310" s="503">
        <f t="shared" ref="C310:K310" si="251">SUM(C311)</f>
        <v>1200000</v>
      </c>
      <c r="D310" s="503">
        <f t="shared" si="251"/>
        <v>0</v>
      </c>
      <c r="E310" s="503">
        <f t="shared" si="251"/>
        <v>840000</v>
      </c>
      <c r="F310" s="503">
        <f t="shared" si="251"/>
        <v>2040000</v>
      </c>
      <c r="G310" s="503">
        <f t="shared" si="251"/>
        <v>1200000</v>
      </c>
      <c r="H310" s="503">
        <f t="shared" si="251"/>
        <v>1200000</v>
      </c>
      <c r="I310" s="503">
        <f t="shared" si="251"/>
        <v>1200000</v>
      </c>
      <c r="J310" s="503">
        <f t="shared" si="251"/>
        <v>1200000</v>
      </c>
      <c r="K310" s="503">
        <f t="shared" si="251"/>
        <v>1200000</v>
      </c>
    </row>
    <row r="311" spans="1:11" customFormat="1" ht="18" customHeight="1" x14ac:dyDescent="0.25">
      <c r="A311" s="710" t="s">
        <v>106</v>
      </c>
      <c r="B311" s="710"/>
      <c r="C311" s="504">
        <f>SUM(C312,C316,C344,C340)</f>
        <v>1200000</v>
      </c>
      <c r="D311" s="504">
        <f t="shared" ref="D311:F311" si="252">SUM(D312,D316,D344,D340)</f>
        <v>0</v>
      </c>
      <c r="E311" s="504">
        <f t="shared" si="252"/>
        <v>840000</v>
      </c>
      <c r="F311" s="504">
        <f t="shared" si="252"/>
        <v>2040000</v>
      </c>
      <c r="G311" s="504">
        <f>SUM(G312,G316,G344,G340)</f>
        <v>1200000</v>
      </c>
      <c r="H311" s="504">
        <f>SUM(H312,H316,H344,H340)</f>
        <v>1200000</v>
      </c>
      <c r="I311" s="504">
        <f t="shared" ref="I311:K311" si="253">SUM(I312,I316,I344,I340)</f>
        <v>1200000</v>
      </c>
      <c r="J311" s="504">
        <f t="shared" si="253"/>
        <v>1200000</v>
      </c>
      <c r="K311" s="504">
        <f t="shared" si="253"/>
        <v>1200000</v>
      </c>
    </row>
    <row r="312" spans="1:11" customFormat="1" ht="15.75" customHeight="1" x14ac:dyDescent="0.25">
      <c r="A312" s="516" t="s">
        <v>322</v>
      </c>
      <c r="B312" s="517" t="s">
        <v>323</v>
      </c>
      <c r="C312" s="518">
        <f>SUM(C313)</f>
        <v>3000</v>
      </c>
      <c r="D312" s="518">
        <f t="shared" ref="D312:K312" si="254">SUM(D313)</f>
        <v>0</v>
      </c>
      <c r="E312" s="518">
        <f t="shared" si="254"/>
        <v>307000</v>
      </c>
      <c r="F312" s="518">
        <f t="shared" si="254"/>
        <v>310000</v>
      </c>
      <c r="G312" s="518">
        <f>SUM(G313)</f>
        <v>3000</v>
      </c>
      <c r="H312" s="518">
        <f>SUM(H313)</f>
        <v>3000</v>
      </c>
      <c r="I312" s="518">
        <f t="shared" si="254"/>
        <v>3000</v>
      </c>
      <c r="J312" s="518">
        <f t="shared" si="254"/>
        <v>3000</v>
      </c>
      <c r="K312" s="518">
        <f t="shared" si="254"/>
        <v>3000</v>
      </c>
    </row>
    <row r="313" spans="1:11" customFormat="1" ht="15" x14ac:dyDescent="0.25">
      <c r="A313" s="519">
        <v>311</v>
      </c>
      <c r="B313" s="509" t="s">
        <v>5</v>
      </c>
      <c r="C313" s="510">
        <f t="shared" ref="C313:F313" si="255">SUM(C314:C315)</f>
        <v>3000</v>
      </c>
      <c r="D313" s="510">
        <f t="shared" si="255"/>
        <v>0</v>
      </c>
      <c r="E313" s="510">
        <f t="shared" si="255"/>
        <v>307000</v>
      </c>
      <c r="F313" s="510">
        <f t="shared" si="255"/>
        <v>310000</v>
      </c>
      <c r="G313" s="510">
        <f t="shared" ref="G313:H313" si="256">SUM(G314:G315)</f>
        <v>3000</v>
      </c>
      <c r="H313" s="510">
        <f t="shared" si="256"/>
        <v>3000</v>
      </c>
      <c r="I313" s="510">
        <f t="shared" ref="I313:J313" si="257">SUM(I314:I315)</f>
        <v>3000</v>
      </c>
      <c r="J313" s="510">
        <f t="shared" si="257"/>
        <v>3000</v>
      </c>
      <c r="K313" s="510">
        <f t="shared" ref="K313" si="258">SUM(K314:K315)</f>
        <v>3000</v>
      </c>
    </row>
    <row r="314" spans="1:11" customFormat="1" ht="15" x14ac:dyDescent="0.25">
      <c r="A314" s="520">
        <v>3111</v>
      </c>
      <c r="B314" s="521" t="s">
        <v>5</v>
      </c>
      <c r="C314" s="513">
        <v>0</v>
      </c>
      <c r="D314" s="513"/>
      <c r="E314" s="513">
        <v>300000</v>
      </c>
      <c r="F314" s="513">
        <f t="shared" ref="F314:F315" si="259">C314-D314+E314</f>
        <v>300000</v>
      </c>
      <c r="G314" s="513"/>
      <c r="H314" s="513"/>
      <c r="I314" s="513"/>
      <c r="J314" s="513"/>
      <c r="K314" s="513"/>
    </row>
    <row r="315" spans="1:11" customFormat="1" ht="15" x14ac:dyDescent="0.25">
      <c r="A315" s="520">
        <v>3113</v>
      </c>
      <c r="B315" s="521" t="s">
        <v>6</v>
      </c>
      <c r="C315" s="513">
        <v>3000</v>
      </c>
      <c r="D315" s="513"/>
      <c r="E315" s="513">
        <v>7000</v>
      </c>
      <c r="F315" s="513">
        <f t="shared" si="259"/>
        <v>10000</v>
      </c>
      <c r="G315" s="513">
        <v>3000</v>
      </c>
      <c r="H315" s="513">
        <v>3000</v>
      </c>
      <c r="I315" s="513">
        <v>3000</v>
      </c>
      <c r="J315" s="513">
        <v>3000</v>
      </c>
      <c r="K315" s="513">
        <v>3000</v>
      </c>
    </row>
    <row r="316" spans="1:11" customFormat="1" ht="15" x14ac:dyDescent="0.25">
      <c r="A316" s="516" t="s">
        <v>324</v>
      </c>
      <c r="B316" s="516" t="s">
        <v>325</v>
      </c>
      <c r="C316" s="549">
        <f>SUM(C317,C319,C326,C335)</f>
        <v>1136000</v>
      </c>
      <c r="D316" s="549">
        <f t="shared" ref="D316:F316" si="260">SUM(D317,D319,D326,D335)</f>
        <v>0</v>
      </c>
      <c r="E316" s="549">
        <f t="shared" si="260"/>
        <v>332000</v>
      </c>
      <c r="F316" s="549">
        <f t="shared" si="260"/>
        <v>1468000</v>
      </c>
      <c r="G316" s="549">
        <f>SUM(G317,G319,G326,G335)</f>
        <v>1173000</v>
      </c>
      <c r="H316" s="549">
        <f>SUM(H317,H319,H326,H335)</f>
        <v>1173000</v>
      </c>
      <c r="I316" s="549">
        <f t="shared" ref="I316:K316" si="261">SUM(I317,I319,I326,I335)</f>
        <v>1173000</v>
      </c>
      <c r="J316" s="549">
        <f t="shared" si="261"/>
        <v>1173000</v>
      </c>
      <c r="K316" s="549">
        <f t="shared" si="261"/>
        <v>1173000</v>
      </c>
    </row>
    <row r="317" spans="1:11" customFormat="1" ht="15" x14ac:dyDescent="0.25">
      <c r="A317" s="519">
        <v>321</v>
      </c>
      <c r="B317" s="509" t="s">
        <v>12</v>
      </c>
      <c r="C317" s="510">
        <f t="shared" ref="C317:K317" si="262">SUM(C318)</f>
        <v>800000</v>
      </c>
      <c r="D317" s="510">
        <f t="shared" si="262"/>
        <v>0</v>
      </c>
      <c r="E317" s="510">
        <f t="shared" si="262"/>
        <v>0</v>
      </c>
      <c r="F317" s="510">
        <f t="shared" si="262"/>
        <v>800000</v>
      </c>
      <c r="G317" s="510">
        <f t="shared" si="262"/>
        <v>800000</v>
      </c>
      <c r="H317" s="510">
        <f t="shared" si="262"/>
        <v>800000</v>
      </c>
      <c r="I317" s="510">
        <f t="shared" si="262"/>
        <v>800000</v>
      </c>
      <c r="J317" s="510">
        <f t="shared" si="262"/>
        <v>800000</v>
      </c>
      <c r="K317" s="510">
        <f t="shared" si="262"/>
        <v>800000</v>
      </c>
    </row>
    <row r="318" spans="1:11" customFormat="1" ht="15" x14ac:dyDescent="0.25">
      <c r="A318" s="511">
        <v>3211</v>
      </c>
      <c r="B318" s="535" t="s">
        <v>13</v>
      </c>
      <c r="C318" s="513">
        <v>800000</v>
      </c>
      <c r="D318" s="513"/>
      <c r="E318" s="513"/>
      <c r="F318" s="513">
        <f t="shared" ref="F318:F339" si="263">C318-D318+E318</f>
        <v>800000</v>
      </c>
      <c r="G318" s="513">
        <v>800000</v>
      </c>
      <c r="H318" s="513">
        <v>800000</v>
      </c>
      <c r="I318" s="513">
        <v>800000</v>
      </c>
      <c r="J318" s="513">
        <v>800000</v>
      </c>
      <c r="K318" s="513">
        <v>800000</v>
      </c>
    </row>
    <row r="319" spans="1:11" customFormat="1" ht="15" x14ac:dyDescent="0.25">
      <c r="A319" s="519">
        <v>322</v>
      </c>
      <c r="B319" s="509" t="s">
        <v>16</v>
      </c>
      <c r="C319" s="552">
        <f t="shared" ref="C319:F319" si="264">SUM(C320:C325)</f>
        <v>243000</v>
      </c>
      <c r="D319" s="552">
        <f t="shared" si="264"/>
        <v>0</v>
      </c>
      <c r="E319" s="552">
        <f t="shared" si="264"/>
        <v>172000</v>
      </c>
      <c r="F319" s="552">
        <f t="shared" si="264"/>
        <v>415000</v>
      </c>
      <c r="G319" s="552">
        <f t="shared" ref="G319:H319" si="265">SUM(G320:G325)</f>
        <v>280000</v>
      </c>
      <c r="H319" s="552">
        <f t="shared" si="265"/>
        <v>280000</v>
      </c>
      <c r="I319" s="552">
        <f t="shared" ref="I319:K319" si="266">SUM(I320:I325)</f>
        <v>280000</v>
      </c>
      <c r="J319" s="552">
        <f t="shared" si="266"/>
        <v>280000</v>
      </c>
      <c r="K319" s="552">
        <f t="shared" si="266"/>
        <v>280000</v>
      </c>
    </row>
    <row r="320" spans="1:11" customFormat="1" ht="15" x14ac:dyDescent="0.25">
      <c r="A320" s="511">
        <v>3221</v>
      </c>
      <c r="B320" s="535" t="s">
        <v>17</v>
      </c>
      <c r="C320" s="513">
        <v>4000</v>
      </c>
      <c r="D320" s="513"/>
      <c r="E320" s="513">
        <v>16000</v>
      </c>
      <c r="F320" s="513">
        <f t="shared" si="263"/>
        <v>20000</v>
      </c>
      <c r="G320" s="513">
        <v>4000</v>
      </c>
      <c r="H320" s="513">
        <v>4000</v>
      </c>
      <c r="I320" s="513">
        <v>4000</v>
      </c>
      <c r="J320" s="513">
        <v>4000</v>
      </c>
      <c r="K320" s="513">
        <v>4000</v>
      </c>
    </row>
    <row r="321" spans="1:11" customFormat="1" ht="15" x14ac:dyDescent="0.25">
      <c r="A321" s="511">
        <v>3222</v>
      </c>
      <c r="B321" s="535" t="s">
        <v>18</v>
      </c>
      <c r="C321" s="513">
        <v>40000</v>
      </c>
      <c r="D321" s="513"/>
      <c r="E321" s="513">
        <v>100000</v>
      </c>
      <c r="F321" s="513">
        <f t="shared" si="263"/>
        <v>140000</v>
      </c>
      <c r="G321" s="513">
        <v>40000</v>
      </c>
      <c r="H321" s="513">
        <v>40000</v>
      </c>
      <c r="I321" s="513">
        <v>40000</v>
      </c>
      <c r="J321" s="513">
        <v>40000</v>
      </c>
      <c r="K321" s="513">
        <v>40000</v>
      </c>
    </row>
    <row r="322" spans="1:11" customFormat="1" ht="15" x14ac:dyDescent="0.25">
      <c r="A322" s="511">
        <v>3223</v>
      </c>
      <c r="B322" s="535" t="s">
        <v>19</v>
      </c>
      <c r="C322" s="513">
        <v>191000</v>
      </c>
      <c r="D322" s="513"/>
      <c r="E322" s="513"/>
      <c r="F322" s="513">
        <f t="shared" si="263"/>
        <v>191000</v>
      </c>
      <c r="G322" s="513">
        <v>228000</v>
      </c>
      <c r="H322" s="513">
        <v>228000</v>
      </c>
      <c r="I322" s="513">
        <v>228000</v>
      </c>
      <c r="J322" s="513">
        <v>228000</v>
      </c>
      <c r="K322" s="513">
        <v>228000</v>
      </c>
    </row>
    <row r="323" spans="1:11" customFormat="1" ht="15" x14ac:dyDescent="0.25">
      <c r="A323" s="511">
        <v>3224</v>
      </c>
      <c r="B323" s="535" t="s">
        <v>112</v>
      </c>
      <c r="C323" s="513">
        <v>3000</v>
      </c>
      <c r="D323" s="513"/>
      <c r="E323" s="513">
        <v>8000</v>
      </c>
      <c r="F323" s="513">
        <f t="shared" si="263"/>
        <v>11000</v>
      </c>
      <c r="G323" s="513">
        <v>3000</v>
      </c>
      <c r="H323" s="513">
        <v>3000</v>
      </c>
      <c r="I323" s="513">
        <v>3000</v>
      </c>
      <c r="J323" s="513">
        <v>3000</v>
      </c>
      <c r="K323" s="513">
        <v>3000</v>
      </c>
    </row>
    <row r="324" spans="1:11" customFormat="1" ht="15" x14ac:dyDescent="0.25">
      <c r="A324" s="511">
        <v>3225</v>
      </c>
      <c r="B324" s="535" t="s">
        <v>21</v>
      </c>
      <c r="C324" s="513">
        <v>2000</v>
      </c>
      <c r="D324" s="513"/>
      <c r="E324" s="513">
        <v>48000</v>
      </c>
      <c r="F324" s="513">
        <f t="shared" si="263"/>
        <v>50000</v>
      </c>
      <c r="G324" s="513">
        <v>2000</v>
      </c>
      <c r="H324" s="513">
        <v>2000</v>
      </c>
      <c r="I324" s="513">
        <v>2000</v>
      </c>
      <c r="J324" s="513">
        <v>2000</v>
      </c>
      <c r="K324" s="513">
        <v>2000</v>
      </c>
    </row>
    <row r="325" spans="1:11" customFormat="1" ht="15" x14ac:dyDescent="0.25">
      <c r="A325" s="511">
        <v>3227</v>
      </c>
      <c r="B325" s="535" t="s">
        <v>22</v>
      </c>
      <c r="C325" s="513">
        <v>3000</v>
      </c>
      <c r="D325" s="513"/>
      <c r="E325" s="513"/>
      <c r="F325" s="513">
        <f t="shared" si="263"/>
        <v>3000</v>
      </c>
      <c r="G325" s="513">
        <v>3000</v>
      </c>
      <c r="H325" s="513">
        <v>3000</v>
      </c>
      <c r="I325" s="513">
        <v>3000</v>
      </c>
      <c r="J325" s="513">
        <v>3000</v>
      </c>
      <c r="K325" s="513">
        <v>3000</v>
      </c>
    </row>
    <row r="326" spans="1:11" customFormat="1" ht="15" x14ac:dyDescent="0.25">
      <c r="A326" s="519">
        <v>323</v>
      </c>
      <c r="B326" s="509" t="s">
        <v>23</v>
      </c>
      <c r="C326" s="552">
        <f t="shared" ref="C326:F326" si="267">SUM(C327:C334)</f>
        <v>69000</v>
      </c>
      <c r="D326" s="552">
        <f t="shared" si="267"/>
        <v>0</v>
      </c>
      <c r="E326" s="552">
        <f t="shared" si="267"/>
        <v>160000</v>
      </c>
      <c r="F326" s="552">
        <f t="shared" si="267"/>
        <v>229000</v>
      </c>
      <c r="G326" s="552">
        <f t="shared" ref="G326:H326" si="268">SUM(G327:G334)</f>
        <v>69000</v>
      </c>
      <c r="H326" s="552">
        <f t="shared" si="268"/>
        <v>69000</v>
      </c>
      <c r="I326" s="552">
        <f t="shared" ref="I326:K326" si="269">SUM(I327:I334)</f>
        <v>69000</v>
      </c>
      <c r="J326" s="552">
        <f t="shared" si="269"/>
        <v>69000</v>
      </c>
      <c r="K326" s="552">
        <f t="shared" si="269"/>
        <v>69000</v>
      </c>
    </row>
    <row r="327" spans="1:11" customFormat="1" ht="15" x14ac:dyDescent="0.25">
      <c r="A327" s="511">
        <v>3231</v>
      </c>
      <c r="B327" s="535" t="s">
        <v>24</v>
      </c>
      <c r="C327" s="513">
        <v>3000</v>
      </c>
      <c r="D327" s="513"/>
      <c r="E327" s="513">
        <v>3000</v>
      </c>
      <c r="F327" s="513">
        <f t="shared" si="263"/>
        <v>6000</v>
      </c>
      <c r="G327" s="513">
        <v>3000</v>
      </c>
      <c r="H327" s="513">
        <v>3000</v>
      </c>
      <c r="I327" s="513">
        <v>3000</v>
      </c>
      <c r="J327" s="513">
        <v>3000</v>
      </c>
      <c r="K327" s="513">
        <v>3000</v>
      </c>
    </row>
    <row r="328" spans="1:11" customFormat="1" ht="15" x14ac:dyDescent="0.25">
      <c r="A328" s="511">
        <v>3232</v>
      </c>
      <c r="B328" s="535" t="s">
        <v>25</v>
      </c>
      <c r="C328" s="513">
        <v>25000</v>
      </c>
      <c r="D328" s="513"/>
      <c r="E328" s="513"/>
      <c r="F328" s="513">
        <f t="shared" si="263"/>
        <v>25000</v>
      </c>
      <c r="G328" s="513">
        <v>25000</v>
      </c>
      <c r="H328" s="513">
        <v>25000</v>
      </c>
      <c r="I328" s="513">
        <v>25000</v>
      </c>
      <c r="J328" s="513">
        <v>25000</v>
      </c>
      <c r="K328" s="513">
        <v>25000</v>
      </c>
    </row>
    <row r="329" spans="1:11" customFormat="1" ht="15" x14ac:dyDescent="0.25">
      <c r="A329" s="511">
        <v>3233</v>
      </c>
      <c r="B329" s="535" t="s">
        <v>26</v>
      </c>
      <c r="C329" s="513">
        <v>20000</v>
      </c>
      <c r="D329" s="513"/>
      <c r="E329" s="513">
        <v>40000</v>
      </c>
      <c r="F329" s="513">
        <f t="shared" si="263"/>
        <v>60000</v>
      </c>
      <c r="G329" s="513">
        <v>20000</v>
      </c>
      <c r="H329" s="513">
        <v>20000</v>
      </c>
      <c r="I329" s="513">
        <v>20000</v>
      </c>
      <c r="J329" s="513">
        <v>20000</v>
      </c>
      <c r="K329" s="513">
        <v>20000</v>
      </c>
    </row>
    <row r="330" spans="1:11" customFormat="1" ht="15" x14ac:dyDescent="0.25">
      <c r="A330" s="553">
        <v>3235</v>
      </c>
      <c r="B330" s="554" t="s">
        <v>28</v>
      </c>
      <c r="C330" s="551"/>
      <c r="D330" s="551"/>
      <c r="E330" s="551">
        <v>20000</v>
      </c>
      <c r="F330" s="513">
        <f t="shared" si="263"/>
        <v>20000</v>
      </c>
      <c r="G330" s="551"/>
      <c r="H330" s="551"/>
      <c r="I330" s="551"/>
      <c r="J330" s="551"/>
      <c r="K330" s="551"/>
    </row>
    <row r="331" spans="1:11" customFormat="1" ht="15" x14ac:dyDescent="0.25">
      <c r="A331" s="511">
        <v>3236</v>
      </c>
      <c r="B331" s="535" t="s">
        <v>29</v>
      </c>
      <c r="C331" s="513">
        <v>2000</v>
      </c>
      <c r="D331" s="513"/>
      <c r="E331" s="513"/>
      <c r="F331" s="513">
        <f t="shared" si="263"/>
        <v>2000</v>
      </c>
      <c r="G331" s="513">
        <v>2000</v>
      </c>
      <c r="H331" s="513">
        <v>2000</v>
      </c>
      <c r="I331" s="513">
        <v>2000</v>
      </c>
      <c r="J331" s="513">
        <v>2000</v>
      </c>
      <c r="K331" s="513">
        <v>2000</v>
      </c>
    </row>
    <row r="332" spans="1:11" customFormat="1" ht="15" x14ac:dyDescent="0.25">
      <c r="A332" s="511">
        <v>3237</v>
      </c>
      <c r="B332" s="535" t="s">
        <v>30</v>
      </c>
      <c r="C332" s="513">
        <v>13000</v>
      </c>
      <c r="D332" s="513"/>
      <c r="E332" s="513"/>
      <c r="F332" s="513">
        <f t="shared" si="263"/>
        <v>13000</v>
      </c>
      <c r="G332" s="513">
        <v>13000</v>
      </c>
      <c r="H332" s="513">
        <v>13000</v>
      </c>
      <c r="I332" s="513">
        <v>13000</v>
      </c>
      <c r="J332" s="513">
        <v>13000</v>
      </c>
      <c r="K332" s="513">
        <v>13000</v>
      </c>
    </row>
    <row r="333" spans="1:11" customFormat="1" ht="15" x14ac:dyDescent="0.25">
      <c r="A333" s="511">
        <v>3238</v>
      </c>
      <c r="B333" s="512" t="s">
        <v>70</v>
      </c>
      <c r="C333" s="513">
        <v>3000</v>
      </c>
      <c r="D333" s="513"/>
      <c r="E333" s="513"/>
      <c r="F333" s="513">
        <f t="shared" si="263"/>
        <v>3000</v>
      </c>
      <c r="G333" s="513">
        <v>3000</v>
      </c>
      <c r="H333" s="513">
        <v>3000</v>
      </c>
      <c r="I333" s="513">
        <v>3000</v>
      </c>
      <c r="J333" s="513">
        <v>3000</v>
      </c>
      <c r="K333" s="513">
        <v>3000</v>
      </c>
    </row>
    <row r="334" spans="1:11" customFormat="1" ht="15" x14ac:dyDescent="0.25">
      <c r="A334" s="511">
        <v>3239</v>
      </c>
      <c r="B334" s="535" t="s">
        <v>31</v>
      </c>
      <c r="C334" s="513">
        <v>3000</v>
      </c>
      <c r="D334" s="513"/>
      <c r="E334" s="513">
        <v>97000</v>
      </c>
      <c r="F334" s="513">
        <f t="shared" si="263"/>
        <v>100000</v>
      </c>
      <c r="G334" s="513">
        <v>3000</v>
      </c>
      <c r="H334" s="513">
        <v>3000</v>
      </c>
      <c r="I334" s="513">
        <v>3000</v>
      </c>
      <c r="J334" s="513">
        <v>3000</v>
      </c>
      <c r="K334" s="513">
        <v>3000</v>
      </c>
    </row>
    <row r="335" spans="1:11" customFormat="1" ht="15" x14ac:dyDescent="0.25">
      <c r="A335" s="519">
        <v>329</v>
      </c>
      <c r="B335" s="509" t="s">
        <v>33</v>
      </c>
      <c r="C335" s="552">
        <f t="shared" ref="C335:F335" si="270">SUM(C336:C339)</f>
        <v>24000</v>
      </c>
      <c r="D335" s="552">
        <f t="shared" si="270"/>
        <v>0</v>
      </c>
      <c r="E335" s="552">
        <f t="shared" si="270"/>
        <v>0</v>
      </c>
      <c r="F335" s="552">
        <f t="shared" si="270"/>
        <v>24000</v>
      </c>
      <c r="G335" s="552">
        <f t="shared" ref="G335:H335" si="271">SUM(G336:G339)</f>
        <v>24000</v>
      </c>
      <c r="H335" s="552">
        <f t="shared" si="271"/>
        <v>24000</v>
      </c>
      <c r="I335" s="552">
        <f t="shared" ref="I335:K335" si="272">SUM(I336:I339)</f>
        <v>24000</v>
      </c>
      <c r="J335" s="552">
        <f t="shared" si="272"/>
        <v>24000</v>
      </c>
      <c r="K335" s="552">
        <f t="shared" si="272"/>
        <v>24000</v>
      </c>
    </row>
    <row r="336" spans="1:11" customFormat="1" ht="15" x14ac:dyDescent="0.25">
      <c r="A336" s="511">
        <v>3292</v>
      </c>
      <c r="B336" s="535" t="s">
        <v>35</v>
      </c>
      <c r="C336" s="513">
        <v>3000</v>
      </c>
      <c r="D336" s="513"/>
      <c r="E336" s="513"/>
      <c r="F336" s="513">
        <f t="shared" si="263"/>
        <v>3000</v>
      </c>
      <c r="G336" s="513">
        <v>3000</v>
      </c>
      <c r="H336" s="513">
        <v>3000</v>
      </c>
      <c r="I336" s="513">
        <v>3000</v>
      </c>
      <c r="J336" s="513">
        <v>3000</v>
      </c>
      <c r="K336" s="513">
        <v>3000</v>
      </c>
    </row>
    <row r="337" spans="1:11" customFormat="1" ht="15" x14ac:dyDescent="0.25">
      <c r="A337" s="520">
        <v>3293</v>
      </c>
      <c r="B337" s="521" t="s">
        <v>36</v>
      </c>
      <c r="C337" s="513">
        <v>13000</v>
      </c>
      <c r="D337" s="513"/>
      <c r="E337" s="513"/>
      <c r="F337" s="513">
        <f t="shared" si="263"/>
        <v>13000</v>
      </c>
      <c r="G337" s="513">
        <v>13000</v>
      </c>
      <c r="H337" s="513">
        <v>13000</v>
      </c>
      <c r="I337" s="513">
        <v>13000</v>
      </c>
      <c r="J337" s="513">
        <v>13000</v>
      </c>
      <c r="K337" s="513">
        <v>13000</v>
      </c>
    </row>
    <row r="338" spans="1:11" customFormat="1" ht="15" x14ac:dyDescent="0.25">
      <c r="A338" s="511">
        <v>3295</v>
      </c>
      <c r="B338" s="535" t="s">
        <v>38</v>
      </c>
      <c r="C338" s="513">
        <v>1000</v>
      </c>
      <c r="D338" s="513"/>
      <c r="E338" s="513"/>
      <c r="F338" s="513">
        <f t="shared" si="263"/>
        <v>1000</v>
      </c>
      <c r="G338" s="513">
        <v>1000</v>
      </c>
      <c r="H338" s="513">
        <v>1000</v>
      </c>
      <c r="I338" s="513">
        <v>1000</v>
      </c>
      <c r="J338" s="513">
        <v>1000</v>
      </c>
      <c r="K338" s="513">
        <v>1000</v>
      </c>
    </row>
    <row r="339" spans="1:11" customFormat="1" ht="15" x14ac:dyDescent="0.25">
      <c r="A339" s="511">
        <v>3299</v>
      </c>
      <c r="B339" s="535" t="s">
        <v>33</v>
      </c>
      <c r="C339" s="513">
        <v>7000</v>
      </c>
      <c r="D339" s="513"/>
      <c r="E339" s="513"/>
      <c r="F339" s="513">
        <f t="shared" si="263"/>
        <v>7000</v>
      </c>
      <c r="G339" s="513">
        <v>7000</v>
      </c>
      <c r="H339" s="513">
        <v>7000</v>
      </c>
      <c r="I339" s="513">
        <v>7000</v>
      </c>
      <c r="J339" s="513">
        <v>7000</v>
      </c>
      <c r="K339" s="513">
        <v>7000</v>
      </c>
    </row>
    <row r="340" spans="1:11" customFormat="1" ht="15" x14ac:dyDescent="0.25">
      <c r="A340" s="505" t="s">
        <v>326</v>
      </c>
      <c r="B340" s="517" t="s">
        <v>327</v>
      </c>
      <c r="C340" s="507">
        <f>SUM(C341)</f>
        <v>2000</v>
      </c>
      <c r="D340" s="507">
        <f t="shared" ref="D340:K340" si="273">SUM(D341)</f>
        <v>0</v>
      </c>
      <c r="E340" s="507">
        <f t="shared" si="273"/>
        <v>0</v>
      </c>
      <c r="F340" s="507">
        <f t="shared" si="273"/>
        <v>2000</v>
      </c>
      <c r="G340" s="507">
        <f>SUM(G341)</f>
        <v>2000</v>
      </c>
      <c r="H340" s="507">
        <f>SUM(H341)</f>
        <v>2000</v>
      </c>
      <c r="I340" s="507">
        <f t="shared" si="273"/>
        <v>2000</v>
      </c>
      <c r="J340" s="507">
        <f t="shared" si="273"/>
        <v>2000</v>
      </c>
      <c r="K340" s="507">
        <f t="shared" si="273"/>
        <v>2000</v>
      </c>
    </row>
    <row r="341" spans="1:11" customFormat="1" ht="15" x14ac:dyDescent="0.25">
      <c r="A341" s="508">
        <v>343</v>
      </c>
      <c r="B341" s="509" t="s">
        <v>40</v>
      </c>
      <c r="C341" s="552">
        <f t="shared" ref="C341:F341" si="274">SUM(C342:C343)</f>
        <v>2000</v>
      </c>
      <c r="D341" s="552">
        <f t="shared" si="274"/>
        <v>0</v>
      </c>
      <c r="E341" s="552">
        <f t="shared" si="274"/>
        <v>0</v>
      </c>
      <c r="F341" s="552">
        <f t="shared" si="274"/>
        <v>2000</v>
      </c>
      <c r="G341" s="552">
        <f t="shared" ref="G341:H341" si="275">SUM(G342:G343)</f>
        <v>2000</v>
      </c>
      <c r="H341" s="552">
        <f t="shared" si="275"/>
        <v>2000</v>
      </c>
      <c r="I341" s="552">
        <f t="shared" ref="I341:J341" si="276">SUM(I342:I343)</f>
        <v>2000</v>
      </c>
      <c r="J341" s="552">
        <f t="shared" si="276"/>
        <v>2000</v>
      </c>
      <c r="K341" s="552">
        <f t="shared" ref="K341" si="277">SUM(K342:K343)</f>
        <v>2000</v>
      </c>
    </row>
    <row r="342" spans="1:11" customFormat="1" ht="15" x14ac:dyDescent="0.25">
      <c r="A342" s="511">
        <v>3431</v>
      </c>
      <c r="B342" s="535" t="s">
        <v>41</v>
      </c>
      <c r="C342" s="513">
        <v>2000</v>
      </c>
      <c r="D342" s="513"/>
      <c r="E342" s="513"/>
      <c r="F342" s="513">
        <f t="shared" ref="F342" si="278">C342-D342+E342</f>
        <v>2000</v>
      </c>
      <c r="G342" s="513">
        <v>2000</v>
      </c>
      <c r="H342" s="513">
        <v>2000</v>
      </c>
      <c r="I342" s="513">
        <v>2000</v>
      </c>
      <c r="J342" s="513">
        <v>2000</v>
      </c>
      <c r="K342" s="513">
        <v>2000</v>
      </c>
    </row>
    <row r="343" spans="1:11" customFormat="1" ht="25.5" hidden="1" x14ac:dyDescent="0.25">
      <c r="A343" s="511">
        <v>3432</v>
      </c>
      <c r="B343" s="512" t="s">
        <v>89</v>
      </c>
      <c r="C343" s="513"/>
      <c r="D343" s="513"/>
      <c r="E343" s="513"/>
      <c r="F343" s="513"/>
      <c r="G343" s="513"/>
      <c r="H343" s="513"/>
      <c r="I343" s="513"/>
      <c r="J343" s="513"/>
      <c r="K343" s="513"/>
    </row>
    <row r="344" spans="1:11" customFormat="1" ht="25.5" x14ac:dyDescent="0.25">
      <c r="A344" s="505" t="s">
        <v>330</v>
      </c>
      <c r="B344" s="517" t="s">
        <v>331</v>
      </c>
      <c r="C344" s="507">
        <f>SUM(C345)</f>
        <v>59000</v>
      </c>
      <c r="D344" s="507">
        <f t="shared" ref="D344:K344" si="279">SUM(D345)</f>
        <v>0</v>
      </c>
      <c r="E344" s="507">
        <f t="shared" si="279"/>
        <v>201000</v>
      </c>
      <c r="F344" s="507">
        <f t="shared" si="279"/>
        <v>260000</v>
      </c>
      <c r="G344" s="507">
        <f>SUM(G345)</f>
        <v>22000</v>
      </c>
      <c r="H344" s="507">
        <f>SUM(H345)</f>
        <v>22000</v>
      </c>
      <c r="I344" s="507">
        <f t="shared" si="279"/>
        <v>22000</v>
      </c>
      <c r="J344" s="507">
        <f t="shared" si="279"/>
        <v>22000</v>
      </c>
      <c r="K344" s="507">
        <f t="shared" si="279"/>
        <v>22000</v>
      </c>
    </row>
    <row r="345" spans="1:11" customFormat="1" ht="15" x14ac:dyDescent="0.25">
      <c r="A345" s="519">
        <v>422</v>
      </c>
      <c r="B345" s="523" t="s">
        <v>53</v>
      </c>
      <c r="C345" s="552">
        <f t="shared" ref="C345:F345" si="280">SUM(C346:C349)</f>
        <v>59000</v>
      </c>
      <c r="D345" s="552">
        <f t="shared" si="280"/>
        <v>0</v>
      </c>
      <c r="E345" s="552">
        <f t="shared" si="280"/>
        <v>201000</v>
      </c>
      <c r="F345" s="552">
        <f t="shared" si="280"/>
        <v>260000</v>
      </c>
      <c r="G345" s="552">
        <f t="shared" ref="G345:H345" si="281">SUM(G346:G349)</f>
        <v>22000</v>
      </c>
      <c r="H345" s="552">
        <f t="shared" si="281"/>
        <v>22000</v>
      </c>
      <c r="I345" s="552">
        <f t="shared" ref="I345:K345" si="282">SUM(I346:I349)</f>
        <v>22000</v>
      </c>
      <c r="J345" s="552">
        <f t="shared" si="282"/>
        <v>22000</v>
      </c>
      <c r="K345" s="552">
        <f t="shared" si="282"/>
        <v>22000</v>
      </c>
    </row>
    <row r="346" spans="1:11" customFormat="1" ht="15" x14ac:dyDescent="0.25">
      <c r="A346" s="520">
        <v>4221</v>
      </c>
      <c r="B346" s="521" t="s">
        <v>54</v>
      </c>
      <c r="C346" s="528">
        <v>21000</v>
      </c>
      <c r="D346" s="528"/>
      <c r="E346" s="528">
        <v>29000</v>
      </c>
      <c r="F346" s="513">
        <f t="shared" ref="F346:F349" si="283">C346-D346+E346</f>
        <v>50000</v>
      </c>
      <c r="G346" s="528">
        <v>5000</v>
      </c>
      <c r="H346" s="528">
        <v>5000</v>
      </c>
      <c r="I346" s="528">
        <v>5000</v>
      </c>
      <c r="J346" s="528">
        <v>5000</v>
      </c>
      <c r="K346" s="528">
        <v>5000</v>
      </c>
    </row>
    <row r="347" spans="1:11" customFormat="1" ht="15" x14ac:dyDescent="0.25">
      <c r="A347" s="520">
        <v>4222</v>
      </c>
      <c r="B347" s="521" t="s">
        <v>58</v>
      </c>
      <c r="C347" s="528">
        <v>20000</v>
      </c>
      <c r="D347" s="528"/>
      <c r="E347" s="528">
        <v>70000</v>
      </c>
      <c r="F347" s="513">
        <f t="shared" si="283"/>
        <v>90000</v>
      </c>
      <c r="G347" s="528">
        <v>13000</v>
      </c>
      <c r="H347" s="528">
        <v>13000</v>
      </c>
      <c r="I347" s="528">
        <v>13000</v>
      </c>
      <c r="J347" s="528">
        <v>13000</v>
      </c>
      <c r="K347" s="528">
        <v>13000</v>
      </c>
    </row>
    <row r="348" spans="1:11" customFormat="1" ht="15" x14ac:dyDescent="0.25">
      <c r="A348" s="511">
        <v>4223</v>
      </c>
      <c r="B348" s="535" t="s">
        <v>59</v>
      </c>
      <c r="C348" s="513">
        <v>6000</v>
      </c>
      <c r="D348" s="513"/>
      <c r="E348" s="513">
        <v>14000</v>
      </c>
      <c r="F348" s="513">
        <f t="shared" si="283"/>
        <v>20000</v>
      </c>
      <c r="G348" s="513">
        <v>1000</v>
      </c>
      <c r="H348" s="513">
        <v>1000</v>
      </c>
      <c r="I348" s="513">
        <v>1000</v>
      </c>
      <c r="J348" s="513">
        <v>1000</v>
      </c>
      <c r="K348" s="513">
        <v>1000</v>
      </c>
    </row>
    <row r="349" spans="1:11" customFormat="1" ht="14.25" customHeight="1" x14ac:dyDescent="0.25">
      <c r="A349" s="511">
        <v>4227</v>
      </c>
      <c r="B349" s="535" t="s">
        <v>60</v>
      </c>
      <c r="C349" s="513">
        <v>12000</v>
      </c>
      <c r="D349" s="513"/>
      <c r="E349" s="513">
        <v>88000</v>
      </c>
      <c r="F349" s="513">
        <f t="shared" si="283"/>
        <v>100000</v>
      </c>
      <c r="G349" s="513">
        <v>3000</v>
      </c>
      <c r="H349" s="513">
        <v>3000</v>
      </c>
      <c r="I349" s="513">
        <v>3000</v>
      </c>
      <c r="J349" s="513">
        <v>3000</v>
      </c>
      <c r="K349" s="513">
        <v>3000</v>
      </c>
    </row>
    <row r="350" spans="1:11" customFormat="1" ht="0.75" hidden="1" customHeight="1" x14ac:dyDescent="0.25">
      <c r="A350" s="501" t="s">
        <v>84</v>
      </c>
      <c r="B350" s="502" t="s">
        <v>85</v>
      </c>
      <c r="C350" s="503">
        <f t="shared" ref="C350:D350" si="284">SUM(C351)</f>
        <v>0</v>
      </c>
      <c r="D350" s="503">
        <f t="shared" si="284"/>
        <v>0</v>
      </c>
      <c r="E350" s="503"/>
      <c r="F350" s="503"/>
      <c r="G350" s="503"/>
      <c r="H350" s="503"/>
      <c r="I350" s="503"/>
      <c r="J350" s="503"/>
      <c r="K350" s="503"/>
    </row>
    <row r="351" spans="1:11" customFormat="1" ht="18" hidden="1" customHeight="1" x14ac:dyDescent="0.25">
      <c r="A351" s="710" t="s">
        <v>106</v>
      </c>
      <c r="B351" s="710"/>
      <c r="C351" s="504">
        <f t="shared" ref="C351:D351" si="285">SUM(C352,C354)</f>
        <v>0</v>
      </c>
      <c r="D351" s="504">
        <f t="shared" si="285"/>
        <v>0</v>
      </c>
      <c r="E351" s="504"/>
      <c r="F351" s="504"/>
      <c r="G351" s="504"/>
      <c r="H351" s="504"/>
      <c r="I351" s="504"/>
      <c r="J351" s="504"/>
      <c r="K351" s="504"/>
    </row>
    <row r="352" spans="1:11" customFormat="1" ht="15" hidden="1" x14ac:dyDescent="0.25">
      <c r="A352" s="519">
        <v>323</v>
      </c>
      <c r="B352" s="509" t="s">
        <v>23</v>
      </c>
      <c r="C352" s="510">
        <f t="shared" ref="C352:D352" si="286">SUM(C353)</f>
        <v>0</v>
      </c>
      <c r="D352" s="510">
        <f t="shared" si="286"/>
        <v>0</v>
      </c>
      <c r="E352" s="510"/>
      <c r="F352" s="510"/>
      <c r="G352" s="510"/>
      <c r="H352" s="510"/>
      <c r="I352" s="510"/>
      <c r="J352" s="510"/>
      <c r="K352" s="510"/>
    </row>
    <row r="353" spans="1:11" customFormat="1" ht="15" hidden="1" x14ac:dyDescent="0.25">
      <c r="A353" s="520">
        <v>3237</v>
      </c>
      <c r="B353" s="521" t="s">
        <v>30</v>
      </c>
      <c r="C353" s="513"/>
      <c r="D353" s="513"/>
      <c r="E353" s="513"/>
      <c r="F353" s="513"/>
      <c r="G353" s="513"/>
      <c r="H353" s="513"/>
      <c r="I353" s="513"/>
      <c r="J353" s="513"/>
      <c r="K353" s="513"/>
    </row>
    <row r="354" spans="1:11" customFormat="1" ht="15" hidden="1" x14ac:dyDescent="0.25">
      <c r="A354" s="519">
        <v>422</v>
      </c>
      <c r="B354" s="523" t="s">
        <v>53</v>
      </c>
      <c r="C354" s="510">
        <f t="shared" ref="C354:D354" si="287">SUM(C355)</f>
        <v>0</v>
      </c>
      <c r="D354" s="510">
        <f t="shared" si="287"/>
        <v>0</v>
      </c>
      <c r="E354" s="510"/>
      <c r="F354" s="510"/>
      <c r="G354" s="510"/>
      <c r="H354" s="510"/>
      <c r="I354" s="510"/>
      <c r="J354" s="510"/>
      <c r="K354" s="510"/>
    </row>
    <row r="355" spans="1:11" customFormat="1" ht="15" hidden="1" x14ac:dyDescent="0.25">
      <c r="A355" s="520">
        <v>4221</v>
      </c>
      <c r="B355" s="521" t="s">
        <v>54</v>
      </c>
      <c r="C355" s="513"/>
      <c r="D355" s="513"/>
      <c r="E355" s="513"/>
      <c r="F355" s="513"/>
      <c r="G355" s="513"/>
      <c r="H355" s="513"/>
      <c r="I355" s="513"/>
      <c r="J355" s="513"/>
      <c r="K355" s="513"/>
    </row>
    <row r="356" spans="1:11" customFormat="1" ht="24.75" hidden="1" customHeight="1" x14ac:dyDescent="0.25">
      <c r="A356" s="501" t="s">
        <v>218</v>
      </c>
      <c r="B356" s="502" t="s">
        <v>245</v>
      </c>
      <c r="C356" s="503">
        <f t="shared" ref="C356:D358" si="288">SUM(C357)</f>
        <v>0</v>
      </c>
      <c r="D356" s="503">
        <f t="shared" si="288"/>
        <v>0</v>
      </c>
      <c r="E356" s="503"/>
      <c r="F356" s="503"/>
      <c r="G356" s="503"/>
      <c r="H356" s="503"/>
      <c r="I356" s="503"/>
      <c r="J356" s="503"/>
      <c r="K356" s="503"/>
    </row>
    <row r="357" spans="1:11" customFormat="1" ht="18" hidden="1" customHeight="1" x14ac:dyDescent="0.25">
      <c r="A357" s="710" t="s">
        <v>106</v>
      </c>
      <c r="B357" s="710"/>
      <c r="C357" s="504">
        <f t="shared" si="288"/>
        <v>0</v>
      </c>
      <c r="D357" s="504">
        <f t="shared" si="288"/>
        <v>0</v>
      </c>
      <c r="E357" s="504"/>
      <c r="F357" s="504"/>
      <c r="G357" s="504"/>
      <c r="H357" s="504"/>
      <c r="I357" s="504"/>
      <c r="J357" s="504"/>
      <c r="K357" s="504"/>
    </row>
    <row r="358" spans="1:11" customFormat="1" ht="15" hidden="1" x14ac:dyDescent="0.25">
      <c r="A358" s="519">
        <v>323</v>
      </c>
      <c r="B358" s="509" t="s">
        <v>23</v>
      </c>
      <c r="C358" s="510">
        <f t="shared" si="288"/>
        <v>0</v>
      </c>
      <c r="D358" s="510">
        <f t="shared" si="288"/>
        <v>0</v>
      </c>
      <c r="E358" s="510"/>
      <c r="F358" s="510"/>
      <c r="G358" s="510"/>
      <c r="H358" s="510"/>
      <c r="I358" s="510"/>
      <c r="J358" s="510"/>
      <c r="K358" s="510"/>
    </row>
    <row r="359" spans="1:11" customFormat="1" ht="15" hidden="1" x14ac:dyDescent="0.25">
      <c r="A359" s="520">
        <v>3237</v>
      </c>
      <c r="B359" s="521" t="s">
        <v>30</v>
      </c>
      <c r="C359" s="513"/>
      <c r="D359" s="513"/>
      <c r="E359" s="513"/>
      <c r="F359" s="513"/>
      <c r="G359" s="513"/>
      <c r="H359" s="513"/>
      <c r="I359" s="513"/>
      <c r="J359" s="513"/>
      <c r="K359" s="513"/>
    </row>
    <row r="360" spans="1:11" customFormat="1" ht="24.75" hidden="1" customHeight="1" x14ac:dyDescent="0.25">
      <c r="A360" s="501" t="s">
        <v>78</v>
      </c>
      <c r="B360" s="502" t="s">
        <v>79</v>
      </c>
      <c r="C360" s="503">
        <f t="shared" ref="C360:D362" si="289">SUM(C361)</f>
        <v>0</v>
      </c>
      <c r="D360" s="503">
        <f t="shared" si="289"/>
        <v>0</v>
      </c>
      <c r="E360" s="503"/>
      <c r="F360" s="503"/>
      <c r="G360" s="503"/>
      <c r="H360" s="503"/>
      <c r="I360" s="503"/>
      <c r="J360" s="503"/>
      <c r="K360" s="503"/>
    </row>
    <row r="361" spans="1:11" customFormat="1" ht="18" hidden="1" customHeight="1" x14ac:dyDescent="0.25">
      <c r="A361" s="710" t="s">
        <v>106</v>
      </c>
      <c r="B361" s="710"/>
      <c r="C361" s="504">
        <f t="shared" ref="C361:D361" si="290">SUM(C362,C364)</f>
        <v>0</v>
      </c>
      <c r="D361" s="504">
        <f t="shared" si="290"/>
        <v>0</v>
      </c>
      <c r="E361" s="504"/>
      <c r="F361" s="504"/>
      <c r="G361" s="504"/>
      <c r="H361" s="504"/>
      <c r="I361" s="504"/>
      <c r="J361" s="504"/>
      <c r="K361" s="504"/>
    </row>
    <row r="362" spans="1:11" customFormat="1" ht="15" hidden="1" x14ac:dyDescent="0.25">
      <c r="A362" s="508">
        <v>323</v>
      </c>
      <c r="B362" s="509" t="s">
        <v>23</v>
      </c>
      <c r="C362" s="510">
        <f t="shared" si="289"/>
        <v>0</v>
      </c>
      <c r="D362" s="510">
        <f t="shared" si="289"/>
        <v>0</v>
      </c>
      <c r="E362" s="510"/>
      <c r="F362" s="510"/>
      <c r="G362" s="510"/>
      <c r="H362" s="510"/>
      <c r="I362" s="510"/>
      <c r="J362" s="510"/>
      <c r="K362" s="510"/>
    </row>
    <row r="363" spans="1:11" customFormat="1" ht="15" hidden="1" x14ac:dyDescent="0.25">
      <c r="A363" s="520">
        <v>3237</v>
      </c>
      <c r="B363" s="521" t="s">
        <v>30</v>
      </c>
      <c r="C363" s="513"/>
      <c r="D363" s="513"/>
      <c r="E363" s="513"/>
      <c r="F363" s="513"/>
      <c r="G363" s="513"/>
      <c r="H363" s="513"/>
      <c r="I363" s="513"/>
      <c r="J363" s="513"/>
      <c r="K363" s="513"/>
    </row>
    <row r="364" spans="1:11" customFormat="1" ht="15" hidden="1" x14ac:dyDescent="0.25">
      <c r="A364" s="519">
        <v>426</v>
      </c>
      <c r="B364" s="523" t="s">
        <v>73</v>
      </c>
      <c r="C364" s="510">
        <f t="shared" ref="C364:D364" si="291">SUM(C365)</f>
        <v>0</v>
      </c>
      <c r="D364" s="510">
        <f t="shared" si="291"/>
        <v>0</v>
      </c>
      <c r="E364" s="510"/>
      <c r="F364" s="510"/>
      <c r="G364" s="510"/>
      <c r="H364" s="510"/>
      <c r="I364" s="510"/>
      <c r="J364" s="510"/>
      <c r="K364" s="510"/>
    </row>
    <row r="365" spans="1:11" customFormat="1" ht="15" hidden="1" x14ac:dyDescent="0.25">
      <c r="A365" s="520">
        <v>4262</v>
      </c>
      <c r="B365" s="521" t="s">
        <v>88</v>
      </c>
      <c r="C365" s="513"/>
      <c r="D365" s="513"/>
      <c r="E365" s="513"/>
      <c r="F365" s="513"/>
      <c r="G365" s="513"/>
      <c r="H365" s="513"/>
      <c r="I365" s="513"/>
      <c r="J365" s="513"/>
      <c r="K365" s="513"/>
    </row>
    <row r="366" spans="1:11" customFormat="1" ht="24.75" hidden="1" customHeight="1" x14ac:dyDescent="0.25">
      <c r="A366" s="501" t="s">
        <v>221</v>
      </c>
      <c r="B366" s="502" t="s">
        <v>246</v>
      </c>
      <c r="C366" s="503">
        <f t="shared" ref="C366:D368" si="292">SUM(C367)</f>
        <v>0</v>
      </c>
      <c r="D366" s="503">
        <f t="shared" si="292"/>
        <v>0</v>
      </c>
      <c r="E366" s="503"/>
      <c r="F366" s="503"/>
      <c r="G366" s="503"/>
      <c r="H366" s="503"/>
      <c r="I366" s="503"/>
      <c r="J366" s="503"/>
      <c r="K366" s="503"/>
    </row>
    <row r="367" spans="1:11" customFormat="1" ht="18" hidden="1" customHeight="1" x14ac:dyDescent="0.25">
      <c r="A367" s="710" t="s">
        <v>106</v>
      </c>
      <c r="B367" s="710"/>
      <c r="C367" s="504">
        <f t="shared" si="292"/>
        <v>0</v>
      </c>
      <c r="D367" s="504">
        <f t="shared" si="292"/>
        <v>0</v>
      </c>
      <c r="E367" s="504"/>
      <c r="F367" s="504"/>
      <c r="G367" s="504"/>
      <c r="H367" s="504"/>
      <c r="I367" s="504"/>
      <c r="J367" s="504"/>
      <c r="K367" s="504"/>
    </row>
    <row r="368" spans="1:11" customFormat="1" ht="15" hidden="1" x14ac:dyDescent="0.25">
      <c r="A368" s="519">
        <v>323</v>
      </c>
      <c r="B368" s="509" t="s">
        <v>23</v>
      </c>
      <c r="C368" s="510">
        <f t="shared" si="292"/>
        <v>0</v>
      </c>
      <c r="D368" s="510">
        <f t="shared" si="292"/>
        <v>0</v>
      </c>
      <c r="E368" s="510"/>
      <c r="F368" s="510"/>
      <c r="G368" s="510"/>
      <c r="H368" s="510"/>
      <c r="I368" s="510"/>
      <c r="J368" s="510"/>
      <c r="K368" s="510"/>
    </row>
    <row r="369" spans="1:11" customFormat="1" ht="4.5" hidden="1" customHeight="1" x14ac:dyDescent="0.25">
      <c r="A369" s="520">
        <v>3237</v>
      </c>
      <c r="B369" s="521" t="s">
        <v>30</v>
      </c>
      <c r="C369" s="513"/>
      <c r="D369" s="513"/>
      <c r="E369" s="513"/>
      <c r="F369" s="513"/>
      <c r="G369" s="513"/>
      <c r="H369" s="513"/>
      <c r="I369" s="513"/>
      <c r="J369" s="513"/>
      <c r="K369" s="513"/>
    </row>
    <row r="370" spans="1:11" customFormat="1" ht="24.95" customHeight="1" x14ac:dyDescent="0.25">
      <c r="A370" s="501" t="s">
        <v>107</v>
      </c>
      <c r="B370" s="502" t="s">
        <v>108</v>
      </c>
      <c r="C370" s="503">
        <f t="shared" ref="C370:K370" si="293">SUM(C371)</f>
        <v>0</v>
      </c>
      <c r="D370" s="503">
        <f t="shared" si="293"/>
        <v>0</v>
      </c>
      <c r="E370" s="503">
        <f t="shared" si="293"/>
        <v>1000</v>
      </c>
      <c r="F370" s="503">
        <f t="shared" si="293"/>
        <v>1000</v>
      </c>
      <c r="G370" s="503">
        <f t="shared" si="293"/>
        <v>0</v>
      </c>
      <c r="H370" s="503">
        <f t="shared" si="293"/>
        <v>0</v>
      </c>
      <c r="I370" s="503">
        <f t="shared" si="293"/>
        <v>2000</v>
      </c>
      <c r="J370" s="503">
        <f t="shared" si="293"/>
        <v>0</v>
      </c>
      <c r="K370" s="503">
        <f t="shared" si="293"/>
        <v>0</v>
      </c>
    </row>
    <row r="371" spans="1:11" customFormat="1" ht="18" customHeight="1" x14ac:dyDescent="0.25">
      <c r="A371" s="710" t="s">
        <v>106</v>
      </c>
      <c r="B371" s="710"/>
      <c r="C371" s="504">
        <f>SUM(C372,C382,C385)</f>
        <v>0</v>
      </c>
      <c r="D371" s="504">
        <f t="shared" ref="D371:F371" si="294">SUM(D372,D382,D385)</f>
        <v>0</v>
      </c>
      <c r="E371" s="504">
        <f t="shared" si="294"/>
        <v>1000</v>
      </c>
      <c r="F371" s="504">
        <f t="shared" si="294"/>
        <v>1000</v>
      </c>
      <c r="G371" s="504">
        <f t="shared" ref="G371:H371" si="295">SUM(G372,G382,G385)</f>
        <v>0</v>
      </c>
      <c r="H371" s="504">
        <f t="shared" si="295"/>
        <v>0</v>
      </c>
      <c r="I371" s="504">
        <f t="shared" ref="I371:J371" si="296">SUM(I372,I382,I385)</f>
        <v>2000</v>
      </c>
      <c r="J371" s="504">
        <f t="shared" si="296"/>
        <v>0</v>
      </c>
      <c r="K371" s="504">
        <f t="shared" ref="K371" si="297">SUM(K372,K382,K385)</f>
        <v>0</v>
      </c>
    </row>
    <row r="372" spans="1:11" customFormat="1" ht="18" customHeight="1" x14ac:dyDescent="0.25">
      <c r="A372" s="516" t="s">
        <v>324</v>
      </c>
      <c r="B372" s="516" t="s">
        <v>325</v>
      </c>
      <c r="C372" s="549">
        <f>SUM(C373,C375,C377,C380)</f>
        <v>0</v>
      </c>
      <c r="D372" s="549">
        <f t="shared" ref="D372:F372" si="298">SUM(D373,D375,D377,D380)</f>
        <v>0</v>
      </c>
      <c r="E372" s="549">
        <f t="shared" si="298"/>
        <v>1000</v>
      </c>
      <c r="F372" s="549">
        <f t="shared" si="298"/>
        <v>1000</v>
      </c>
      <c r="G372" s="549">
        <f t="shared" ref="G372:H372" si="299">SUM(G373,G375,G377,G380)</f>
        <v>0</v>
      </c>
      <c r="H372" s="549">
        <f t="shared" si="299"/>
        <v>0</v>
      </c>
      <c r="I372" s="549">
        <f t="shared" ref="I372:J372" si="300">SUM(I373,I375,I377,I380)</f>
        <v>2000</v>
      </c>
      <c r="J372" s="549">
        <f t="shared" si="300"/>
        <v>0</v>
      </c>
      <c r="K372" s="549">
        <f t="shared" ref="K372" si="301">SUM(K373,K375,K377,K380)</f>
        <v>0</v>
      </c>
    </row>
    <row r="373" spans="1:11" customFormat="1" ht="15" x14ac:dyDescent="0.25">
      <c r="A373" s="519">
        <v>321</v>
      </c>
      <c r="B373" s="509" t="s">
        <v>109</v>
      </c>
      <c r="C373" s="510">
        <f t="shared" ref="C373:K373" si="302">SUM(C374)</f>
        <v>0</v>
      </c>
      <c r="D373" s="510">
        <f t="shared" si="302"/>
        <v>0</v>
      </c>
      <c r="E373" s="510">
        <f t="shared" si="302"/>
        <v>0</v>
      </c>
      <c r="F373" s="510">
        <f t="shared" si="302"/>
        <v>0</v>
      </c>
      <c r="G373" s="510">
        <f t="shared" si="302"/>
        <v>0</v>
      </c>
      <c r="H373" s="510">
        <f t="shared" si="302"/>
        <v>0</v>
      </c>
      <c r="I373" s="510">
        <f t="shared" si="302"/>
        <v>1000</v>
      </c>
      <c r="J373" s="510">
        <f t="shared" si="302"/>
        <v>0</v>
      </c>
      <c r="K373" s="510">
        <f t="shared" si="302"/>
        <v>0</v>
      </c>
    </row>
    <row r="374" spans="1:11" customFormat="1" ht="15" x14ac:dyDescent="0.25">
      <c r="A374" s="520">
        <v>3211</v>
      </c>
      <c r="B374" s="521" t="s">
        <v>13</v>
      </c>
      <c r="C374" s="513">
        <v>0</v>
      </c>
      <c r="D374" s="513"/>
      <c r="E374" s="513"/>
      <c r="F374" s="513">
        <f t="shared" ref="F374:F381" si="303">C374-D374+E374</f>
        <v>0</v>
      </c>
      <c r="G374" s="513"/>
      <c r="H374" s="513"/>
      <c r="I374" s="513">
        <v>1000</v>
      </c>
      <c r="J374" s="513"/>
      <c r="K374" s="513"/>
    </row>
    <row r="375" spans="1:11" customFormat="1" ht="15" x14ac:dyDescent="0.25">
      <c r="A375" s="519">
        <v>322</v>
      </c>
      <c r="B375" s="509" t="s">
        <v>16</v>
      </c>
      <c r="C375" s="510">
        <f t="shared" ref="C375:K375" si="304">SUM(C376:C376)</f>
        <v>0</v>
      </c>
      <c r="D375" s="510">
        <f t="shared" si="304"/>
        <v>0</v>
      </c>
      <c r="E375" s="510">
        <f t="shared" si="304"/>
        <v>0</v>
      </c>
      <c r="F375" s="510">
        <f t="shared" si="304"/>
        <v>0</v>
      </c>
      <c r="G375" s="510">
        <f t="shared" si="304"/>
        <v>0</v>
      </c>
      <c r="H375" s="510">
        <f t="shared" si="304"/>
        <v>0</v>
      </c>
      <c r="I375" s="510">
        <f t="shared" si="304"/>
        <v>0</v>
      </c>
      <c r="J375" s="510">
        <f t="shared" si="304"/>
        <v>0</v>
      </c>
      <c r="K375" s="510">
        <f t="shared" si="304"/>
        <v>0</v>
      </c>
    </row>
    <row r="376" spans="1:11" customFormat="1" ht="15" x14ac:dyDescent="0.25">
      <c r="A376" s="520">
        <v>3221</v>
      </c>
      <c r="B376" s="521" t="s">
        <v>17</v>
      </c>
      <c r="C376" s="513">
        <v>0</v>
      </c>
      <c r="D376" s="513"/>
      <c r="E376" s="513"/>
      <c r="F376" s="513">
        <f t="shared" si="303"/>
        <v>0</v>
      </c>
      <c r="G376" s="513"/>
      <c r="H376" s="513"/>
      <c r="I376" s="513"/>
      <c r="J376" s="513"/>
      <c r="K376" s="513"/>
    </row>
    <row r="377" spans="1:11" customFormat="1" ht="15" x14ac:dyDescent="0.25">
      <c r="A377" s="519">
        <v>323</v>
      </c>
      <c r="B377" s="509" t="s">
        <v>23</v>
      </c>
      <c r="C377" s="510">
        <f t="shared" ref="C377:F377" si="305">SUM(C378:C379)</f>
        <v>0</v>
      </c>
      <c r="D377" s="510">
        <f t="shared" si="305"/>
        <v>0</v>
      </c>
      <c r="E377" s="510">
        <f t="shared" si="305"/>
        <v>0</v>
      </c>
      <c r="F377" s="510">
        <f t="shared" si="305"/>
        <v>0</v>
      </c>
      <c r="G377" s="510">
        <f t="shared" ref="G377:H377" si="306">SUM(G378:G379)</f>
        <v>0</v>
      </c>
      <c r="H377" s="510">
        <f t="shared" si="306"/>
        <v>0</v>
      </c>
      <c r="I377" s="510">
        <f t="shared" ref="I377:J377" si="307">SUM(I378:I379)</f>
        <v>0</v>
      </c>
      <c r="J377" s="510">
        <f t="shared" si="307"/>
        <v>0</v>
      </c>
      <c r="K377" s="510">
        <f t="shared" ref="K377" si="308">SUM(K378:K379)</f>
        <v>0</v>
      </c>
    </row>
    <row r="378" spans="1:11" customFormat="1" ht="15" x14ac:dyDescent="0.25">
      <c r="A378" s="520">
        <v>3233</v>
      </c>
      <c r="B378" s="512" t="s">
        <v>26</v>
      </c>
      <c r="C378" s="513">
        <v>0</v>
      </c>
      <c r="D378" s="513"/>
      <c r="E378" s="513"/>
      <c r="F378" s="513">
        <f t="shared" si="303"/>
        <v>0</v>
      </c>
      <c r="G378" s="513"/>
      <c r="H378" s="513"/>
      <c r="I378" s="513"/>
      <c r="J378" s="513"/>
      <c r="K378" s="513"/>
    </row>
    <row r="379" spans="1:11" customFormat="1" ht="15" x14ac:dyDescent="0.25">
      <c r="A379" s="520">
        <v>3237</v>
      </c>
      <c r="B379" s="521" t="s">
        <v>30</v>
      </c>
      <c r="C379" s="513">
        <v>0</v>
      </c>
      <c r="D379" s="513"/>
      <c r="E379" s="513"/>
      <c r="F379" s="513">
        <f t="shared" si="303"/>
        <v>0</v>
      </c>
      <c r="G379" s="513"/>
      <c r="H379" s="513"/>
      <c r="I379" s="513"/>
      <c r="J379" s="513"/>
      <c r="K379" s="513"/>
    </row>
    <row r="380" spans="1:11" customFormat="1" ht="15" x14ac:dyDescent="0.25">
      <c r="A380" s="519">
        <v>329</v>
      </c>
      <c r="B380" s="509" t="s">
        <v>33</v>
      </c>
      <c r="C380" s="510">
        <f t="shared" ref="C380:K380" si="309">SUM(C381)</f>
        <v>0</v>
      </c>
      <c r="D380" s="510">
        <f t="shared" si="309"/>
        <v>0</v>
      </c>
      <c r="E380" s="510">
        <f t="shared" si="309"/>
        <v>1000</v>
      </c>
      <c r="F380" s="510">
        <f t="shared" si="309"/>
        <v>1000</v>
      </c>
      <c r="G380" s="510">
        <f t="shared" si="309"/>
        <v>0</v>
      </c>
      <c r="H380" s="510">
        <f t="shared" si="309"/>
        <v>0</v>
      </c>
      <c r="I380" s="510">
        <f t="shared" si="309"/>
        <v>1000</v>
      </c>
      <c r="J380" s="510">
        <f t="shared" si="309"/>
        <v>0</v>
      </c>
      <c r="K380" s="510">
        <f t="shared" si="309"/>
        <v>0</v>
      </c>
    </row>
    <row r="381" spans="1:11" customFormat="1" ht="15" x14ac:dyDescent="0.25">
      <c r="A381" s="511">
        <v>3299</v>
      </c>
      <c r="B381" s="535" t="s">
        <v>33</v>
      </c>
      <c r="C381" s="513">
        <v>0</v>
      </c>
      <c r="D381" s="513"/>
      <c r="E381" s="513">
        <v>1000</v>
      </c>
      <c r="F381" s="513">
        <f t="shared" si="303"/>
        <v>1000</v>
      </c>
      <c r="G381" s="513"/>
      <c r="H381" s="513"/>
      <c r="I381" s="513">
        <v>1000</v>
      </c>
      <c r="J381" s="513"/>
      <c r="K381" s="513"/>
    </row>
    <row r="382" spans="1:11" customFormat="1" ht="25.5" x14ac:dyDescent="0.25">
      <c r="A382" s="505" t="s">
        <v>328</v>
      </c>
      <c r="B382" s="517" t="s">
        <v>329</v>
      </c>
      <c r="C382" s="507">
        <f>SUM(C383)</f>
        <v>0</v>
      </c>
      <c r="D382" s="507">
        <f t="shared" ref="D382:K382" si="310">SUM(D383)</f>
        <v>0</v>
      </c>
      <c r="E382" s="507">
        <f t="shared" si="310"/>
        <v>0</v>
      </c>
      <c r="F382" s="507">
        <f t="shared" si="310"/>
        <v>0</v>
      </c>
      <c r="G382" s="507">
        <f t="shared" si="310"/>
        <v>0</v>
      </c>
      <c r="H382" s="507">
        <f t="shared" si="310"/>
        <v>0</v>
      </c>
      <c r="I382" s="507">
        <f t="shared" si="310"/>
        <v>0</v>
      </c>
      <c r="J382" s="507">
        <f t="shared" si="310"/>
        <v>0</v>
      </c>
      <c r="K382" s="507">
        <f t="shared" si="310"/>
        <v>0</v>
      </c>
    </row>
    <row r="383" spans="1:11" s="6" customFormat="1" ht="25.5" x14ac:dyDescent="0.25">
      <c r="A383" s="519">
        <v>372</v>
      </c>
      <c r="B383" s="509" t="s">
        <v>44</v>
      </c>
      <c r="C383" s="510">
        <f t="shared" ref="C383:K383" si="311">SUM(C384)</f>
        <v>0</v>
      </c>
      <c r="D383" s="510">
        <f t="shared" si="311"/>
        <v>0</v>
      </c>
      <c r="E383" s="510">
        <f t="shared" si="311"/>
        <v>0</v>
      </c>
      <c r="F383" s="510">
        <f t="shared" si="311"/>
        <v>0</v>
      </c>
      <c r="G383" s="510">
        <f t="shared" si="311"/>
        <v>0</v>
      </c>
      <c r="H383" s="510">
        <f t="shared" si="311"/>
        <v>0</v>
      </c>
      <c r="I383" s="510">
        <f t="shared" si="311"/>
        <v>0</v>
      </c>
      <c r="J383" s="510">
        <f t="shared" si="311"/>
        <v>0</v>
      </c>
      <c r="K383" s="510">
        <f t="shared" si="311"/>
        <v>0</v>
      </c>
    </row>
    <row r="384" spans="1:11" customFormat="1" ht="15" x14ac:dyDescent="0.25">
      <c r="A384" s="511">
        <v>3721</v>
      </c>
      <c r="B384" s="535" t="s">
        <v>45</v>
      </c>
      <c r="C384" s="513">
        <v>0</v>
      </c>
      <c r="D384" s="513"/>
      <c r="E384" s="513"/>
      <c r="F384" s="513">
        <f t="shared" ref="F384" si="312">C384-D384+E384</f>
        <v>0</v>
      </c>
      <c r="G384" s="513"/>
      <c r="H384" s="513"/>
      <c r="I384" s="513"/>
      <c r="J384" s="513"/>
      <c r="K384" s="513"/>
    </row>
    <row r="385" spans="1:11" customFormat="1" ht="25.5" x14ac:dyDescent="0.25">
      <c r="A385" s="505" t="s">
        <v>330</v>
      </c>
      <c r="B385" s="517" t="s">
        <v>331</v>
      </c>
      <c r="C385" s="507">
        <f>SUM(C386)</f>
        <v>0</v>
      </c>
      <c r="D385" s="507">
        <f t="shared" ref="D385:K385" si="313">SUM(D386)</f>
        <v>0</v>
      </c>
      <c r="E385" s="507">
        <f t="shared" si="313"/>
        <v>0</v>
      </c>
      <c r="F385" s="507">
        <f t="shared" si="313"/>
        <v>0</v>
      </c>
      <c r="G385" s="507">
        <f t="shared" si="313"/>
        <v>0</v>
      </c>
      <c r="H385" s="507">
        <f t="shared" si="313"/>
        <v>0</v>
      </c>
      <c r="I385" s="507">
        <f t="shared" si="313"/>
        <v>0</v>
      </c>
      <c r="J385" s="507">
        <f t="shared" si="313"/>
        <v>0</v>
      </c>
      <c r="K385" s="507">
        <f t="shared" si="313"/>
        <v>0</v>
      </c>
    </row>
    <row r="386" spans="1:11" customFormat="1" ht="15" x14ac:dyDescent="0.25">
      <c r="A386" s="519">
        <v>422</v>
      </c>
      <c r="B386" s="523" t="s">
        <v>53</v>
      </c>
      <c r="C386" s="510">
        <f t="shared" ref="C386:K386" si="314">SUM(C387)</f>
        <v>0</v>
      </c>
      <c r="D386" s="510">
        <f t="shared" si="314"/>
        <v>0</v>
      </c>
      <c r="E386" s="510">
        <f t="shared" si="314"/>
        <v>0</v>
      </c>
      <c r="F386" s="510">
        <f t="shared" si="314"/>
        <v>0</v>
      </c>
      <c r="G386" s="510">
        <f t="shared" si="314"/>
        <v>0</v>
      </c>
      <c r="H386" s="510">
        <f t="shared" si="314"/>
        <v>0</v>
      </c>
      <c r="I386" s="510">
        <f t="shared" si="314"/>
        <v>0</v>
      </c>
      <c r="J386" s="510">
        <f t="shared" si="314"/>
        <v>0</v>
      </c>
      <c r="K386" s="510">
        <f t="shared" si="314"/>
        <v>0</v>
      </c>
    </row>
    <row r="387" spans="1:11" customFormat="1" ht="12.75" customHeight="1" x14ac:dyDescent="0.25">
      <c r="A387" s="520">
        <v>4221</v>
      </c>
      <c r="B387" s="521" t="s">
        <v>54</v>
      </c>
      <c r="C387" s="513">
        <v>0</v>
      </c>
      <c r="D387" s="513"/>
      <c r="E387" s="513"/>
      <c r="F387" s="513">
        <f t="shared" ref="F387" si="315">C387-D387+E387</f>
        <v>0</v>
      </c>
      <c r="G387" s="513"/>
      <c r="H387" s="513"/>
      <c r="I387" s="513"/>
      <c r="J387" s="513"/>
      <c r="K387" s="513"/>
    </row>
    <row r="388" spans="1:11" customFormat="1" ht="39" hidden="1" x14ac:dyDescent="0.25">
      <c r="A388" s="555" t="s">
        <v>80</v>
      </c>
      <c r="B388" s="556" t="s">
        <v>230</v>
      </c>
      <c r="C388" s="503">
        <f t="shared" ref="C388:D388" si="316">SUM(C389)</f>
        <v>0</v>
      </c>
      <c r="D388" s="503">
        <f t="shared" si="316"/>
        <v>0</v>
      </c>
      <c r="E388" s="503"/>
      <c r="F388" s="503"/>
      <c r="G388" s="503"/>
      <c r="H388" s="503"/>
      <c r="I388" s="503"/>
      <c r="J388" s="503"/>
      <c r="K388" s="503"/>
    </row>
    <row r="389" spans="1:11" customFormat="1" ht="15" hidden="1" x14ac:dyDescent="0.25">
      <c r="A389" s="710" t="s">
        <v>106</v>
      </c>
      <c r="B389" s="710"/>
      <c r="C389" s="504">
        <f t="shared" ref="C389:D389" si="317">SUM(C391)</f>
        <v>0</v>
      </c>
      <c r="D389" s="504">
        <f t="shared" si="317"/>
        <v>0</v>
      </c>
      <c r="E389" s="504"/>
      <c r="F389" s="504"/>
      <c r="G389" s="504"/>
      <c r="H389" s="504"/>
      <c r="I389" s="504"/>
      <c r="J389" s="504"/>
      <c r="K389" s="504"/>
    </row>
    <row r="390" spans="1:11" customFormat="1" ht="15" hidden="1" x14ac:dyDescent="0.25">
      <c r="A390" s="519">
        <v>323</v>
      </c>
      <c r="B390" s="509" t="s">
        <v>23</v>
      </c>
      <c r="C390" s="525">
        <f t="shared" ref="C390:D390" si="318">SUM(C391)</f>
        <v>0</v>
      </c>
      <c r="D390" s="525">
        <f t="shared" si="318"/>
        <v>0</v>
      </c>
      <c r="E390" s="525"/>
      <c r="F390" s="525"/>
      <c r="G390" s="525"/>
      <c r="H390" s="525"/>
      <c r="I390" s="525"/>
      <c r="J390" s="525"/>
      <c r="K390" s="525"/>
    </row>
    <row r="391" spans="1:11" customFormat="1" ht="15" hidden="1" x14ac:dyDescent="0.25">
      <c r="A391" s="520">
        <v>3237</v>
      </c>
      <c r="B391" s="521" t="s">
        <v>30</v>
      </c>
      <c r="C391" s="513"/>
      <c r="D391" s="513"/>
      <c r="E391" s="513"/>
      <c r="F391" s="513"/>
      <c r="G391" s="513"/>
      <c r="H391" s="513"/>
      <c r="I391" s="513"/>
      <c r="J391" s="513"/>
      <c r="K391" s="513"/>
    </row>
    <row r="392" spans="1:11" customFormat="1" ht="24" customHeight="1" x14ac:dyDescent="0.25">
      <c r="A392" s="501" t="s">
        <v>247</v>
      </c>
      <c r="B392" s="502" t="s">
        <v>248</v>
      </c>
      <c r="C392" s="503">
        <f t="shared" ref="C392:K392" si="319">SUM(C393)</f>
        <v>200000</v>
      </c>
      <c r="D392" s="503">
        <f t="shared" si="319"/>
        <v>162000</v>
      </c>
      <c r="E392" s="503">
        <f t="shared" si="319"/>
        <v>0</v>
      </c>
      <c r="F392" s="503">
        <f t="shared" si="319"/>
        <v>38000</v>
      </c>
      <c r="G392" s="503">
        <f t="shared" si="319"/>
        <v>200000</v>
      </c>
      <c r="H392" s="503">
        <f t="shared" si="319"/>
        <v>200000</v>
      </c>
      <c r="I392" s="503">
        <f t="shared" si="319"/>
        <v>200000</v>
      </c>
      <c r="J392" s="503">
        <f t="shared" si="319"/>
        <v>200000</v>
      </c>
      <c r="K392" s="503">
        <f t="shared" si="319"/>
        <v>200000</v>
      </c>
    </row>
    <row r="393" spans="1:11" customFormat="1" ht="15" x14ac:dyDescent="0.25">
      <c r="A393" s="710" t="s">
        <v>106</v>
      </c>
      <c r="B393" s="710"/>
      <c r="C393" s="504">
        <f>SUM(C394,C397,C410)</f>
        <v>200000</v>
      </c>
      <c r="D393" s="504">
        <f t="shared" ref="D393:F393" si="320">SUM(D394,D397,D410)</f>
        <v>162000</v>
      </c>
      <c r="E393" s="504">
        <f t="shared" si="320"/>
        <v>0</v>
      </c>
      <c r="F393" s="504">
        <f t="shared" si="320"/>
        <v>38000</v>
      </c>
      <c r="G393" s="504">
        <f>SUM(G394,G397,G410)</f>
        <v>200000</v>
      </c>
      <c r="H393" s="504">
        <f>SUM(H394,H397,H410)</f>
        <v>200000</v>
      </c>
      <c r="I393" s="504">
        <f t="shared" ref="I393:K393" si="321">SUM(I394,I397,I410)</f>
        <v>200000</v>
      </c>
      <c r="J393" s="504">
        <f t="shared" si="321"/>
        <v>200000</v>
      </c>
      <c r="K393" s="504">
        <f t="shared" si="321"/>
        <v>200000</v>
      </c>
    </row>
    <row r="394" spans="1:11" customFormat="1" ht="15" x14ac:dyDescent="0.25">
      <c r="A394" s="516" t="s">
        <v>322</v>
      </c>
      <c r="B394" s="517" t="s">
        <v>323</v>
      </c>
      <c r="C394" s="518">
        <f>SUM(C395)</f>
        <v>13000</v>
      </c>
      <c r="D394" s="518">
        <f t="shared" ref="D394:K394" si="322">SUM(D395)</f>
        <v>12000</v>
      </c>
      <c r="E394" s="518">
        <f t="shared" si="322"/>
        <v>0</v>
      </c>
      <c r="F394" s="518">
        <f t="shared" si="322"/>
        <v>1000</v>
      </c>
      <c r="G394" s="518">
        <f>SUM(G395)</f>
        <v>13000</v>
      </c>
      <c r="H394" s="518">
        <f>SUM(H395)</f>
        <v>13000</v>
      </c>
      <c r="I394" s="518">
        <f t="shared" si="322"/>
        <v>13000</v>
      </c>
      <c r="J394" s="518">
        <f t="shared" si="322"/>
        <v>13000</v>
      </c>
      <c r="K394" s="518">
        <f t="shared" si="322"/>
        <v>13000</v>
      </c>
    </row>
    <row r="395" spans="1:11" s="10" customFormat="1" ht="15.75" customHeight="1" x14ac:dyDescent="0.25">
      <c r="A395" s="557" t="s">
        <v>143</v>
      </c>
      <c r="B395" s="558" t="s">
        <v>220</v>
      </c>
      <c r="C395" s="533">
        <f t="shared" ref="C395:K395" si="323">SUM(C396)</f>
        <v>13000</v>
      </c>
      <c r="D395" s="533">
        <f t="shared" si="323"/>
        <v>12000</v>
      </c>
      <c r="E395" s="533">
        <f t="shared" si="323"/>
        <v>0</v>
      </c>
      <c r="F395" s="533">
        <f t="shared" si="323"/>
        <v>1000</v>
      </c>
      <c r="G395" s="533">
        <f t="shared" si="323"/>
        <v>13000</v>
      </c>
      <c r="H395" s="533">
        <f t="shared" si="323"/>
        <v>13000</v>
      </c>
      <c r="I395" s="533">
        <f t="shared" si="323"/>
        <v>13000</v>
      </c>
      <c r="J395" s="533">
        <f t="shared" si="323"/>
        <v>13000</v>
      </c>
      <c r="K395" s="533">
        <f t="shared" si="323"/>
        <v>13000</v>
      </c>
    </row>
    <row r="396" spans="1:11" s="10" customFormat="1" ht="15" x14ac:dyDescent="0.25">
      <c r="A396" s="559">
        <v>3111</v>
      </c>
      <c r="B396" s="560" t="s">
        <v>5</v>
      </c>
      <c r="C396" s="522">
        <v>13000</v>
      </c>
      <c r="D396" s="522">
        <v>12000</v>
      </c>
      <c r="E396" s="522"/>
      <c r="F396" s="513">
        <f t="shared" ref="F396" si="324">C396-D396+E396</f>
        <v>1000</v>
      </c>
      <c r="G396" s="522">
        <v>13000</v>
      </c>
      <c r="H396" s="522">
        <v>13000</v>
      </c>
      <c r="I396" s="522">
        <v>13000</v>
      </c>
      <c r="J396" s="522">
        <v>13000</v>
      </c>
      <c r="K396" s="522">
        <v>13000</v>
      </c>
    </row>
    <row r="397" spans="1:11" s="10" customFormat="1" ht="15" x14ac:dyDescent="0.25">
      <c r="A397" s="516" t="s">
        <v>324</v>
      </c>
      <c r="B397" s="516" t="s">
        <v>325</v>
      </c>
      <c r="C397" s="549">
        <f>SUM(C398,C400,C404,C408)</f>
        <v>160000</v>
      </c>
      <c r="D397" s="549">
        <f t="shared" ref="D397:F397" si="325">SUM(D398,D400,D404,D408)</f>
        <v>150000</v>
      </c>
      <c r="E397" s="549">
        <f t="shared" si="325"/>
        <v>0</v>
      </c>
      <c r="F397" s="549">
        <f t="shared" si="325"/>
        <v>10000</v>
      </c>
      <c r="G397" s="549">
        <f>SUM(G398,G400,G404,G408)</f>
        <v>160000</v>
      </c>
      <c r="H397" s="549">
        <f>SUM(H398,H400,H404,H408)</f>
        <v>160000</v>
      </c>
      <c r="I397" s="549">
        <f t="shared" ref="I397:K397" si="326">SUM(I398,I400,I404,I408)</f>
        <v>160000</v>
      </c>
      <c r="J397" s="549">
        <f t="shared" si="326"/>
        <v>160000</v>
      </c>
      <c r="K397" s="549">
        <f t="shared" si="326"/>
        <v>160000</v>
      </c>
    </row>
    <row r="398" spans="1:11" customFormat="1" ht="15" x14ac:dyDescent="0.25">
      <c r="A398" s="519">
        <v>321</v>
      </c>
      <c r="B398" s="509" t="s">
        <v>109</v>
      </c>
      <c r="C398" s="510">
        <f t="shared" ref="C398:K398" si="327">SUM(C399)</f>
        <v>13000</v>
      </c>
      <c r="D398" s="510">
        <f t="shared" si="327"/>
        <v>10000</v>
      </c>
      <c r="E398" s="510">
        <f t="shared" si="327"/>
        <v>0</v>
      </c>
      <c r="F398" s="510">
        <f t="shared" si="327"/>
        <v>3000</v>
      </c>
      <c r="G398" s="510">
        <f t="shared" si="327"/>
        <v>13000</v>
      </c>
      <c r="H398" s="510">
        <f t="shared" si="327"/>
        <v>13000</v>
      </c>
      <c r="I398" s="510">
        <f t="shared" si="327"/>
        <v>13000</v>
      </c>
      <c r="J398" s="510">
        <f t="shared" si="327"/>
        <v>13000</v>
      </c>
      <c r="K398" s="510">
        <f t="shared" si="327"/>
        <v>13000</v>
      </c>
    </row>
    <row r="399" spans="1:11" customFormat="1" ht="15" x14ac:dyDescent="0.25">
      <c r="A399" s="520">
        <v>3211</v>
      </c>
      <c r="B399" s="521" t="s">
        <v>13</v>
      </c>
      <c r="C399" s="513">
        <v>13000</v>
      </c>
      <c r="D399" s="513">
        <v>10000</v>
      </c>
      <c r="E399" s="513"/>
      <c r="F399" s="513">
        <f t="shared" ref="F399:F409" si="328">C399-D399+E399</f>
        <v>3000</v>
      </c>
      <c r="G399" s="513">
        <v>13000</v>
      </c>
      <c r="H399" s="513">
        <v>13000</v>
      </c>
      <c r="I399" s="513">
        <v>13000</v>
      </c>
      <c r="J399" s="513">
        <v>13000</v>
      </c>
      <c r="K399" s="513">
        <v>13000</v>
      </c>
    </row>
    <row r="400" spans="1:11" customFormat="1" ht="15" x14ac:dyDescent="0.25">
      <c r="A400" s="519">
        <v>322</v>
      </c>
      <c r="B400" s="509" t="s">
        <v>16</v>
      </c>
      <c r="C400" s="510">
        <f t="shared" ref="C400:F400" si="329">SUM(C401:C403)</f>
        <v>21000</v>
      </c>
      <c r="D400" s="510">
        <f t="shared" si="329"/>
        <v>18000</v>
      </c>
      <c r="E400" s="510">
        <f t="shared" si="329"/>
        <v>0</v>
      </c>
      <c r="F400" s="510">
        <f t="shared" si="329"/>
        <v>3000</v>
      </c>
      <c r="G400" s="510">
        <f t="shared" ref="G400:H400" si="330">SUM(G401:G403)</f>
        <v>21000</v>
      </c>
      <c r="H400" s="510">
        <f t="shared" si="330"/>
        <v>21000</v>
      </c>
      <c r="I400" s="510">
        <f t="shared" ref="I400:K400" si="331">SUM(I401:I403)</f>
        <v>21000</v>
      </c>
      <c r="J400" s="510">
        <f t="shared" si="331"/>
        <v>21000</v>
      </c>
      <c r="K400" s="510">
        <f t="shared" si="331"/>
        <v>21000</v>
      </c>
    </row>
    <row r="401" spans="1:11" customFormat="1" ht="15" x14ac:dyDescent="0.25">
      <c r="A401" s="520">
        <v>3221</v>
      </c>
      <c r="B401" s="521" t="s">
        <v>17</v>
      </c>
      <c r="C401" s="513">
        <v>7000</v>
      </c>
      <c r="D401" s="513">
        <v>6000</v>
      </c>
      <c r="E401" s="513"/>
      <c r="F401" s="513">
        <f t="shared" si="328"/>
        <v>1000</v>
      </c>
      <c r="G401" s="513">
        <v>7000</v>
      </c>
      <c r="H401" s="513">
        <v>7000</v>
      </c>
      <c r="I401" s="513">
        <v>7000</v>
      </c>
      <c r="J401" s="513">
        <v>7000</v>
      </c>
      <c r="K401" s="513">
        <v>7000</v>
      </c>
    </row>
    <row r="402" spans="1:11" customFormat="1" ht="15" x14ac:dyDescent="0.25">
      <c r="A402" s="520">
        <v>3222</v>
      </c>
      <c r="B402" s="521" t="s">
        <v>18</v>
      </c>
      <c r="C402" s="513">
        <v>7000</v>
      </c>
      <c r="D402" s="513">
        <v>6000</v>
      </c>
      <c r="E402" s="513"/>
      <c r="F402" s="513">
        <f t="shared" si="328"/>
        <v>1000</v>
      </c>
      <c r="G402" s="513">
        <v>7000</v>
      </c>
      <c r="H402" s="513">
        <v>7000</v>
      </c>
      <c r="I402" s="513">
        <v>7000</v>
      </c>
      <c r="J402" s="513">
        <v>7000</v>
      </c>
      <c r="K402" s="513">
        <v>7000</v>
      </c>
    </row>
    <row r="403" spans="1:11" customFormat="1" ht="15" x14ac:dyDescent="0.25">
      <c r="A403" s="520">
        <v>3225</v>
      </c>
      <c r="B403" s="521" t="s">
        <v>21</v>
      </c>
      <c r="C403" s="513">
        <v>7000</v>
      </c>
      <c r="D403" s="513">
        <v>6000</v>
      </c>
      <c r="E403" s="513"/>
      <c r="F403" s="513">
        <f t="shared" si="328"/>
        <v>1000</v>
      </c>
      <c r="G403" s="513">
        <v>7000</v>
      </c>
      <c r="H403" s="513">
        <v>7000</v>
      </c>
      <c r="I403" s="513">
        <v>7000</v>
      </c>
      <c r="J403" s="513">
        <v>7000</v>
      </c>
      <c r="K403" s="513">
        <v>7000</v>
      </c>
    </row>
    <row r="404" spans="1:11" customFormat="1" ht="15" x14ac:dyDescent="0.25">
      <c r="A404" s="519">
        <v>323</v>
      </c>
      <c r="B404" s="509" t="s">
        <v>23</v>
      </c>
      <c r="C404" s="510">
        <f t="shared" ref="C404:F404" si="332">SUM(C405:C407)</f>
        <v>60000</v>
      </c>
      <c r="D404" s="510">
        <f t="shared" si="332"/>
        <v>57000</v>
      </c>
      <c r="E404" s="510">
        <f t="shared" si="332"/>
        <v>0</v>
      </c>
      <c r="F404" s="510">
        <f t="shared" si="332"/>
        <v>3000</v>
      </c>
      <c r="G404" s="510">
        <f t="shared" ref="G404:H404" si="333">SUM(G405:G407)</f>
        <v>60000</v>
      </c>
      <c r="H404" s="510">
        <f t="shared" si="333"/>
        <v>60000</v>
      </c>
      <c r="I404" s="510">
        <f t="shared" ref="I404:K404" si="334">SUM(I405:I407)</f>
        <v>60000</v>
      </c>
      <c r="J404" s="510">
        <f t="shared" si="334"/>
        <v>60000</v>
      </c>
      <c r="K404" s="510">
        <f t="shared" si="334"/>
        <v>60000</v>
      </c>
    </row>
    <row r="405" spans="1:11" customFormat="1" ht="15" x14ac:dyDescent="0.25">
      <c r="A405" s="520">
        <v>3233</v>
      </c>
      <c r="B405" s="512" t="s">
        <v>26</v>
      </c>
      <c r="C405" s="513">
        <v>13000</v>
      </c>
      <c r="D405" s="513">
        <v>12000</v>
      </c>
      <c r="E405" s="513"/>
      <c r="F405" s="513">
        <f t="shared" si="328"/>
        <v>1000</v>
      </c>
      <c r="G405" s="513">
        <v>13000</v>
      </c>
      <c r="H405" s="513">
        <v>13000</v>
      </c>
      <c r="I405" s="513">
        <v>13000</v>
      </c>
      <c r="J405" s="513">
        <v>13000</v>
      </c>
      <c r="K405" s="513">
        <v>13000</v>
      </c>
    </row>
    <row r="406" spans="1:11" customFormat="1" ht="15" x14ac:dyDescent="0.25">
      <c r="A406" s="520">
        <v>3235</v>
      </c>
      <c r="B406" s="512" t="s">
        <v>28</v>
      </c>
      <c r="C406" s="513">
        <v>27000</v>
      </c>
      <c r="D406" s="513">
        <v>26000</v>
      </c>
      <c r="E406" s="513"/>
      <c r="F406" s="513">
        <f t="shared" si="328"/>
        <v>1000</v>
      </c>
      <c r="G406" s="513">
        <v>27000</v>
      </c>
      <c r="H406" s="513">
        <v>27000</v>
      </c>
      <c r="I406" s="513">
        <v>27000</v>
      </c>
      <c r="J406" s="513">
        <v>27000</v>
      </c>
      <c r="K406" s="513">
        <v>27000</v>
      </c>
    </row>
    <row r="407" spans="1:11" customFormat="1" ht="15" x14ac:dyDescent="0.25">
      <c r="A407" s="520">
        <v>3237</v>
      </c>
      <c r="B407" s="521" t="s">
        <v>30</v>
      </c>
      <c r="C407" s="513">
        <v>20000</v>
      </c>
      <c r="D407" s="513">
        <v>19000</v>
      </c>
      <c r="E407" s="513"/>
      <c r="F407" s="513">
        <f t="shared" si="328"/>
        <v>1000</v>
      </c>
      <c r="G407" s="513">
        <v>20000</v>
      </c>
      <c r="H407" s="513">
        <v>20000</v>
      </c>
      <c r="I407" s="513">
        <v>20000</v>
      </c>
      <c r="J407" s="513">
        <v>20000</v>
      </c>
      <c r="K407" s="513">
        <v>20000</v>
      </c>
    </row>
    <row r="408" spans="1:11" customFormat="1" ht="15" x14ac:dyDescent="0.25">
      <c r="A408" s="519">
        <v>329</v>
      </c>
      <c r="B408" s="509" t="s">
        <v>33</v>
      </c>
      <c r="C408" s="552">
        <f>SUM(C409)</f>
        <v>66000</v>
      </c>
      <c r="D408" s="552">
        <f t="shared" ref="D408:E408" si="335">SUM(D409:D409)</f>
        <v>65000</v>
      </c>
      <c r="E408" s="552">
        <f t="shared" si="335"/>
        <v>0</v>
      </c>
      <c r="F408" s="552">
        <f>SUM(F409)</f>
        <v>1000</v>
      </c>
      <c r="G408" s="552">
        <f>SUM(G409)</f>
        <v>66000</v>
      </c>
      <c r="H408" s="552">
        <f>SUM(H409)</f>
        <v>66000</v>
      </c>
      <c r="I408" s="552">
        <f>SUM(I409)</f>
        <v>66000</v>
      </c>
      <c r="J408" s="552">
        <f t="shared" ref="J408:K408" si="336">SUM(J409)</f>
        <v>66000</v>
      </c>
      <c r="K408" s="552">
        <f t="shared" si="336"/>
        <v>66000</v>
      </c>
    </row>
    <row r="409" spans="1:11" customFormat="1" ht="15" x14ac:dyDescent="0.25">
      <c r="A409" s="511">
        <v>3299</v>
      </c>
      <c r="B409" s="535" t="s">
        <v>33</v>
      </c>
      <c r="C409" s="513">
        <v>66000</v>
      </c>
      <c r="D409" s="513">
        <v>65000</v>
      </c>
      <c r="E409" s="513"/>
      <c r="F409" s="513">
        <f t="shared" si="328"/>
        <v>1000</v>
      </c>
      <c r="G409" s="513">
        <v>66000</v>
      </c>
      <c r="H409" s="513">
        <v>66000</v>
      </c>
      <c r="I409" s="513">
        <v>66000</v>
      </c>
      <c r="J409" s="513">
        <v>66000</v>
      </c>
      <c r="K409" s="513">
        <v>66000</v>
      </c>
    </row>
    <row r="410" spans="1:11" customFormat="1" ht="25.5" x14ac:dyDescent="0.25">
      <c r="A410" s="505" t="s">
        <v>330</v>
      </c>
      <c r="B410" s="517" t="s">
        <v>331</v>
      </c>
      <c r="C410" s="507">
        <f>SUM(C411)</f>
        <v>27000</v>
      </c>
      <c r="D410" s="507">
        <f t="shared" ref="D410:K410" si="337">SUM(D411)</f>
        <v>0</v>
      </c>
      <c r="E410" s="507">
        <f t="shared" si="337"/>
        <v>0</v>
      </c>
      <c r="F410" s="507">
        <f t="shared" si="337"/>
        <v>27000</v>
      </c>
      <c r="G410" s="507">
        <f>SUM(G411)</f>
        <v>27000</v>
      </c>
      <c r="H410" s="507">
        <f>SUM(H411)</f>
        <v>27000</v>
      </c>
      <c r="I410" s="507">
        <f t="shared" si="337"/>
        <v>27000</v>
      </c>
      <c r="J410" s="507">
        <f t="shared" si="337"/>
        <v>27000</v>
      </c>
      <c r="K410" s="507">
        <f t="shared" si="337"/>
        <v>27000</v>
      </c>
    </row>
    <row r="411" spans="1:11" customFormat="1" ht="15" x14ac:dyDescent="0.25">
      <c r="A411" s="519">
        <v>422</v>
      </c>
      <c r="B411" s="523" t="s">
        <v>53</v>
      </c>
      <c r="C411" s="510">
        <f t="shared" ref="C411:K411" si="338">SUM(C412)</f>
        <v>27000</v>
      </c>
      <c r="D411" s="510">
        <f t="shared" si="338"/>
        <v>0</v>
      </c>
      <c r="E411" s="510">
        <f t="shared" si="338"/>
        <v>0</v>
      </c>
      <c r="F411" s="510">
        <f t="shared" si="338"/>
        <v>27000</v>
      </c>
      <c r="G411" s="510">
        <f t="shared" si="338"/>
        <v>27000</v>
      </c>
      <c r="H411" s="510">
        <f t="shared" si="338"/>
        <v>27000</v>
      </c>
      <c r="I411" s="510">
        <f t="shared" si="338"/>
        <v>27000</v>
      </c>
      <c r="J411" s="510">
        <f t="shared" si="338"/>
        <v>27000</v>
      </c>
      <c r="K411" s="510">
        <f t="shared" si="338"/>
        <v>27000</v>
      </c>
    </row>
    <row r="412" spans="1:11" customFormat="1" ht="15" x14ac:dyDescent="0.25">
      <c r="A412" s="520">
        <v>4221</v>
      </c>
      <c r="B412" s="521" t="s">
        <v>54</v>
      </c>
      <c r="C412" s="513">
        <v>27000</v>
      </c>
      <c r="D412" s="513"/>
      <c r="E412" s="513"/>
      <c r="F412" s="513">
        <f t="shared" ref="F412" si="339">C412-D412+E412</f>
        <v>27000</v>
      </c>
      <c r="G412" s="513">
        <v>27000</v>
      </c>
      <c r="H412" s="513">
        <v>27000</v>
      </c>
      <c r="I412" s="513">
        <v>27000</v>
      </c>
      <c r="J412" s="513">
        <v>27000</v>
      </c>
      <c r="K412" s="513">
        <v>27000</v>
      </c>
    </row>
    <row r="413" spans="1:11" customFormat="1" ht="43.5" customHeight="1" x14ac:dyDescent="0.25">
      <c r="A413" s="501" t="s">
        <v>276</v>
      </c>
      <c r="B413" s="502" t="s">
        <v>280</v>
      </c>
      <c r="C413" s="503">
        <f t="shared" ref="C413:K413" si="340">SUM(C414)</f>
        <v>0</v>
      </c>
      <c r="D413" s="503">
        <f t="shared" si="340"/>
        <v>0</v>
      </c>
      <c r="E413" s="503">
        <f t="shared" si="340"/>
        <v>0</v>
      </c>
      <c r="F413" s="503">
        <f t="shared" si="340"/>
        <v>0</v>
      </c>
      <c r="G413" s="503">
        <f t="shared" si="340"/>
        <v>0</v>
      </c>
      <c r="H413" s="503">
        <f t="shared" si="340"/>
        <v>0</v>
      </c>
      <c r="I413" s="503">
        <f t="shared" si="340"/>
        <v>0</v>
      </c>
      <c r="J413" s="503">
        <f t="shared" si="340"/>
        <v>0</v>
      </c>
      <c r="K413" s="503">
        <f t="shared" si="340"/>
        <v>0</v>
      </c>
    </row>
    <row r="414" spans="1:11" customFormat="1" ht="18" customHeight="1" x14ac:dyDescent="0.25">
      <c r="A414" s="710" t="s">
        <v>106</v>
      </c>
      <c r="B414" s="710"/>
      <c r="C414" s="504">
        <f>SUM(C420,C447)</f>
        <v>0</v>
      </c>
      <c r="D414" s="504">
        <f t="shared" ref="D414:F414" si="341">SUM(D420,D447)</f>
        <v>0</v>
      </c>
      <c r="E414" s="504">
        <f t="shared" si="341"/>
        <v>0</v>
      </c>
      <c r="F414" s="504">
        <f t="shared" si="341"/>
        <v>0</v>
      </c>
      <c r="G414" s="504">
        <f t="shared" ref="G414:H414" si="342">SUM(G420,G447)</f>
        <v>0</v>
      </c>
      <c r="H414" s="504">
        <f t="shared" si="342"/>
        <v>0</v>
      </c>
      <c r="I414" s="504">
        <f t="shared" ref="I414:J414" si="343">SUM(I420,I447)</f>
        <v>0</v>
      </c>
      <c r="J414" s="504">
        <f t="shared" si="343"/>
        <v>0</v>
      </c>
      <c r="K414" s="504">
        <f t="shared" ref="K414" si="344">SUM(K420,K447)</f>
        <v>0</v>
      </c>
    </row>
    <row r="415" spans="1:11" s="6" customFormat="1" ht="15" hidden="1" x14ac:dyDescent="0.25">
      <c r="A415" s="519" t="s">
        <v>143</v>
      </c>
      <c r="B415" s="523" t="s">
        <v>220</v>
      </c>
      <c r="C415" s="533">
        <f t="shared" ref="C415:D415" si="345">SUM(C416)</f>
        <v>0</v>
      </c>
      <c r="D415" s="533">
        <f t="shared" si="345"/>
        <v>0</v>
      </c>
      <c r="E415" s="533"/>
      <c r="F415" s="533"/>
      <c r="G415" s="533"/>
      <c r="H415" s="533"/>
      <c r="I415" s="533"/>
      <c r="J415" s="533"/>
      <c r="K415" s="533"/>
    </row>
    <row r="416" spans="1:11" customFormat="1" ht="15" hidden="1" x14ac:dyDescent="0.25">
      <c r="A416" s="520" t="s">
        <v>145</v>
      </c>
      <c r="B416" s="521" t="s">
        <v>6</v>
      </c>
      <c r="C416" s="522"/>
      <c r="D416" s="522"/>
      <c r="E416" s="522"/>
      <c r="F416" s="522"/>
      <c r="G416" s="522"/>
      <c r="H416" s="522"/>
      <c r="I416" s="522"/>
      <c r="J416" s="522"/>
      <c r="K416" s="522"/>
    </row>
    <row r="417" spans="1:11" s="6" customFormat="1" ht="15" hidden="1" x14ac:dyDescent="0.25">
      <c r="A417" s="519" t="s">
        <v>146</v>
      </c>
      <c r="B417" s="523" t="s">
        <v>126</v>
      </c>
      <c r="C417" s="533">
        <f t="shared" ref="C417:D417" si="346">SUM(C418:C419)</f>
        <v>0</v>
      </c>
      <c r="D417" s="533">
        <f t="shared" si="346"/>
        <v>0</v>
      </c>
      <c r="E417" s="533"/>
      <c r="F417" s="533"/>
      <c r="G417" s="533"/>
      <c r="H417" s="533"/>
      <c r="I417" s="533"/>
      <c r="J417" s="533"/>
      <c r="K417" s="533"/>
    </row>
    <row r="418" spans="1:11" customFormat="1" ht="25.5" hidden="1" x14ac:dyDescent="0.25">
      <c r="A418" s="520" t="s">
        <v>147</v>
      </c>
      <c r="B418" s="521" t="s">
        <v>127</v>
      </c>
      <c r="C418" s="522"/>
      <c r="D418" s="522"/>
      <c r="E418" s="522"/>
      <c r="F418" s="522"/>
      <c r="G418" s="522"/>
      <c r="H418" s="522"/>
      <c r="I418" s="522"/>
      <c r="J418" s="522"/>
      <c r="K418" s="522"/>
    </row>
    <row r="419" spans="1:11" customFormat="1" ht="25.5" hidden="1" x14ac:dyDescent="0.25">
      <c r="A419" s="520" t="s">
        <v>148</v>
      </c>
      <c r="B419" s="521" t="s">
        <v>128</v>
      </c>
      <c r="C419" s="522"/>
      <c r="D419" s="522"/>
      <c r="E419" s="522"/>
      <c r="F419" s="522"/>
      <c r="G419" s="522"/>
      <c r="H419" s="522"/>
      <c r="I419" s="522"/>
      <c r="J419" s="522"/>
      <c r="K419" s="522"/>
    </row>
    <row r="420" spans="1:11" customFormat="1" ht="15" x14ac:dyDescent="0.25">
      <c r="A420" s="516" t="s">
        <v>324</v>
      </c>
      <c r="B420" s="516" t="s">
        <v>325</v>
      </c>
      <c r="C420" s="549">
        <f>SUM(C421,C423,C428,C435)</f>
        <v>0</v>
      </c>
      <c r="D420" s="549">
        <f t="shared" ref="D420:F420" si="347">SUM(D421,D423,D428,D435)</f>
        <v>0</v>
      </c>
      <c r="E420" s="549">
        <f t="shared" si="347"/>
        <v>0</v>
      </c>
      <c r="F420" s="549">
        <f t="shared" si="347"/>
        <v>0</v>
      </c>
      <c r="G420" s="549">
        <f t="shared" ref="G420:H420" si="348">SUM(G421,G423,G428,G435)</f>
        <v>0</v>
      </c>
      <c r="H420" s="549">
        <f t="shared" si="348"/>
        <v>0</v>
      </c>
      <c r="I420" s="549">
        <f t="shared" ref="I420:J420" si="349">SUM(I421,I423,I428,I435)</f>
        <v>0</v>
      </c>
      <c r="J420" s="549">
        <f t="shared" si="349"/>
        <v>0</v>
      </c>
      <c r="K420" s="549">
        <f t="shared" ref="K420" si="350">SUM(K421,K423,K428,K435)</f>
        <v>0</v>
      </c>
    </row>
    <row r="421" spans="1:11" s="6" customFormat="1" ht="15" x14ac:dyDescent="0.25">
      <c r="A421" s="519" t="s">
        <v>149</v>
      </c>
      <c r="B421" s="523" t="s">
        <v>12</v>
      </c>
      <c r="C421" s="533">
        <f t="shared" ref="C421:K421" si="351">SUM(C422)</f>
        <v>0</v>
      </c>
      <c r="D421" s="533">
        <f t="shared" si="351"/>
        <v>0</v>
      </c>
      <c r="E421" s="533">
        <f t="shared" si="351"/>
        <v>0</v>
      </c>
      <c r="F421" s="533">
        <f t="shared" si="351"/>
        <v>0</v>
      </c>
      <c r="G421" s="533">
        <f t="shared" si="351"/>
        <v>0</v>
      </c>
      <c r="H421" s="533">
        <f t="shared" si="351"/>
        <v>0</v>
      </c>
      <c r="I421" s="533">
        <f t="shared" si="351"/>
        <v>0</v>
      </c>
      <c r="J421" s="533">
        <f t="shared" si="351"/>
        <v>0</v>
      </c>
      <c r="K421" s="533">
        <f t="shared" si="351"/>
        <v>0</v>
      </c>
    </row>
    <row r="422" spans="1:11" customFormat="1" ht="15" x14ac:dyDescent="0.25">
      <c r="A422" s="520">
        <v>3211</v>
      </c>
      <c r="B422" s="521" t="s">
        <v>13</v>
      </c>
      <c r="C422" s="522">
        <v>0</v>
      </c>
      <c r="D422" s="522"/>
      <c r="E422" s="522"/>
      <c r="F422" s="513">
        <f t="shared" ref="F422:F427" si="352">C422-D422+E422</f>
        <v>0</v>
      </c>
      <c r="G422" s="522"/>
      <c r="H422" s="522"/>
      <c r="I422" s="522"/>
      <c r="J422" s="522"/>
      <c r="K422" s="522"/>
    </row>
    <row r="423" spans="1:11" s="6" customFormat="1" ht="15" x14ac:dyDescent="0.25">
      <c r="A423" s="519" t="s">
        <v>153</v>
      </c>
      <c r="B423" s="523" t="s">
        <v>16</v>
      </c>
      <c r="C423" s="533">
        <f t="shared" ref="C423:F423" si="353">SUM(C424:C427)</f>
        <v>0</v>
      </c>
      <c r="D423" s="533">
        <f t="shared" si="353"/>
        <v>0</v>
      </c>
      <c r="E423" s="533">
        <f t="shared" si="353"/>
        <v>0</v>
      </c>
      <c r="F423" s="533">
        <f t="shared" si="353"/>
        <v>0</v>
      </c>
      <c r="G423" s="533">
        <f t="shared" ref="G423:H423" si="354">SUM(G424:G427)</f>
        <v>0</v>
      </c>
      <c r="H423" s="533">
        <f t="shared" si="354"/>
        <v>0</v>
      </c>
      <c r="I423" s="533">
        <f t="shared" ref="I423:J423" si="355">SUM(I424:I427)</f>
        <v>0</v>
      </c>
      <c r="J423" s="533">
        <f t="shared" si="355"/>
        <v>0</v>
      </c>
      <c r="K423" s="533">
        <f t="shared" ref="K423" si="356">SUM(K424:K427)</f>
        <v>0</v>
      </c>
    </row>
    <row r="424" spans="1:11" customFormat="1" ht="15" x14ac:dyDescent="0.25">
      <c r="A424" s="520" t="s">
        <v>154</v>
      </c>
      <c r="B424" s="521" t="s">
        <v>17</v>
      </c>
      <c r="C424" s="522"/>
      <c r="D424" s="522"/>
      <c r="E424" s="522"/>
      <c r="F424" s="513">
        <f t="shared" si="352"/>
        <v>0</v>
      </c>
      <c r="G424" s="522"/>
      <c r="H424" s="522"/>
      <c r="I424" s="522"/>
      <c r="J424" s="522"/>
      <c r="K424" s="522"/>
    </row>
    <row r="425" spans="1:11" customFormat="1" ht="15" x14ac:dyDescent="0.25">
      <c r="A425" s="520" t="s">
        <v>155</v>
      </c>
      <c r="B425" s="521" t="s">
        <v>18</v>
      </c>
      <c r="C425" s="522"/>
      <c r="D425" s="522"/>
      <c r="E425" s="522"/>
      <c r="F425" s="513">
        <f t="shared" si="352"/>
        <v>0</v>
      </c>
      <c r="G425" s="522"/>
      <c r="H425" s="522"/>
      <c r="I425" s="522"/>
      <c r="J425" s="522"/>
      <c r="K425" s="522"/>
    </row>
    <row r="426" spans="1:11" customFormat="1" ht="15" hidden="1" x14ac:dyDescent="0.25">
      <c r="A426" s="520" t="s">
        <v>156</v>
      </c>
      <c r="B426" s="521" t="s">
        <v>19</v>
      </c>
      <c r="C426" s="522"/>
      <c r="D426" s="522"/>
      <c r="E426" s="522"/>
      <c r="F426" s="513">
        <f t="shared" si="352"/>
        <v>0</v>
      </c>
      <c r="G426" s="522"/>
      <c r="H426" s="522"/>
      <c r="I426" s="522"/>
      <c r="J426" s="522"/>
      <c r="K426" s="522"/>
    </row>
    <row r="427" spans="1:11" customFormat="1" ht="15" x14ac:dyDescent="0.25">
      <c r="A427" s="520">
        <v>3227</v>
      </c>
      <c r="B427" s="521" t="s">
        <v>22</v>
      </c>
      <c r="C427" s="522"/>
      <c r="D427" s="522"/>
      <c r="E427" s="522"/>
      <c r="F427" s="513">
        <f t="shared" si="352"/>
        <v>0</v>
      </c>
      <c r="G427" s="522"/>
      <c r="H427" s="522"/>
      <c r="I427" s="522"/>
      <c r="J427" s="522"/>
      <c r="K427" s="522"/>
    </row>
    <row r="428" spans="1:11" s="6" customFormat="1" ht="15" x14ac:dyDescent="0.25">
      <c r="A428" s="519" t="s">
        <v>159</v>
      </c>
      <c r="B428" s="523" t="s">
        <v>123</v>
      </c>
      <c r="C428" s="533">
        <f t="shared" ref="C428:F428" si="357">SUM(C429:C434)</f>
        <v>0</v>
      </c>
      <c r="D428" s="533">
        <f t="shared" si="357"/>
        <v>0</v>
      </c>
      <c r="E428" s="533">
        <f t="shared" si="357"/>
        <v>0</v>
      </c>
      <c r="F428" s="533">
        <f t="shared" si="357"/>
        <v>0</v>
      </c>
      <c r="G428" s="533">
        <f t="shared" ref="G428:H428" si="358">SUM(G429:G434)</f>
        <v>0</v>
      </c>
      <c r="H428" s="533">
        <f t="shared" si="358"/>
        <v>0</v>
      </c>
      <c r="I428" s="533">
        <f t="shared" ref="I428:J428" si="359">SUM(I429:I434)</f>
        <v>0</v>
      </c>
      <c r="J428" s="533">
        <f t="shared" si="359"/>
        <v>0</v>
      </c>
      <c r="K428" s="533">
        <f t="shared" ref="K428" si="360">SUM(K429:K434)</f>
        <v>0</v>
      </c>
    </row>
    <row r="429" spans="1:11" customFormat="1" ht="15" hidden="1" x14ac:dyDescent="0.25">
      <c r="A429" s="520" t="s">
        <v>160</v>
      </c>
      <c r="B429" s="521" t="s">
        <v>24</v>
      </c>
      <c r="C429" s="522"/>
      <c r="D429" s="522"/>
      <c r="E429" s="522"/>
      <c r="F429" s="522"/>
      <c r="G429" s="522"/>
      <c r="H429" s="522"/>
      <c r="I429" s="522"/>
      <c r="J429" s="522"/>
      <c r="K429" s="522"/>
    </row>
    <row r="430" spans="1:11" customFormat="1" ht="15" hidden="1" x14ac:dyDescent="0.25">
      <c r="A430" s="520" t="s">
        <v>161</v>
      </c>
      <c r="B430" s="521" t="s">
        <v>25</v>
      </c>
      <c r="C430" s="522"/>
      <c r="D430" s="522"/>
      <c r="E430" s="522"/>
      <c r="F430" s="522"/>
      <c r="G430" s="522"/>
      <c r="H430" s="522"/>
      <c r="I430" s="522"/>
      <c r="J430" s="522"/>
      <c r="K430" s="522"/>
    </row>
    <row r="431" spans="1:11" customFormat="1" ht="15" x14ac:dyDescent="0.25">
      <c r="A431" s="520" t="s">
        <v>162</v>
      </c>
      <c r="B431" s="521" t="s">
        <v>26</v>
      </c>
      <c r="C431" s="522"/>
      <c r="D431" s="522"/>
      <c r="E431" s="522"/>
      <c r="F431" s="513">
        <f t="shared" ref="F431:F436" si="361">C431-D431+E431</f>
        <v>0</v>
      </c>
      <c r="G431" s="522"/>
      <c r="H431" s="522"/>
      <c r="I431" s="522"/>
      <c r="J431" s="522"/>
      <c r="K431" s="522"/>
    </row>
    <row r="432" spans="1:11" customFormat="1" ht="15" hidden="1" x14ac:dyDescent="0.25">
      <c r="A432" s="520" t="s">
        <v>164</v>
      </c>
      <c r="B432" s="521" t="s">
        <v>28</v>
      </c>
      <c r="C432" s="522"/>
      <c r="D432" s="522"/>
      <c r="E432" s="522"/>
      <c r="F432" s="513">
        <f t="shared" si="361"/>
        <v>0</v>
      </c>
      <c r="G432" s="522"/>
      <c r="H432" s="522"/>
      <c r="I432" s="522"/>
      <c r="J432" s="522"/>
      <c r="K432" s="522"/>
    </row>
    <row r="433" spans="1:11" customFormat="1" ht="15" x14ac:dyDescent="0.25">
      <c r="A433" s="520">
        <v>3237</v>
      </c>
      <c r="B433" s="521" t="s">
        <v>30</v>
      </c>
      <c r="C433" s="522"/>
      <c r="D433" s="522"/>
      <c r="E433" s="522"/>
      <c r="F433" s="513">
        <f t="shared" si="361"/>
        <v>0</v>
      </c>
      <c r="G433" s="522"/>
      <c r="H433" s="522"/>
      <c r="I433" s="522"/>
      <c r="J433" s="522"/>
      <c r="K433" s="522"/>
    </row>
    <row r="434" spans="1:11" customFormat="1" ht="15" x14ac:dyDescent="0.25">
      <c r="A434" s="520" t="s">
        <v>167</v>
      </c>
      <c r="B434" s="521" t="s">
        <v>31</v>
      </c>
      <c r="C434" s="522"/>
      <c r="D434" s="522"/>
      <c r="E434" s="522"/>
      <c r="F434" s="513">
        <f t="shared" si="361"/>
        <v>0</v>
      </c>
      <c r="G434" s="522"/>
      <c r="H434" s="522"/>
      <c r="I434" s="522"/>
      <c r="J434" s="522"/>
      <c r="K434" s="522"/>
    </row>
    <row r="435" spans="1:11" s="6" customFormat="1" ht="25.5" x14ac:dyDescent="0.25">
      <c r="A435" s="519" t="s">
        <v>168</v>
      </c>
      <c r="B435" s="523" t="s">
        <v>32</v>
      </c>
      <c r="C435" s="533">
        <f t="shared" ref="C435:K435" si="362">SUM(C436)</f>
        <v>0</v>
      </c>
      <c r="D435" s="533">
        <f t="shared" si="362"/>
        <v>0</v>
      </c>
      <c r="E435" s="533">
        <f t="shared" si="362"/>
        <v>0</v>
      </c>
      <c r="F435" s="533">
        <f t="shared" si="362"/>
        <v>0</v>
      </c>
      <c r="G435" s="533">
        <f t="shared" si="362"/>
        <v>0</v>
      </c>
      <c r="H435" s="533">
        <f t="shared" si="362"/>
        <v>0</v>
      </c>
      <c r="I435" s="533">
        <f t="shared" si="362"/>
        <v>0</v>
      </c>
      <c r="J435" s="533">
        <f t="shared" si="362"/>
        <v>0</v>
      </c>
      <c r="K435" s="533">
        <f t="shared" si="362"/>
        <v>0</v>
      </c>
    </row>
    <row r="436" spans="1:11" customFormat="1" ht="25.5" x14ac:dyDescent="0.25">
      <c r="A436" s="520" t="s">
        <v>169</v>
      </c>
      <c r="B436" s="521" t="s">
        <v>32</v>
      </c>
      <c r="C436" s="522"/>
      <c r="D436" s="522"/>
      <c r="E436" s="522"/>
      <c r="F436" s="513">
        <f t="shared" si="361"/>
        <v>0</v>
      </c>
      <c r="G436" s="522"/>
      <c r="H436" s="522"/>
      <c r="I436" s="522"/>
      <c r="J436" s="522"/>
      <c r="K436" s="522"/>
    </row>
    <row r="437" spans="1:11" s="6" customFormat="1" ht="15" hidden="1" x14ac:dyDescent="0.25">
      <c r="A437" s="519" t="s">
        <v>170</v>
      </c>
      <c r="B437" s="523" t="s">
        <v>33</v>
      </c>
      <c r="C437" s="533">
        <f t="shared" ref="C437:D437" si="363">SUM(C438:C440)</f>
        <v>0</v>
      </c>
      <c r="D437" s="533">
        <f t="shared" si="363"/>
        <v>0</v>
      </c>
      <c r="E437" s="533"/>
      <c r="F437" s="533"/>
      <c r="G437" s="533"/>
      <c r="H437" s="533"/>
      <c r="I437" s="533"/>
      <c r="J437" s="533"/>
      <c r="K437" s="533"/>
    </row>
    <row r="438" spans="1:11" customFormat="1" ht="15" hidden="1" x14ac:dyDescent="0.25">
      <c r="A438" s="520" t="s">
        <v>171</v>
      </c>
      <c r="B438" s="521" t="s">
        <v>35</v>
      </c>
      <c r="C438" s="522"/>
      <c r="D438" s="522"/>
      <c r="E438" s="522"/>
      <c r="F438" s="522"/>
      <c r="G438" s="522"/>
      <c r="H438" s="522"/>
      <c r="I438" s="522"/>
      <c r="J438" s="522"/>
      <c r="K438" s="522"/>
    </row>
    <row r="439" spans="1:11" customFormat="1" ht="15" hidden="1" x14ac:dyDescent="0.25">
      <c r="A439" s="520" t="s">
        <v>172</v>
      </c>
      <c r="B439" s="521" t="s">
        <v>36</v>
      </c>
      <c r="C439" s="522"/>
      <c r="D439" s="522"/>
      <c r="E439" s="522"/>
      <c r="F439" s="522"/>
      <c r="G439" s="522"/>
      <c r="H439" s="522"/>
      <c r="I439" s="522"/>
      <c r="J439" s="522"/>
      <c r="K439" s="522"/>
    </row>
    <row r="440" spans="1:11" customFormat="1" ht="15" hidden="1" x14ac:dyDescent="0.25">
      <c r="A440" s="520" t="s">
        <v>173</v>
      </c>
      <c r="B440" s="521" t="s">
        <v>33</v>
      </c>
      <c r="C440" s="522"/>
      <c r="D440" s="522"/>
      <c r="E440" s="522"/>
      <c r="F440" s="522"/>
      <c r="G440" s="522"/>
      <c r="H440" s="522"/>
      <c r="I440" s="522"/>
      <c r="J440" s="522"/>
      <c r="K440" s="522"/>
    </row>
    <row r="441" spans="1:11" s="6" customFormat="1" ht="25.5" hidden="1" x14ac:dyDescent="0.25">
      <c r="A441" s="519" t="s">
        <v>249</v>
      </c>
      <c r="B441" s="523" t="s">
        <v>231</v>
      </c>
      <c r="C441" s="533">
        <f t="shared" ref="C441:D441" si="364">SUM(C442)</f>
        <v>0</v>
      </c>
      <c r="D441" s="533">
        <f t="shared" si="364"/>
        <v>0</v>
      </c>
      <c r="E441" s="533"/>
      <c r="F441" s="533"/>
      <c r="G441" s="533"/>
      <c r="H441" s="533"/>
      <c r="I441" s="533"/>
      <c r="J441" s="533"/>
      <c r="K441" s="533"/>
    </row>
    <row r="442" spans="1:11" customFormat="1" ht="25.5" hidden="1" x14ac:dyDescent="0.25">
      <c r="A442" s="520" t="s">
        <v>250</v>
      </c>
      <c r="B442" s="521" t="s">
        <v>251</v>
      </c>
      <c r="C442" s="522"/>
      <c r="D442" s="522"/>
      <c r="E442" s="522"/>
      <c r="F442" s="522"/>
      <c r="G442" s="522"/>
      <c r="H442" s="522"/>
      <c r="I442" s="522"/>
      <c r="J442" s="522"/>
      <c r="K442" s="522"/>
    </row>
    <row r="443" spans="1:11" s="6" customFormat="1" ht="15" hidden="1" x14ac:dyDescent="0.25">
      <c r="A443" s="519" t="s">
        <v>139</v>
      </c>
      <c r="B443" s="523" t="s">
        <v>124</v>
      </c>
      <c r="C443" s="533">
        <f t="shared" ref="C443:D443" si="365">SUM(C444)</f>
        <v>0</v>
      </c>
      <c r="D443" s="533">
        <f t="shared" si="365"/>
        <v>0</v>
      </c>
      <c r="E443" s="533"/>
      <c r="F443" s="533"/>
      <c r="G443" s="533"/>
      <c r="H443" s="533"/>
      <c r="I443" s="533"/>
      <c r="J443" s="533"/>
      <c r="K443" s="533"/>
    </row>
    <row r="444" spans="1:11" customFormat="1" ht="15" hidden="1" x14ac:dyDescent="0.25">
      <c r="A444" s="520" t="s">
        <v>140</v>
      </c>
      <c r="B444" s="521" t="s">
        <v>46</v>
      </c>
      <c r="C444" s="522"/>
      <c r="D444" s="522"/>
      <c r="E444" s="522"/>
      <c r="F444" s="522"/>
      <c r="G444" s="522"/>
      <c r="H444" s="522"/>
      <c r="I444" s="522"/>
      <c r="J444" s="522"/>
      <c r="K444" s="522"/>
    </row>
    <row r="445" spans="1:11" s="6" customFormat="1" ht="15" hidden="1" x14ac:dyDescent="0.25">
      <c r="A445" s="519" t="s">
        <v>193</v>
      </c>
      <c r="B445" s="523" t="s">
        <v>73</v>
      </c>
      <c r="C445" s="533">
        <f t="shared" ref="C445:D445" si="366">SUM(C446)</f>
        <v>0</v>
      </c>
      <c r="D445" s="533">
        <f t="shared" si="366"/>
        <v>0</v>
      </c>
      <c r="E445" s="533"/>
      <c r="F445" s="533"/>
      <c r="G445" s="533"/>
      <c r="H445" s="533"/>
      <c r="I445" s="533"/>
      <c r="J445" s="533"/>
      <c r="K445" s="533"/>
    </row>
    <row r="446" spans="1:11" customFormat="1" ht="15" hidden="1" x14ac:dyDescent="0.25">
      <c r="A446" s="520" t="s">
        <v>194</v>
      </c>
      <c r="B446" s="521" t="s">
        <v>88</v>
      </c>
      <c r="C446" s="522"/>
      <c r="D446" s="522"/>
      <c r="E446" s="522"/>
      <c r="F446" s="522"/>
      <c r="G446" s="522"/>
      <c r="H446" s="522"/>
      <c r="I446" s="522"/>
      <c r="J446" s="522"/>
      <c r="K446" s="522"/>
    </row>
    <row r="447" spans="1:11" customFormat="1" ht="25.5" x14ac:dyDescent="0.25">
      <c r="A447" s="505" t="s">
        <v>330</v>
      </c>
      <c r="B447" s="517" t="s">
        <v>331</v>
      </c>
      <c r="C447" s="507">
        <f>SUM(C448)</f>
        <v>0</v>
      </c>
      <c r="D447" s="507">
        <f t="shared" ref="D447:K447" si="367">SUM(D448)</f>
        <v>0</v>
      </c>
      <c r="E447" s="507">
        <f t="shared" si="367"/>
        <v>0</v>
      </c>
      <c r="F447" s="507">
        <f t="shared" si="367"/>
        <v>0</v>
      </c>
      <c r="G447" s="507">
        <f t="shared" si="367"/>
        <v>0</v>
      </c>
      <c r="H447" s="507">
        <f t="shared" si="367"/>
        <v>0</v>
      </c>
      <c r="I447" s="507">
        <f t="shared" si="367"/>
        <v>0</v>
      </c>
      <c r="J447" s="507">
        <f t="shared" si="367"/>
        <v>0</v>
      </c>
      <c r="K447" s="507">
        <f t="shared" si="367"/>
        <v>0</v>
      </c>
    </row>
    <row r="448" spans="1:11" customFormat="1" ht="14.25" customHeight="1" x14ac:dyDescent="0.25">
      <c r="A448" s="519">
        <v>422</v>
      </c>
      <c r="B448" s="523" t="s">
        <v>53</v>
      </c>
      <c r="C448" s="510">
        <f>SUM(C449:C451)</f>
        <v>0</v>
      </c>
      <c r="D448" s="510">
        <f t="shared" ref="D448:F448" si="368">SUM(D449:D451)</f>
        <v>0</v>
      </c>
      <c r="E448" s="510">
        <f t="shared" si="368"/>
        <v>0</v>
      </c>
      <c r="F448" s="510">
        <f t="shared" si="368"/>
        <v>0</v>
      </c>
      <c r="G448" s="510">
        <f t="shared" ref="G448:H448" si="369">SUM(G449:G451)</f>
        <v>0</v>
      </c>
      <c r="H448" s="510">
        <f t="shared" si="369"/>
        <v>0</v>
      </c>
      <c r="I448" s="510">
        <f t="shared" ref="I448:J448" si="370">SUM(I449:I451)</f>
        <v>0</v>
      </c>
      <c r="J448" s="510">
        <f t="shared" si="370"/>
        <v>0</v>
      </c>
      <c r="K448" s="510">
        <f t="shared" ref="K448" si="371">SUM(K449:K451)</f>
        <v>0</v>
      </c>
    </row>
    <row r="449" spans="1:11" customFormat="1" ht="15.75" customHeight="1" x14ac:dyDescent="0.25">
      <c r="A449" s="520">
        <v>4222</v>
      </c>
      <c r="B449" s="521" t="s">
        <v>58</v>
      </c>
      <c r="C449" s="513"/>
      <c r="D449" s="513"/>
      <c r="E449" s="513"/>
      <c r="F449" s="513">
        <f t="shared" ref="F449:F451" si="372">C449-D449+E449</f>
        <v>0</v>
      </c>
      <c r="G449" s="513"/>
      <c r="H449" s="513"/>
      <c r="I449" s="513"/>
      <c r="J449" s="513"/>
      <c r="K449" s="513"/>
    </row>
    <row r="450" spans="1:11" customFormat="1" ht="15" x14ac:dyDescent="0.25">
      <c r="A450" s="520">
        <v>4223</v>
      </c>
      <c r="B450" s="521" t="s">
        <v>59</v>
      </c>
      <c r="C450" s="513"/>
      <c r="D450" s="513"/>
      <c r="E450" s="513"/>
      <c r="F450" s="513">
        <f t="shared" si="372"/>
        <v>0</v>
      </c>
      <c r="G450" s="513"/>
      <c r="H450" s="513"/>
      <c r="I450" s="513"/>
      <c r="J450" s="513"/>
      <c r="K450" s="513"/>
    </row>
    <row r="451" spans="1:11" customFormat="1" ht="15" x14ac:dyDescent="0.25">
      <c r="A451" s="520">
        <v>4224</v>
      </c>
      <c r="B451" s="521" t="s">
        <v>285</v>
      </c>
      <c r="C451" s="513"/>
      <c r="D451" s="513"/>
      <c r="E451" s="513"/>
      <c r="F451" s="513">
        <f t="shared" si="372"/>
        <v>0</v>
      </c>
      <c r="G451" s="513"/>
      <c r="H451" s="513"/>
      <c r="I451" s="513"/>
      <c r="J451" s="513"/>
      <c r="K451" s="513"/>
    </row>
    <row r="452" spans="1:11" customFormat="1" ht="43.5" customHeight="1" x14ac:dyDescent="0.25">
      <c r="A452" s="561" t="s">
        <v>278</v>
      </c>
      <c r="B452" s="562" t="s">
        <v>279</v>
      </c>
      <c r="C452" s="503">
        <f t="shared" ref="C452:K452" si="373">SUM(C453)</f>
        <v>787000</v>
      </c>
      <c r="D452" s="503">
        <f t="shared" si="373"/>
        <v>589000</v>
      </c>
      <c r="E452" s="503">
        <f t="shared" si="373"/>
        <v>6000</v>
      </c>
      <c r="F452" s="503">
        <f t="shared" si="373"/>
        <v>204000</v>
      </c>
      <c r="G452" s="503">
        <f t="shared" si="373"/>
        <v>645000</v>
      </c>
      <c r="H452" s="503">
        <f t="shared" si="373"/>
        <v>107000</v>
      </c>
      <c r="I452" s="503">
        <f t="shared" si="373"/>
        <v>1025000</v>
      </c>
      <c r="J452" s="503">
        <f t="shared" si="373"/>
        <v>89000</v>
      </c>
      <c r="K452" s="503">
        <f t="shared" si="373"/>
        <v>0</v>
      </c>
    </row>
    <row r="453" spans="1:11" customFormat="1" ht="15" x14ac:dyDescent="0.25">
      <c r="A453" s="710" t="s">
        <v>106</v>
      </c>
      <c r="B453" s="710"/>
      <c r="C453" s="504">
        <f>SUM(C454,C460)</f>
        <v>787000</v>
      </c>
      <c r="D453" s="504">
        <f t="shared" ref="D453:F453" si="374">SUM(D454,D460)</f>
        <v>589000</v>
      </c>
      <c r="E453" s="504">
        <f t="shared" si="374"/>
        <v>6000</v>
      </c>
      <c r="F453" s="504">
        <f t="shared" si="374"/>
        <v>204000</v>
      </c>
      <c r="G453" s="504">
        <f t="shared" ref="G453:H453" si="375">SUM(G454,G460)</f>
        <v>645000</v>
      </c>
      <c r="H453" s="504">
        <f t="shared" si="375"/>
        <v>107000</v>
      </c>
      <c r="I453" s="504">
        <f t="shared" ref="I453:K453" si="376">SUM(I454,I460)</f>
        <v>1025000</v>
      </c>
      <c r="J453" s="504">
        <f t="shared" si="376"/>
        <v>89000</v>
      </c>
      <c r="K453" s="504">
        <f t="shared" si="376"/>
        <v>0</v>
      </c>
    </row>
    <row r="454" spans="1:11" customFormat="1" ht="15" x14ac:dyDescent="0.25">
      <c r="A454" s="516" t="s">
        <v>322</v>
      </c>
      <c r="B454" s="517" t="s">
        <v>323</v>
      </c>
      <c r="C454" s="518">
        <f>SUM(C455)</f>
        <v>237000</v>
      </c>
      <c r="D454" s="518">
        <f t="shared" ref="D454:K454" si="377">SUM(D455)</f>
        <v>152000</v>
      </c>
      <c r="E454" s="518">
        <f t="shared" si="377"/>
        <v>0</v>
      </c>
      <c r="F454" s="518">
        <f t="shared" si="377"/>
        <v>85000</v>
      </c>
      <c r="G454" s="518">
        <f t="shared" si="377"/>
        <v>233000</v>
      </c>
      <c r="H454" s="518">
        <f t="shared" si="377"/>
        <v>46000</v>
      </c>
      <c r="I454" s="518">
        <f t="shared" si="377"/>
        <v>314000</v>
      </c>
      <c r="J454" s="518">
        <f t="shared" si="377"/>
        <v>50000</v>
      </c>
      <c r="K454" s="518">
        <f t="shared" si="377"/>
        <v>0</v>
      </c>
    </row>
    <row r="455" spans="1:11" s="6" customFormat="1" ht="15" x14ac:dyDescent="0.25">
      <c r="A455" s="519" t="s">
        <v>143</v>
      </c>
      <c r="B455" s="523" t="s">
        <v>220</v>
      </c>
      <c r="C455" s="533">
        <f t="shared" ref="C455:K455" si="378">SUM(C456)</f>
        <v>237000</v>
      </c>
      <c r="D455" s="533">
        <f t="shared" si="378"/>
        <v>152000</v>
      </c>
      <c r="E455" s="533">
        <f t="shared" si="378"/>
        <v>0</v>
      </c>
      <c r="F455" s="533">
        <f t="shared" si="378"/>
        <v>85000</v>
      </c>
      <c r="G455" s="533">
        <f t="shared" si="378"/>
        <v>233000</v>
      </c>
      <c r="H455" s="533">
        <f t="shared" si="378"/>
        <v>46000</v>
      </c>
      <c r="I455" s="533">
        <f t="shared" si="378"/>
        <v>314000</v>
      </c>
      <c r="J455" s="533">
        <f t="shared" si="378"/>
        <v>50000</v>
      </c>
      <c r="K455" s="533">
        <f t="shared" si="378"/>
        <v>0</v>
      </c>
    </row>
    <row r="456" spans="1:11" customFormat="1" ht="13.5" customHeight="1" x14ac:dyDescent="0.25">
      <c r="A456" s="520">
        <v>3111</v>
      </c>
      <c r="B456" s="521" t="s">
        <v>5</v>
      </c>
      <c r="C456" s="522">
        <v>237000</v>
      </c>
      <c r="D456" s="522">
        <v>152000</v>
      </c>
      <c r="E456" s="522"/>
      <c r="F456" s="513">
        <f t="shared" ref="F456" si="379">C456-D456+E456</f>
        <v>85000</v>
      </c>
      <c r="G456" s="522">
        <v>233000</v>
      </c>
      <c r="H456" s="522">
        <v>46000</v>
      </c>
      <c r="I456" s="522">
        <v>314000</v>
      </c>
      <c r="J456" s="522">
        <v>50000</v>
      </c>
      <c r="K456" s="522"/>
    </row>
    <row r="457" spans="1:11" s="6" customFormat="1" ht="15" hidden="1" x14ac:dyDescent="0.25">
      <c r="A457" s="519" t="s">
        <v>146</v>
      </c>
      <c r="B457" s="523" t="s">
        <v>126</v>
      </c>
      <c r="C457" s="533">
        <f t="shared" ref="C457:D457" si="380">SUM(C458:C459)</f>
        <v>0</v>
      </c>
      <c r="D457" s="533">
        <f t="shared" si="380"/>
        <v>0</v>
      </c>
      <c r="E457" s="533"/>
      <c r="F457" s="533"/>
      <c r="G457" s="533"/>
      <c r="H457" s="533"/>
      <c r="I457" s="533"/>
      <c r="J457" s="533"/>
      <c r="K457" s="533"/>
    </row>
    <row r="458" spans="1:11" customFormat="1" ht="25.5" hidden="1" x14ac:dyDescent="0.25">
      <c r="A458" s="520" t="s">
        <v>147</v>
      </c>
      <c r="B458" s="521" t="s">
        <v>127</v>
      </c>
      <c r="C458" s="522"/>
      <c r="D458" s="522"/>
      <c r="E458" s="522"/>
      <c r="F458" s="522"/>
      <c r="G458" s="522"/>
      <c r="H458" s="522"/>
      <c r="I458" s="522"/>
      <c r="J458" s="522"/>
      <c r="K458" s="522"/>
    </row>
    <row r="459" spans="1:11" customFormat="1" ht="25.5" hidden="1" x14ac:dyDescent="0.25">
      <c r="A459" s="520" t="s">
        <v>148</v>
      </c>
      <c r="B459" s="521" t="s">
        <v>128</v>
      </c>
      <c r="C459" s="522"/>
      <c r="D459" s="522"/>
      <c r="E459" s="522"/>
      <c r="F459" s="522"/>
      <c r="G459" s="522"/>
      <c r="H459" s="522"/>
      <c r="I459" s="522"/>
      <c r="J459" s="522"/>
      <c r="K459" s="522"/>
    </row>
    <row r="460" spans="1:11" customFormat="1" ht="15" x14ac:dyDescent="0.25">
      <c r="A460" s="516" t="s">
        <v>324</v>
      </c>
      <c r="B460" s="516" t="s">
        <v>325</v>
      </c>
      <c r="C460" s="549">
        <f>SUM(C461,C469,C476)</f>
        <v>550000</v>
      </c>
      <c r="D460" s="549">
        <f t="shared" ref="D460:F460" si="381">SUM(D461,D469,D476)</f>
        <v>437000</v>
      </c>
      <c r="E460" s="549">
        <f t="shared" si="381"/>
        <v>6000</v>
      </c>
      <c r="F460" s="549">
        <f t="shared" si="381"/>
        <v>119000</v>
      </c>
      <c r="G460" s="549">
        <f t="shared" ref="G460:H460" si="382">SUM(G461,G469,G476)</f>
        <v>412000</v>
      </c>
      <c r="H460" s="549">
        <f t="shared" si="382"/>
        <v>61000</v>
      </c>
      <c r="I460" s="549">
        <f>SUM(I461,I469,I476,I478)</f>
        <v>711000</v>
      </c>
      <c r="J460" s="549">
        <f t="shared" ref="J460:K460" si="383">SUM(J461,J469,J476,J478)</f>
        <v>39000</v>
      </c>
      <c r="K460" s="549">
        <f t="shared" si="383"/>
        <v>0</v>
      </c>
    </row>
    <row r="461" spans="1:11" s="6" customFormat="1" ht="15" x14ac:dyDescent="0.25">
      <c r="A461" s="519" t="s">
        <v>149</v>
      </c>
      <c r="B461" s="523" t="s">
        <v>12</v>
      </c>
      <c r="C461" s="533">
        <f t="shared" ref="C461:F461" si="384">SUM(C462:C463)</f>
        <v>45000</v>
      </c>
      <c r="D461" s="533">
        <f t="shared" si="384"/>
        <v>30000</v>
      </c>
      <c r="E461" s="533">
        <f t="shared" si="384"/>
        <v>0</v>
      </c>
      <c r="F461" s="533">
        <f t="shared" si="384"/>
        <v>15000</v>
      </c>
      <c r="G461" s="533">
        <f t="shared" ref="G461:H461" si="385">SUM(G462:G463)</f>
        <v>33000</v>
      </c>
      <c r="H461" s="533">
        <f t="shared" si="385"/>
        <v>5000</v>
      </c>
      <c r="I461" s="533">
        <f t="shared" ref="I461:K461" si="386">SUM(I462:I463)</f>
        <v>44000</v>
      </c>
      <c r="J461" s="533">
        <f t="shared" si="386"/>
        <v>7000</v>
      </c>
      <c r="K461" s="533">
        <f t="shared" si="386"/>
        <v>0</v>
      </c>
    </row>
    <row r="462" spans="1:11" customFormat="1" ht="15" x14ac:dyDescent="0.25">
      <c r="A462" s="520" t="s">
        <v>150</v>
      </c>
      <c r="B462" s="521" t="s">
        <v>13</v>
      </c>
      <c r="C462" s="522">
        <v>24000</v>
      </c>
      <c r="D462" s="522">
        <v>14000</v>
      </c>
      <c r="E462" s="522"/>
      <c r="F462" s="513">
        <f t="shared" ref="F462:F463" si="387">C462-D462+E462</f>
        <v>10000</v>
      </c>
      <c r="G462" s="522">
        <v>18000</v>
      </c>
      <c r="H462" s="522">
        <v>3000</v>
      </c>
      <c r="I462" s="522">
        <v>20000</v>
      </c>
      <c r="J462" s="522">
        <v>7000</v>
      </c>
      <c r="K462" s="522"/>
    </row>
    <row r="463" spans="1:11" customFormat="1" ht="15" x14ac:dyDescent="0.25">
      <c r="A463" s="520">
        <v>3213</v>
      </c>
      <c r="B463" s="521" t="s">
        <v>15</v>
      </c>
      <c r="C463" s="522">
        <v>21000</v>
      </c>
      <c r="D463" s="522">
        <v>16000</v>
      </c>
      <c r="E463" s="522"/>
      <c r="F463" s="513">
        <f t="shared" si="387"/>
        <v>5000</v>
      </c>
      <c r="G463" s="522">
        <v>15000</v>
      </c>
      <c r="H463" s="522">
        <v>2000</v>
      </c>
      <c r="I463" s="522">
        <v>24000</v>
      </c>
      <c r="J463" s="522"/>
      <c r="K463" s="522"/>
    </row>
    <row r="464" spans="1:11" s="6" customFormat="1" ht="15" hidden="1" x14ac:dyDescent="0.25">
      <c r="A464" s="519" t="s">
        <v>153</v>
      </c>
      <c r="B464" s="523" t="s">
        <v>16</v>
      </c>
      <c r="C464" s="533">
        <f t="shared" ref="C464:D464" si="388">SUM(C465:C468)</f>
        <v>0</v>
      </c>
      <c r="D464" s="533">
        <f t="shared" si="388"/>
        <v>0</v>
      </c>
      <c r="E464" s="533"/>
      <c r="F464" s="533"/>
      <c r="G464" s="533"/>
      <c r="H464" s="533"/>
      <c r="I464" s="533"/>
      <c r="J464" s="533"/>
      <c r="K464" s="533"/>
    </row>
    <row r="465" spans="1:11" customFormat="1" ht="15" hidden="1" x14ac:dyDescent="0.25">
      <c r="A465" s="520" t="s">
        <v>154</v>
      </c>
      <c r="B465" s="521" t="s">
        <v>17</v>
      </c>
      <c r="C465" s="522"/>
      <c r="D465" s="522"/>
      <c r="E465" s="522"/>
      <c r="F465" s="522"/>
      <c r="G465" s="522"/>
      <c r="H465" s="522"/>
      <c r="I465" s="522"/>
      <c r="J465" s="522"/>
      <c r="K465" s="522"/>
    </row>
    <row r="466" spans="1:11" customFormat="1" ht="15" hidden="1" x14ac:dyDescent="0.25">
      <c r="A466" s="520" t="s">
        <v>155</v>
      </c>
      <c r="B466" s="521" t="s">
        <v>18</v>
      </c>
      <c r="C466" s="522"/>
      <c r="D466" s="522"/>
      <c r="E466" s="522"/>
      <c r="F466" s="522"/>
      <c r="G466" s="522"/>
      <c r="H466" s="522"/>
      <c r="I466" s="522"/>
      <c r="J466" s="522"/>
      <c r="K466" s="522"/>
    </row>
    <row r="467" spans="1:11" customFormat="1" ht="15" hidden="1" x14ac:dyDescent="0.25">
      <c r="A467" s="520" t="s">
        <v>156</v>
      </c>
      <c r="B467" s="521" t="s">
        <v>19</v>
      </c>
      <c r="C467" s="522"/>
      <c r="D467" s="522"/>
      <c r="E467" s="522"/>
      <c r="F467" s="522"/>
      <c r="G467" s="522"/>
      <c r="H467" s="522"/>
      <c r="I467" s="522"/>
      <c r="J467" s="522"/>
      <c r="K467" s="522"/>
    </row>
    <row r="468" spans="1:11" customFormat="1" ht="15" hidden="1" x14ac:dyDescent="0.25">
      <c r="A468" s="520" t="s">
        <v>158</v>
      </c>
      <c r="B468" s="521" t="s">
        <v>21</v>
      </c>
      <c r="C468" s="522"/>
      <c r="D468" s="522"/>
      <c r="E468" s="522"/>
      <c r="F468" s="522"/>
      <c r="G468" s="522"/>
      <c r="H468" s="522"/>
      <c r="I468" s="522"/>
      <c r="J468" s="522"/>
      <c r="K468" s="522"/>
    </row>
    <row r="469" spans="1:11" s="6" customFormat="1" ht="15" customHeight="1" x14ac:dyDescent="0.25">
      <c r="A469" s="519" t="s">
        <v>159</v>
      </c>
      <c r="B469" s="523" t="s">
        <v>123</v>
      </c>
      <c r="C469" s="533">
        <f t="shared" ref="C469:F469" si="389">SUM(C470:C475)</f>
        <v>496000</v>
      </c>
      <c r="D469" s="533">
        <f t="shared" si="389"/>
        <v>407000</v>
      </c>
      <c r="E469" s="533">
        <f t="shared" si="389"/>
        <v>6000</v>
      </c>
      <c r="F469" s="533">
        <f t="shared" si="389"/>
        <v>95000</v>
      </c>
      <c r="G469" s="533">
        <f t="shared" ref="G469:H469" si="390">SUM(G470:G475)</f>
        <v>372000</v>
      </c>
      <c r="H469" s="533">
        <f t="shared" si="390"/>
        <v>55000</v>
      </c>
      <c r="I469" s="533">
        <f t="shared" ref="I469:K469" si="391">SUM(I470:I475)</f>
        <v>655000</v>
      </c>
      <c r="J469" s="533">
        <f t="shared" si="391"/>
        <v>32000</v>
      </c>
      <c r="K469" s="533">
        <f t="shared" si="391"/>
        <v>0</v>
      </c>
    </row>
    <row r="470" spans="1:11" customFormat="1" ht="15" hidden="1" x14ac:dyDescent="0.25">
      <c r="A470" s="520" t="s">
        <v>160</v>
      </c>
      <c r="B470" s="521" t="s">
        <v>24</v>
      </c>
      <c r="C470" s="522"/>
      <c r="D470" s="522"/>
      <c r="E470" s="522"/>
      <c r="F470" s="522"/>
      <c r="G470" s="522"/>
      <c r="H470" s="522"/>
      <c r="I470" s="522"/>
      <c r="J470" s="522"/>
      <c r="K470" s="522"/>
    </row>
    <row r="471" spans="1:11" customFormat="1" ht="15" hidden="1" x14ac:dyDescent="0.25">
      <c r="A471" s="520" t="s">
        <v>161</v>
      </c>
      <c r="B471" s="521" t="s">
        <v>25</v>
      </c>
      <c r="C471" s="522"/>
      <c r="D471" s="522"/>
      <c r="E471" s="522"/>
      <c r="F471" s="522"/>
      <c r="G471" s="522"/>
      <c r="H471" s="522"/>
      <c r="I471" s="522"/>
      <c r="J471" s="522"/>
      <c r="K471" s="522"/>
    </row>
    <row r="472" spans="1:11" customFormat="1" ht="15" x14ac:dyDescent="0.25">
      <c r="A472" s="520" t="s">
        <v>162</v>
      </c>
      <c r="B472" s="521" t="s">
        <v>26</v>
      </c>
      <c r="C472" s="522"/>
      <c r="D472" s="522"/>
      <c r="E472" s="522">
        <v>6000</v>
      </c>
      <c r="F472" s="513">
        <f t="shared" ref="F472:F477" si="392">C472-D472+E472</f>
        <v>6000</v>
      </c>
      <c r="G472" s="522"/>
      <c r="H472" s="522"/>
      <c r="I472" s="522"/>
      <c r="J472" s="522"/>
      <c r="K472" s="522"/>
    </row>
    <row r="473" spans="1:11" customFormat="1" ht="12" customHeight="1" x14ac:dyDescent="0.25">
      <c r="A473" s="520" t="s">
        <v>164</v>
      </c>
      <c r="B473" s="521" t="s">
        <v>28</v>
      </c>
      <c r="C473" s="522">
        <v>8000</v>
      </c>
      <c r="D473" s="522">
        <v>7000</v>
      </c>
      <c r="E473" s="522"/>
      <c r="F473" s="513">
        <f t="shared" si="392"/>
        <v>1000</v>
      </c>
      <c r="G473" s="522">
        <v>6000</v>
      </c>
      <c r="H473" s="522">
        <v>1000</v>
      </c>
      <c r="I473" s="522">
        <v>22000</v>
      </c>
      <c r="J473" s="522">
        <v>2000</v>
      </c>
      <c r="K473" s="522"/>
    </row>
    <row r="474" spans="1:11" customFormat="1" ht="15" x14ac:dyDescent="0.25">
      <c r="A474" s="520">
        <v>3237</v>
      </c>
      <c r="B474" s="521" t="s">
        <v>30</v>
      </c>
      <c r="C474" s="522">
        <v>475000</v>
      </c>
      <c r="D474" s="522">
        <v>400000</v>
      </c>
      <c r="E474" s="522"/>
      <c r="F474" s="513">
        <f t="shared" si="392"/>
        <v>75000</v>
      </c>
      <c r="G474" s="522">
        <v>356000</v>
      </c>
      <c r="H474" s="522">
        <v>52000</v>
      </c>
      <c r="I474" s="522">
        <v>616000</v>
      </c>
      <c r="J474" s="522">
        <v>30000</v>
      </c>
      <c r="K474" s="522"/>
    </row>
    <row r="475" spans="1:11" customFormat="1" ht="13.5" customHeight="1" x14ac:dyDescent="0.25">
      <c r="A475" s="520" t="s">
        <v>167</v>
      </c>
      <c r="B475" s="521" t="s">
        <v>31</v>
      </c>
      <c r="C475" s="522">
        <v>13000</v>
      </c>
      <c r="D475" s="522"/>
      <c r="E475" s="522"/>
      <c r="F475" s="513">
        <f t="shared" si="392"/>
        <v>13000</v>
      </c>
      <c r="G475" s="522">
        <v>10000</v>
      </c>
      <c r="H475" s="522">
        <v>2000</v>
      </c>
      <c r="I475" s="522">
        <v>17000</v>
      </c>
      <c r="J475" s="522"/>
      <c r="K475" s="522"/>
    </row>
    <row r="476" spans="1:11" s="6" customFormat="1" ht="25.5" x14ac:dyDescent="0.25">
      <c r="A476" s="519" t="s">
        <v>168</v>
      </c>
      <c r="B476" s="523" t="s">
        <v>32</v>
      </c>
      <c r="C476" s="533">
        <f t="shared" ref="C476:K476" si="393">SUM(C477)</f>
        <v>9000</v>
      </c>
      <c r="D476" s="533">
        <f t="shared" si="393"/>
        <v>0</v>
      </c>
      <c r="E476" s="533">
        <f t="shared" si="393"/>
        <v>0</v>
      </c>
      <c r="F476" s="533">
        <f t="shared" si="393"/>
        <v>9000</v>
      </c>
      <c r="G476" s="533">
        <f t="shared" si="393"/>
        <v>7000</v>
      </c>
      <c r="H476" s="533">
        <f t="shared" si="393"/>
        <v>1000</v>
      </c>
      <c r="I476" s="533">
        <f t="shared" si="393"/>
        <v>9000</v>
      </c>
      <c r="J476" s="533">
        <f t="shared" si="393"/>
        <v>0</v>
      </c>
      <c r="K476" s="533">
        <f t="shared" si="393"/>
        <v>0</v>
      </c>
    </row>
    <row r="477" spans="1:11" customFormat="1" ht="24" customHeight="1" x14ac:dyDescent="0.25">
      <c r="A477" s="520" t="s">
        <v>169</v>
      </c>
      <c r="B477" s="521" t="s">
        <v>32</v>
      </c>
      <c r="C477" s="522">
        <v>9000</v>
      </c>
      <c r="D477" s="522"/>
      <c r="E477" s="522"/>
      <c r="F477" s="513">
        <f t="shared" si="392"/>
        <v>9000</v>
      </c>
      <c r="G477" s="522">
        <v>7000</v>
      </c>
      <c r="H477" s="522">
        <v>1000</v>
      </c>
      <c r="I477" s="522">
        <v>9000</v>
      </c>
      <c r="J477" s="522"/>
      <c r="K477" s="522"/>
    </row>
    <row r="478" spans="1:11" s="6" customFormat="1" ht="16.5" customHeight="1" x14ac:dyDescent="0.25">
      <c r="A478" s="519" t="s">
        <v>170</v>
      </c>
      <c r="B478" s="523" t="s">
        <v>33</v>
      </c>
      <c r="C478" s="533">
        <f t="shared" ref="C478:K478" si="394">SUM(C479:C481)</f>
        <v>0</v>
      </c>
      <c r="D478" s="533">
        <f t="shared" si="394"/>
        <v>0</v>
      </c>
      <c r="E478" s="533">
        <f t="shared" si="394"/>
        <v>0</v>
      </c>
      <c r="F478" s="533">
        <f t="shared" si="394"/>
        <v>0</v>
      </c>
      <c r="G478" s="533">
        <f t="shared" si="394"/>
        <v>0</v>
      </c>
      <c r="H478" s="533">
        <f t="shared" si="394"/>
        <v>0</v>
      </c>
      <c r="I478" s="533">
        <f t="shared" si="394"/>
        <v>3000</v>
      </c>
      <c r="J478" s="533">
        <f t="shared" si="394"/>
        <v>0</v>
      </c>
      <c r="K478" s="533">
        <f t="shared" si="394"/>
        <v>0</v>
      </c>
    </row>
    <row r="479" spans="1:11" customFormat="1" ht="17.25" hidden="1" customHeight="1" x14ac:dyDescent="0.25">
      <c r="A479" s="520" t="s">
        <v>171</v>
      </c>
      <c r="B479" s="521" t="s">
        <v>35</v>
      </c>
      <c r="C479" s="522"/>
      <c r="D479" s="522"/>
      <c r="E479" s="522"/>
      <c r="F479" s="522"/>
      <c r="G479" s="522"/>
      <c r="H479" s="522"/>
      <c r="I479" s="522"/>
      <c r="J479" s="522"/>
      <c r="K479" s="522"/>
    </row>
    <row r="480" spans="1:11" customFormat="1" ht="2.25" hidden="1" customHeight="1" x14ac:dyDescent="0.25">
      <c r="A480" s="520" t="s">
        <v>172</v>
      </c>
      <c r="B480" s="521" t="s">
        <v>36</v>
      </c>
      <c r="C480" s="522"/>
      <c r="D480" s="522"/>
      <c r="E480" s="522"/>
      <c r="F480" s="522"/>
      <c r="G480" s="522"/>
      <c r="H480" s="522"/>
      <c r="I480" s="522"/>
      <c r="J480" s="522"/>
      <c r="K480" s="522"/>
    </row>
    <row r="481" spans="1:11" customFormat="1" ht="18" customHeight="1" x14ac:dyDescent="0.25">
      <c r="A481" s="520" t="s">
        <v>173</v>
      </c>
      <c r="B481" s="521" t="s">
        <v>33</v>
      </c>
      <c r="C481" s="522"/>
      <c r="D481" s="522"/>
      <c r="E481" s="522"/>
      <c r="F481" s="522"/>
      <c r="G481" s="522"/>
      <c r="H481" s="522"/>
      <c r="I481" s="522">
        <v>3000</v>
      </c>
      <c r="J481" s="522"/>
      <c r="K481" s="522"/>
    </row>
    <row r="482" spans="1:11" s="6" customFormat="1" ht="14.25" hidden="1" customHeight="1" x14ac:dyDescent="0.25">
      <c r="A482" s="519" t="s">
        <v>249</v>
      </c>
      <c r="B482" s="523" t="s">
        <v>231</v>
      </c>
      <c r="C482" s="533">
        <f t="shared" ref="C482:D482" si="395">SUM(C483)</f>
        <v>0</v>
      </c>
      <c r="D482" s="533">
        <f t="shared" si="395"/>
        <v>0</v>
      </c>
      <c r="E482" s="533"/>
      <c r="F482" s="533"/>
      <c r="G482" s="533"/>
      <c r="H482" s="533"/>
      <c r="I482" s="533"/>
      <c r="J482" s="533"/>
      <c r="K482" s="533"/>
    </row>
    <row r="483" spans="1:11" customFormat="1" ht="20.25" hidden="1" customHeight="1" x14ac:dyDescent="0.25">
      <c r="A483" s="520" t="s">
        <v>250</v>
      </c>
      <c r="B483" s="521" t="s">
        <v>251</v>
      </c>
      <c r="C483" s="522"/>
      <c r="D483" s="522"/>
      <c r="E483" s="522"/>
      <c r="F483" s="522"/>
      <c r="G483" s="522"/>
      <c r="H483" s="522"/>
      <c r="I483" s="522"/>
      <c r="J483" s="522"/>
      <c r="K483" s="522"/>
    </row>
    <row r="484" spans="1:11" s="6" customFormat="1" ht="12.75" hidden="1" customHeight="1" x14ac:dyDescent="0.25">
      <c r="A484" s="519" t="s">
        <v>139</v>
      </c>
      <c r="B484" s="523" t="s">
        <v>124</v>
      </c>
      <c r="C484" s="533">
        <f t="shared" ref="C484:D484" si="396">SUM(C485)</f>
        <v>0</v>
      </c>
      <c r="D484" s="533">
        <f t="shared" si="396"/>
        <v>0</v>
      </c>
      <c r="E484" s="533"/>
      <c r="F484" s="533"/>
      <c r="G484" s="533"/>
      <c r="H484" s="533"/>
      <c r="I484" s="533"/>
      <c r="J484" s="533"/>
      <c r="K484" s="533"/>
    </row>
    <row r="485" spans="1:11" customFormat="1" ht="15.75" hidden="1" customHeight="1" x14ac:dyDescent="0.25">
      <c r="A485" s="520" t="s">
        <v>140</v>
      </c>
      <c r="B485" s="521" t="s">
        <v>46</v>
      </c>
      <c r="C485" s="522"/>
      <c r="D485" s="522"/>
      <c r="E485" s="522"/>
      <c r="F485" s="522"/>
      <c r="G485" s="522"/>
      <c r="H485" s="522"/>
      <c r="I485" s="522"/>
      <c r="J485" s="522"/>
      <c r="K485" s="522"/>
    </row>
    <row r="486" spans="1:11" s="6" customFormat="1" ht="12.75" hidden="1" customHeight="1" x14ac:dyDescent="0.25">
      <c r="A486" s="519" t="s">
        <v>193</v>
      </c>
      <c r="B486" s="523" t="s">
        <v>73</v>
      </c>
      <c r="C486" s="533">
        <f t="shared" ref="C486:D486" si="397">SUM(C487)</f>
        <v>0</v>
      </c>
      <c r="D486" s="533">
        <f t="shared" si="397"/>
        <v>0</v>
      </c>
      <c r="E486" s="533"/>
      <c r="F486" s="533"/>
      <c r="G486" s="533"/>
      <c r="H486" s="533"/>
      <c r="I486" s="533"/>
      <c r="J486" s="533"/>
      <c r="K486" s="533"/>
    </row>
    <row r="487" spans="1:11" customFormat="1" ht="6.75" hidden="1" customHeight="1" x14ac:dyDescent="0.25">
      <c r="A487" s="520" t="s">
        <v>194</v>
      </c>
      <c r="B487" s="521" t="s">
        <v>88</v>
      </c>
      <c r="C487" s="522"/>
      <c r="D487" s="522"/>
      <c r="E487" s="522"/>
      <c r="F487" s="522"/>
      <c r="G487" s="522"/>
      <c r="H487" s="522"/>
      <c r="I487" s="522"/>
      <c r="J487" s="522"/>
      <c r="K487" s="522"/>
    </row>
    <row r="488" spans="1:11" customFormat="1" ht="24.95" customHeight="1" x14ac:dyDescent="0.25">
      <c r="A488" s="561" t="s">
        <v>114</v>
      </c>
      <c r="B488" s="562" t="s">
        <v>115</v>
      </c>
      <c r="C488" s="503">
        <f t="shared" ref="C488:F488" si="398">SUM(C489,C504,C538)</f>
        <v>175000</v>
      </c>
      <c r="D488" s="503">
        <f t="shared" si="398"/>
        <v>101500</v>
      </c>
      <c r="E488" s="503">
        <f t="shared" si="398"/>
        <v>30500</v>
      </c>
      <c r="F488" s="503">
        <f t="shared" si="398"/>
        <v>104000</v>
      </c>
      <c r="G488" s="503">
        <f t="shared" ref="G488:H488" si="399">SUM(G489,G504,G538)</f>
        <v>166000</v>
      </c>
      <c r="H488" s="503">
        <f t="shared" si="399"/>
        <v>166000</v>
      </c>
      <c r="I488" s="503">
        <f t="shared" ref="I488:K488" si="400">SUM(I489,I504,I538)</f>
        <v>166000</v>
      </c>
      <c r="J488" s="503">
        <f t="shared" si="400"/>
        <v>166000</v>
      </c>
      <c r="K488" s="503">
        <f t="shared" si="400"/>
        <v>166000</v>
      </c>
    </row>
    <row r="489" spans="1:11" customFormat="1" ht="15" x14ac:dyDescent="0.25">
      <c r="A489" s="710" t="s">
        <v>106</v>
      </c>
      <c r="B489" s="710"/>
      <c r="C489" s="504">
        <f>SUM(C490,C494)</f>
        <v>70000</v>
      </c>
      <c r="D489" s="504">
        <f t="shared" ref="D489:F489" si="401">SUM(D490,D494)</f>
        <v>62000</v>
      </c>
      <c r="E489" s="504">
        <f t="shared" si="401"/>
        <v>20000</v>
      </c>
      <c r="F489" s="504">
        <f t="shared" si="401"/>
        <v>28000</v>
      </c>
      <c r="G489" s="504">
        <f>SUM(G490,G494)</f>
        <v>70000</v>
      </c>
      <c r="H489" s="504">
        <f>SUM(H490,H494)</f>
        <v>70000</v>
      </c>
      <c r="I489" s="504">
        <f t="shared" ref="I489:K489" si="402">SUM(I490,I494)</f>
        <v>70000</v>
      </c>
      <c r="J489" s="504">
        <f t="shared" si="402"/>
        <v>70000</v>
      </c>
      <c r="K489" s="504">
        <f t="shared" si="402"/>
        <v>70000</v>
      </c>
    </row>
    <row r="490" spans="1:11" customFormat="1" ht="15" x14ac:dyDescent="0.25">
      <c r="A490" s="516" t="s">
        <v>322</v>
      </c>
      <c r="B490" s="517" t="s">
        <v>323</v>
      </c>
      <c r="C490" s="518">
        <f>SUM(C491)</f>
        <v>14000</v>
      </c>
      <c r="D490" s="518">
        <f t="shared" ref="D490:K490" si="403">SUM(D491)</f>
        <v>14000</v>
      </c>
      <c r="E490" s="518">
        <f t="shared" si="403"/>
        <v>20000</v>
      </c>
      <c r="F490" s="518">
        <f t="shared" si="403"/>
        <v>20000</v>
      </c>
      <c r="G490" s="518">
        <f>SUM(G491)</f>
        <v>14000</v>
      </c>
      <c r="H490" s="518">
        <f>SUM(H491)</f>
        <v>14000</v>
      </c>
      <c r="I490" s="518">
        <f t="shared" si="403"/>
        <v>14000</v>
      </c>
      <c r="J490" s="518">
        <f t="shared" si="403"/>
        <v>14000</v>
      </c>
      <c r="K490" s="518">
        <f t="shared" si="403"/>
        <v>14000</v>
      </c>
    </row>
    <row r="491" spans="1:11" s="6" customFormat="1" ht="15" x14ac:dyDescent="0.25">
      <c r="A491" s="557" t="s">
        <v>143</v>
      </c>
      <c r="B491" s="558" t="s">
        <v>220</v>
      </c>
      <c r="C491" s="533">
        <f>SUM(C492:C493)</f>
        <v>14000</v>
      </c>
      <c r="D491" s="533">
        <f t="shared" ref="D491:K491" si="404">SUM(D492:D493)</f>
        <v>14000</v>
      </c>
      <c r="E491" s="533">
        <f t="shared" si="404"/>
        <v>20000</v>
      </c>
      <c r="F491" s="533">
        <f t="shared" si="404"/>
        <v>20000</v>
      </c>
      <c r="G491" s="533">
        <f t="shared" si="404"/>
        <v>14000</v>
      </c>
      <c r="H491" s="533">
        <f t="shared" si="404"/>
        <v>14000</v>
      </c>
      <c r="I491" s="533">
        <f t="shared" si="404"/>
        <v>14000</v>
      </c>
      <c r="J491" s="533">
        <f t="shared" si="404"/>
        <v>14000</v>
      </c>
      <c r="K491" s="533">
        <f t="shared" si="404"/>
        <v>14000</v>
      </c>
    </row>
    <row r="492" spans="1:11" s="6" customFormat="1" ht="15" x14ac:dyDescent="0.25">
      <c r="A492" s="520">
        <v>3111</v>
      </c>
      <c r="B492" s="521" t="s">
        <v>5</v>
      </c>
      <c r="C492" s="563"/>
      <c r="D492" s="563"/>
      <c r="E492" s="564">
        <v>20000</v>
      </c>
      <c r="F492" s="513">
        <f t="shared" ref="F492:F493" si="405">C492-D492+E492</f>
        <v>20000</v>
      </c>
      <c r="G492" s="563"/>
      <c r="H492" s="563"/>
      <c r="I492" s="563"/>
      <c r="J492" s="563"/>
      <c r="K492" s="563"/>
    </row>
    <row r="493" spans="1:11" customFormat="1" ht="15" x14ac:dyDescent="0.25">
      <c r="A493" s="520">
        <v>3113</v>
      </c>
      <c r="B493" s="521" t="s">
        <v>290</v>
      </c>
      <c r="C493" s="513">
        <v>14000</v>
      </c>
      <c r="D493" s="513">
        <v>14000</v>
      </c>
      <c r="E493" s="513"/>
      <c r="F493" s="513">
        <f t="shared" si="405"/>
        <v>0</v>
      </c>
      <c r="G493" s="513">
        <v>14000</v>
      </c>
      <c r="H493" s="513">
        <v>14000</v>
      </c>
      <c r="I493" s="513">
        <v>14000</v>
      </c>
      <c r="J493" s="513">
        <v>14000</v>
      </c>
      <c r="K493" s="513">
        <v>14000</v>
      </c>
    </row>
    <row r="494" spans="1:11" customFormat="1" ht="15" x14ac:dyDescent="0.25">
      <c r="A494" s="516" t="s">
        <v>324</v>
      </c>
      <c r="B494" s="516" t="s">
        <v>325</v>
      </c>
      <c r="C494" s="549">
        <f>SUM(C495,C497,C500)</f>
        <v>56000</v>
      </c>
      <c r="D494" s="549">
        <f t="shared" ref="D494:F494" si="406">SUM(D495,D497,D500)</f>
        <v>48000</v>
      </c>
      <c r="E494" s="549">
        <f t="shared" si="406"/>
        <v>0</v>
      </c>
      <c r="F494" s="549">
        <f t="shared" si="406"/>
        <v>8000</v>
      </c>
      <c r="G494" s="549">
        <f>SUM(G495,G497,G500)</f>
        <v>56000</v>
      </c>
      <c r="H494" s="549">
        <f>SUM(H495,H497,H500)</f>
        <v>56000</v>
      </c>
      <c r="I494" s="549">
        <f t="shared" ref="I494:K494" si="407">SUM(I495,I497,I500)</f>
        <v>56000</v>
      </c>
      <c r="J494" s="549">
        <f t="shared" si="407"/>
        <v>56000</v>
      </c>
      <c r="K494" s="549">
        <f t="shared" si="407"/>
        <v>56000</v>
      </c>
    </row>
    <row r="495" spans="1:11" s="6" customFormat="1" ht="15" x14ac:dyDescent="0.25">
      <c r="A495" s="519" t="s">
        <v>149</v>
      </c>
      <c r="B495" s="523" t="s">
        <v>12</v>
      </c>
      <c r="C495" s="510">
        <f t="shared" ref="C495:K495" si="408">SUM(C496)</f>
        <v>14000</v>
      </c>
      <c r="D495" s="510">
        <f t="shared" si="408"/>
        <v>12000</v>
      </c>
      <c r="E495" s="510">
        <f t="shared" si="408"/>
        <v>0</v>
      </c>
      <c r="F495" s="510">
        <f t="shared" si="408"/>
        <v>2000</v>
      </c>
      <c r="G495" s="510">
        <f t="shared" si="408"/>
        <v>14000</v>
      </c>
      <c r="H495" s="510">
        <f t="shared" si="408"/>
        <v>14000</v>
      </c>
      <c r="I495" s="510">
        <f t="shared" si="408"/>
        <v>14000</v>
      </c>
      <c r="J495" s="510">
        <f t="shared" si="408"/>
        <v>14000</v>
      </c>
      <c r="K495" s="510">
        <f t="shared" si="408"/>
        <v>14000</v>
      </c>
    </row>
    <row r="496" spans="1:11" customFormat="1" ht="15" x14ac:dyDescent="0.25">
      <c r="A496" s="520" t="s">
        <v>150</v>
      </c>
      <c r="B496" s="521" t="s">
        <v>13</v>
      </c>
      <c r="C496" s="513">
        <v>14000</v>
      </c>
      <c r="D496" s="513">
        <v>12000</v>
      </c>
      <c r="E496" s="513"/>
      <c r="F496" s="513">
        <f t="shared" ref="F496:F501" si="409">C496-D496+E496</f>
        <v>2000</v>
      </c>
      <c r="G496" s="513">
        <v>14000</v>
      </c>
      <c r="H496" s="513">
        <v>14000</v>
      </c>
      <c r="I496" s="513">
        <v>14000</v>
      </c>
      <c r="J496" s="513">
        <v>14000</v>
      </c>
      <c r="K496" s="513">
        <v>14000</v>
      </c>
    </row>
    <row r="497" spans="1:11" s="6" customFormat="1" ht="15" x14ac:dyDescent="0.25">
      <c r="A497" s="519" t="s">
        <v>153</v>
      </c>
      <c r="B497" s="523" t="s">
        <v>16</v>
      </c>
      <c r="C497" s="510">
        <f t="shared" ref="C497:F497" si="410">SUM(C498,C499)</f>
        <v>14000</v>
      </c>
      <c r="D497" s="510">
        <f t="shared" si="410"/>
        <v>9000</v>
      </c>
      <c r="E497" s="510">
        <f t="shared" si="410"/>
        <v>0</v>
      </c>
      <c r="F497" s="510">
        <f t="shared" si="410"/>
        <v>5000</v>
      </c>
      <c r="G497" s="510">
        <f t="shared" ref="G497:H497" si="411">SUM(G498,G499)</f>
        <v>14000</v>
      </c>
      <c r="H497" s="510">
        <f t="shared" si="411"/>
        <v>14000</v>
      </c>
      <c r="I497" s="510">
        <f t="shared" ref="I497:K497" si="412">SUM(I498,I499)</f>
        <v>14000</v>
      </c>
      <c r="J497" s="510">
        <f t="shared" si="412"/>
        <v>14000</v>
      </c>
      <c r="K497" s="510">
        <f t="shared" si="412"/>
        <v>14000</v>
      </c>
    </row>
    <row r="498" spans="1:11" s="6" customFormat="1" ht="15" x14ac:dyDescent="0.25">
      <c r="A498" s="520">
        <v>3221</v>
      </c>
      <c r="B498" s="521" t="s">
        <v>17</v>
      </c>
      <c r="C498" s="513">
        <v>7000</v>
      </c>
      <c r="D498" s="513">
        <v>2000</v>
      </c>
      <c r="E498" s="513"/>
      <c r="F498" s="513">
        <f t="shared" si="409"/>
        <v>5000</v>
      </c>
      <c r="G498" s="513">
        <v>7000</v>
      </c>
      <c r="H498" s="513">
        <v>7000</v>
      </c>
      <c r="I498" s="513">
        <v>7000</v>
      </c>
      <c r="J498" s="513">
        <v>7000</v>
      </c>
      <c r="K498" s="513">
        <v>7000</v>
      </c>
    </row>
    <row r="499" spans="1:11" customFormat="1" ht="15" x14ac:dyDescent="0.25">
      <c r="A499" s="520">
        <v>3223</v>
      </c>
      <c r="B499" s="521" t="s">
        <v>19</v>
      </c>
      <c r="C499" s="513">
        <v>7000</v>
      </c>
      <c r="D499" s="513">
        <v>7000</v>
      </c>
      <c r="E499" s="513"/>
      <c r="F499" s="513">
        <f t="shared" si="409"/>
        <v>0</v>
      </c>
      <c r="G499" s="513">
        <v>7000</v>
      </c>
      <c r="H499" s="513">
        <v>7000</v>
      </c>
      <c r="I499" s="513">
        <v>7000</v>
      </c>
      <c r="J499" s="513">
        <v>7000</v>
      </c>
      <c r="K499" s="513">
        <v>7000</v>
      </c>
    </row>
    <row r="500" spans="1:11" s="6" customFormat="1" ht="15" x14ac:dyDescent="0.25">
      <c r="A500" s="519" t="s">
        <v>159</v>
      </c>
      <c r="B500" s="523" t="s">
        <v>123</v>
      </c>
      <c r="C500" s="510">
        <f t="shared" ref="C500:K500" si="413">SUM(C501)</f>
        <v>28000</v>
      </c>
      <c r="D500" s="510">
        <f t="shared" si="413"/>
        <v>27000</v>
      </c>
      <c r="E500" s="510">
        <f t="shared" si="413"/>
        <v>0</v>
      </c>
      <c r="F500" s="510">
        <f t="shared" si="413"/>
        <v>1000</v>
      </c>
      <c r="G500" s="510">
        <f t="shared" si="413"/>
        <v>28000</v>
      </c>
      <c r="H500" s="510">
        <f t="shared" si="413"/>
        <v>28000</v>
      </c>
      <c r="I500" s="510">
        <f t="shared" si="413"/>
        <v>28000</v>
      </c>
      <c r="J500" s="510">
        <f t="shared" si="413"/>
        <v>28000</v>
      </c>
      <c r="K500" s="510">
        <f t="shared" si="413"/>
        <v>28000</v>
      </c>
    </row>
    <row r="501" spans="1:11" customFormat="1" ht="15" x14ac:dyDescent="0.25">
      <c r="A501" s="520" t="s">
        <v>162</v>
      </c>
      <c r="B501" s="521" t="s">
        <v>26</v>
      </c>
      <c r="C501" s="513">
        <v>28000</v>
      </c>
      <c r="D501" s="513">
        <v>27000</v>
      </c>
      <c r="E501" s="513"/>
      <c r="F501" s="513">
        <f t="shared" si="409"/>
        <v>1000</v>
      </c>
      <c r="G501" s="513">
        <v>28000</v>
      </c>
      <c r="H501" s="513">
        <v>28000</v>
      </c>
      <c r="I501" s="513">
        <v>28000</v>
      </c>
      <c r="J501" s="513">
        <v>28000</v>
      </c>
      <c r="K501" s="513">
        <v>28000</v>
      </c>
    </row>
    <row r="502" spans="1:11" customFormat="1" ht="25.5" hidden="1" x14ac:dyDescent="0.25">
      <c r="A502" s="508">
        <v>324</v>
      </c>
      <c r="B502" s="509" t="s">
        <v>32</v>
      </c>
      <c r="C502" s="530">
        <f t="shared" ref="C502:D502" si="414">SUM(C503)</f>
        <v>0</v>
      </c>
      <c r="D502" s="530">
        <f t="shared" si="414"/>
        <v>0</v>
      </c>
      <c r="E502" s="530"/>
      <c r="F502" s="530"/>
      <c r="G502" s="530">
        <f t="shared" ref="G502:H502" si="415">SUM(G503)</f>
        <v>0</v>
      </c>
      <c r="H502" s="530">
        <f t="shared" si="415"/>
        <v>0</v>
      </c>
      <c r="I502" s="530"/>
      <c r="J502" s="530"/>
      <c r="K502" s="530"/>
    </row>
    <row r="503" spans="1:11" customFormat="1" ht="25.5" hidden="1" x14ac:dyDescent="0.25">
      <c r="A503" s="511">
        <v>3241</v>
      </c>
      <c r="B503" s="512" t="s">
        <v>32</v>
      </c>
      <c r="C503" s="513"/>
      <c r="D503" s="513"/>
      <c r="E503" s="513"/>
      <c r="F503" s="513"/>
      <c r="G503" s="513"/>
      <c r="H503" s="513"/>
      <c r="I503" s="513"/>
      <c r="J503" s="513"/>
      <c r="K503" s="513"/>
    </row>
    <row r="504" spans="1:11" customFormat="1" ht="18" customHeight="1" x14ac:dyDescent="0.25">
      <c r="A504" s="710" t="s">
        <v>113</v>
      </c>
      <c r="B504" s="710"/>
      <c r="C504" s="504">
        <f>SUM(C505,C509,C529,C535)</f>
        <v>89000</v>
      </c>
      <c r="D504" s="504">
        <f t="shared" ref="D504:F504" si="416">SUM(D505,D509,D529,D535)</f>
        <v>38500</v>
      </c>
      <c r="E504" s="504">
        <f t="shared" si="416"/>
        <v>10500</v>
      </c>
      <c r="F504" s="504">
        <f t="shared" si="416"/>
        <v>61000</v>
      </c>
      <c r="G504" s="504">
        <f>SUM(G505,G509,G529,G535)</f>
        <v>89000</v>
      </c>
      <c r="H504" s="504">
        <f>SUM(H505,H509,H529,H535)</f>
        <v>89000</v>
      </c>
      <c r="I504" s="504">
        <f t="shared" ref="I504:K504" si="417">SUM(I505,I509,I529,I535)</f>
        <v>89000</v>
      </c>
      <c r="J504" s="504">
        <f t="shared" si="417"/>
        <v>89000</v>
      </c>
      <c r="K504" s="504">
        <f t="shared" si="417"/>
        <v>89000</v>
      </c>
    </row>
    <row r="505" spans="1:11" customFormat="1" ht="18" customHeight="1" x14ac:dyDescent="0.25">
      <c r="A505" s="516" t="s">
        <v>322</v>
      </c>
      <c r="B505" s="517" t="s">
        <v>323</v>
      </c>
      <c r="C505" s="518">
        <f>SUM(C506)</f>
        <v>14000</v>
      </c>
      <c r="D505" s="518">
        <f t="shared" ref="D505:K505" si="418">SUM(D506)</f>
        <v>14000</v>
      </c>
      <c r="E505" s="518">
        <f t="shared" si="418"/>
        <v>10000</v>
      </c>
      <c r="F505" s="518">
        <f t="shared" si="418"/>
        <v>10000</v>
      </c>
      <c r="G505" s="518">
        <f>SUM(G506)</f>
        <v>14000</v>
      </c>
      <c r="H505" s="518">
        <f>SUM(H506)</f>
        <v>14000</v>
      </c>
      <c r="I505" s="518">
        <f t="shared" si="418"/>
        <v>14000</v>
      </c>
      <c r="J505" s="518">
        <f t="shared" si="418"/>
        <v>14000</v>
      </c>
      <c r="K505" s="518">
        <f t="shared" si="418"/>
        <v>14000</v>
      </c>
    </row>
    <row r="506" spans="1:11" customFormat="1" ht="18" customHeight="1" x14ac:dyDescent="0.25">
      <c r="A506" s="557" t="s">
        <v>143</v>
      </c>
      <c r="B506" s="558" t="s">
        <v>220</v>
      </c>
      <c r="C506" s="533">
        <f>SUM(C507:C508)</f>
        <v>14000</v>
      </c>
      <c r="D506" s="533">
        <f t="shared" ref="D506:K506" si="419">SUM(D507:D508)</f>
        <v>14000</v>
      </c>
      <c r="E506" s="533">
        <f t="shared" si="419"/>
        <v>10000</v>
      </c>
      <c r="F506" s="533">
        <f t="shared" si="419"/>
        <v>10000</v>
      </c>
      <c r="G506" s="533">
        <f t="shared" si="419"/>
        <v>14000</v>
      </c>
      <c r="H506" s="533">
        <f t="shared" si="419"/>
        <v>14000</v>
      </c>
      <c r="I506" s="533">
        <f t="shared" si="419"/>
        <v>14000</v>
      </c>
      <c r="J506" s="533">
        <f t="shared" si="419"/>
        <v>14000</v>
      </c>
      <c r="K506" s="533">
        <f t="shared" si="419"/>
        <v>14000</v>
      </c>
    </row>
    <row r="507" spans="1:11" customFormat="1" ht="18" customHeight="1" x14ac:dyDescent="0.25">
      <c r="A507" s="520">
        <v>3111</v>
      </c>
      <c r="B507" s="521" t="s">
        <v>5</v>
      </c>
      <c r="C507" s="563"/>
      <c r="D507" s="563"/>
      <c r="E507" s="564">
        <v>10000</v>
      </c>
      <c r="F507" s="513">
        <f t="shared" ref="F507:F508" si="420">C507-D507+E507</f>
        <v>10000</v>
      </c>
      <c r="G507" s="563"/>
      <c r="H507" s="563"/>
      <c r="I507" s="563"/>
      <c r="J507" s="563"/>
      <c r="K507" s="563"/>
    </row>
    <row r="508" spans="1:11" customFormat="1" ht="18" customHeight="1" x14ac:dyDescent="0.25">
      <c r="A508" s="520">
        <v>3113</v>
      </c>
      <c r="B508" s="521" t="s">
        <v>290</v>
      </c>
      <c r="C508" s="513">
        <v>14000</v>
      </c>
      <c r="D508" s="513">
        <v>14000</v>
      </c>
      <c r="E508" s="513"/>
      <c r="F508" s="513">
        <f t="shared" si="420"/>
        <v>0</v>
      </c>
      <c r="G508" s="513">
        <v>14000</v>
      </c>
      <c r="H508" s="513">
        <v>14000</v>
      </c>
      <c r="I508" s="513">
        <v>14000</v>
      </c>
      <c r="J508" s="513">
        <v>14000</v>
      </c>
      <c r="K508" s="513">
        <v>14000</v>
      </c>
    </row>
    <row r="509" spans="1:11" customFormat="1" ht="18" customHeight="1" x14ac:dyDescent="0.25">
      <c r="A509" s="516" t="s">
        <v>324</v>
      </c>
      <c r="B509" s="516" t="s">
        <v>325</v>
      </c>
      <c r="C509" s="549">
        <f>SUM(C510,C512,C516,C524)</f>
        <v>50500</v>
      </c>
      <c r="D509" s="549">
        <f t="shared" ref="D509:F509" si="421">SUM(D510,D512,D516,D524)</f>
        <v>24500</v>
      </c>
      <c r="E509" s="549">
        <f t="shared" si="421"/>
        <v>0</v>
      </c>
      <c r="F509" s="549">
        <f t="shared" si="421"/>
        <v>26000</v>
      </c>
      <c r="G509" s="549">
        <f>SUM(G510,G512,G516,G524)</f>
        <v>55000</v>
      </c>
      <c r="H509" s="549">
        <f>SUM(H510,H512,H516,H524)</f>
        <v>55000</v>
      </c>
      <c r="I509" s="549">
        <f t="shared" ref="I509:K509" si="422">SUM(I510,I512,I516,I524)</f>
        <v>55000</v>
      </c>
      <c r="J509" s="549">
        <f t="shared" si="422"/>
        <v>55000</v>
      </c>
      <c r="K509" s="549">
        <f t="shared" si="422"/>
        <v>55000</v>
      </c>
    </row>
    <row r="510" spans="1:11" customFormat="1" ht="15" x14ac:dyDescent="0.25">
      <c r="A510" s="565">
        <v>321</v>
      </c>
      <c r="B510" s="566" t="s">
        <v>116</v>
      </c>
      <c r="C510" s="530">
        <f t="shared" ref="C510:K510" si="423">SUM(C511)</f>
        <v>1000</v>
      </c>
      <c r="D510" s="530">
        <f t="shared" si="423"/>
        <v>0</v>
      </c>
      <c r="E510" s="530">
        <f t="shared" si="423"/>
        <v>0</v>
      </c>
      <c r="F510" s="530">
        <f t="shared" si="423"/>
        <v>1000</v>
      </c>
      <c r="G510" s="530">
        <f t="shared" si="423"/>
        <v>1000</v>
      </c>
      <c r="H510" s="530">
        <f t="shared" si="423"/>
        <v>1000</v>
      </c>
      <c r="I510" s="530">
        <f t="shared" si="423"/>
        <v>1000</v>
      </c>
      <c r="J510" s="530">
        <f t="shared" si="423"/>
        <v>1000</v>
      </c>
      <c r="K510" s="530">
        <f t="shared" si="423"/>
        <v>1000</v>
      </c>
    </row>
    <row r="511" spans="1:11" customFormat="1" ht="15" x14ac:dyDescent="0.25">
      <c r="A511" s="567">
        <v>3213</v>
      </c>
      <c r="B511" s="568" t="s">
        <v>15</v>
      </c>
      <c r="C511" s="513">
        <v>1000</v>
      </c>
      <c r="D511" s="513"/>
      <c r="E511" s="513"/>
      <c r="F511" s="513">
        <f t="shared" ref="F511:F526" si="424">C511-D511+E511</f>
        <v>1000</v>
      </c>
      <c r="G511" s="513">
        <v>1000</v>
      </c>
      <c r="H511" s="513">
        <v>1000</v>
      </c>
      <c r="I511" s="513">
        <v>1000</v>
      </c>
      <c r="J511" s="513">
        <v>1000</v>
      </c>
      <c r="K511" s="513">
        <v>1000</v>
      </c>
    </row>
    <row r="512" spans="1:11" customFormat="1" ht="15" x14ac:dyDescent="0.25">
      <c r="A512" s="519">
        <v>322</v>
      </c>
      <c r="B512" s="509" t="s">
        <v>16</v>
      </c>
      <c r="C512" s="510">
        <f t="shared" ref="C512:F512" si="425">SUM(C513:C515)</f>
        <v>4000</v>
      </c>
      <c r="D512" s="510">
        <f t="shared" si="425"/>
        <v>1000</v>
      </c>
      <c r="E512" s="510">
        <f t="shared" si="425"/>
        <v>0</v>
      </c>
      <c r="F512" s="510">
        <f t="shared" si="425"/>
        <v>3000</v>
      </c>
      <c r="G512" s="510">
        <f t="shared" ref="G512:H512" si="426">SUM(G513:G515)</f>
        <v>4000</v>
      </c>
      <c r="H512" s="510">
        <f t="shared" si="426"/>
        <v>4000</v>
      </c>
      <c r="I512" s="510">
        <f t="shared" ref="I512:K512" si="427">SUM(I513:I515)</f>
        <v>4000</v>
      </c>
      <c r="J512" s="510">
        <f t="shared" si="427"/>
        <v>4000</v>
      </c>
      <c r="K512" s="510">
        <f t="shared" si="427"/>
        <v>4000</v>
      </c>
    </row>
    <row r="513" spans="1:11" customFormat="1" ht="15" x14ac:dyDescent="0.25">
      <c r="A513" s="520">
        <v>3222</v>
      </c>
      <c r="B513" s="521" t="s">
        <v>18</v>
      </c>
      <c r="C513" s="513">
        <v>1000</v>
      </c>
      <c r="D513" s="513"/>
      <c r="E513" s="513"/>
      <c r="F513" s="513">
        <f t="shared" si="424"/>
        <v>1000</v>
      </c>
      <c r="G513" s="513">
        <v>1000</v>
      </c>
      <c r="H513" s="513">
        <v>1000</v>
      </c>
      <c r="I513" s="513">
        <v>1000</v>
      </c>
      <c r="J513" s="513">
        <v>1000</v>
      </c>
      <c r="K513" s="513">
        <v>1000</v>
      </c>
    </row>
    <row r="514" spans="1:11" customFormat="1" ht="20.25" customHeight="1" x14ac:dyDescent="0.25">
      <c r="A514" s="511">
        <v>3224</v>
      </c>
      <c r="B514" s="512" t="s">
        <v>20</v>
      </c>
      <c r="C514" s="513">
        <v>1000</v>
      </c>
      <c r="D514" s="513"/>
      <c r="E514" s="513"/>
      <c r="F514" s="513">
        <f t="shared" si="424"/>
        <v>1000</v>
      </c>
      <c r="G514" s="513">
        <v>1000</v>
      </c>
      <c r="H514" s="513">
        <v>1000</v>
      </c>
      <c r="I514" s="513">
        <v>1000</v>
      </c>
      <c r="J514" s="513">
        <v>1000</v>
      </c>
      <c r="K514" s="513">
        <v>1000</v>
      </c>
    </row>
    <row r="515" spans="1:11" customFormat="1" ht="15" x14ac:dyDescent="0.25">
      <c r="A515" s="511">
        <v>3225</v>
      </c>
      <c r="B515" s="512" t="s">
        <v>117</v>
      </c>
      <c r="C515" s="513">
        <v>2000</v>
      </c>
      <c r="D515" s="513">
        <v>1000</v>
      </c>
      <c r="E515" s="513"/>
      <c r="F515" s="513">
        <f t="shared" si="424"/>
        <v>1000</v>
      </c>
      <c r="G515" s="513">
        <v>2000</v>
      </c>
      <c r="H515" s="513">
        <v>2000</v>
      </c>
      <c r="I515" s="513">
        <v>2000</v>
      </c>
      <c r="J515" s="513">
        <v>2000</v>
      </c>
      <c r="K515" s="513">
        <v>2000</v>
      </c>
    </row>
    <row r="516" spans="1:11" customFormat="1" ht="15" x14ac:dyDescent="0.25">
      <c r="A516" s="508">
        <v>323</v>
      </c>
      <c r="B516" s="509" t="s">
        <v>23</v>
      </c>
      <c r="C516" s="510">
        <f t="shared" ref="C516:F516" si="428">SUM(C517:C523)</f>
        <v>37500</v>
      </c>
      <c r="D516" s="510">
        <f t="shared" si="428"/>
        <v>18500</v>
      </c>
      <c r="E516" s="510">
        <f t="shared" si="428"/>
        <v>0</v>
      </c>
      <c r="F516" s="510">
        <f t="shared" si="428"/>
        <v>19000</v>
      </c>
      <c r="G516" s="510">
        <f t="shared" ref="G516:H516" si="429">SUM(G517:G523)</f>
        <v>42000</v>
      </c>
      <c r="H516" s="510">
        <f t="shared" si="429"/>
        <v>42000</v>
      </c>
      <c r="I516" s="510">
        <f t="shared" ref="I516:K516" si="430">SUM(I517:I523)</f>
        <v>42000</v>
      </c>
      <c r="J516" s="510">
        <f t="shared" si="430"/>
        <v>42000</v>
      </c>
      <c r="K516" s="510">
        <f t="shared" si="430"/>
        <v>42000</v>
      </c>
    </row>
    <row r="517" spans="1:11" customFormat="1" ht="15" x14ac:dyDescent="0.25">
      <c r="A517" s="520">
        <v>3231</v>
      </c>
      <c r="B517" s="521" t="s">
        <v>24</v>
      </c>
      <c r="C517" s="513">
        <v>1000</v>
      </c>
      <c r="D517" s="513"/>
      <c r="E517" s="513"/>
      <c r="F517" s="513">
        <f t="shared" si="424"/>
        <v>1000</v>
      </c>
      <c r="G517" s="513">
        <v>1000</v>
      </c>
      <c r="H517" s="513">
        <v>1000</v>
      </c>
      <c r="I517" s="513">
        <v>1000</v>
      </c>
      <c r="J517" s="513">
        <v>1000</v>
      </c>
      <c r="K517" s="513">
        <v>1000</v>
      </c>
    </row>
    <row r="518" spans="1:11" customFormat="1" ht="13.5" customHeight="1" x14ac:dyDescent="0.25">
      <c r="A518" s="520">
        <v>3232</v>
      </c>
      <c r="B518" s="521" t="s">
        <v>25</v>
      </c>
      <c r="C518" s="513">
        <v>3000</v>
      </c>
      <c r="D518" s="513">
        <v>2000</v>
      </c>
      <c r="E518" s="513"/>
      <c r="F518" s="513">
        <f t="shared" si="424"/>
        <v>1000</v>
      </c>
      <c r="G518" s="513">
        <v>3000</v>
      </c>
      <c r="H518" s="513">
        <v>3000</v>
      </c>
      <c r="I518" s="513">
        <v>3000</v>
      </c>
      <c r="J518" s="513">
        <v>3000</v>
      </c>
      <c r="K518" s="513">
        <v>3000</v>
      </c>
    </row>
    <row r="519" spans="1:11" customFormat="1" ht="15" x14ac:dyDescent="0.25">
      <c r="A519" s="520">
        <v>3233</v>
      </c>
      <c r="B519" s="521" t="s">
        <v>26</v>
      </c>
      <c r="C519" s="513">
        <v>17000</v>
      </c>
      <c r="D519" s="513">
        <v>7000</v>
      </c>
      <c r="E519" s="513"/>
      <c r="F519" s="513">
        <f t="shared" si="424"/>
        <v>10000</v>
      </c>
      <c r="G519" s="513">
        <v>17000</v>
      </c>
      <c r="H519" s="513">
        <v>17000</v>
      </c>
      <c r="I519" s="513">
        <v>17000</v>
      </c>
      <c r="J519" s="513">
        <v>17000</v>
      </c>
      <c r="K519" s="513">
        <v>17000</v>
      </c>
    </row>
    <row r="520" spans="1:11" customFormat="1" ht="15" x14ac:dyDescent="0.25">
      <c r="A520" s="520">
        <v>3235</v>
      </c>
      <c r="B520" s="521" t="s">
        <v>28</v>
      </c>
      <c r="C520" s="513">
        <v>1000</v>
      </c>
      <c r="D520" s="513"/>
      <c r="E520" s="513"/>
      <c r="F520" s="513">
        <f t="shared" si="424"/>
        <v>1000</v>
      </c>
      <c r="G520" s="513">
        <v>1000</v>
      </c>
      <c r="H520" s="513">
        <v>1000</v>
      </c>
      <c r="I520" s="513">
        <v>1000</v>
      </c>
      <c r="J520" s="513">
        <v>1000</v>
      </c>
      <c r="K520" s="513">
        <v>1000</v>
      </c>
    </row>
    <row r="521" spans="1:11" customFormat="1" ht="15" x14ac:dyDescent="0.25">
      <c r="A521" s="520">
        <v>3236</v>
      </c>
      <c r="B521" s="521" t="s">
        <v>29</v>
      </c>
      <c r="C521" s="513">
        <v>1000</v>
      </c>
      <c r="D521" s="513"/>
      <c r="E521" s="513"/>
      <c r="F521" s="513">
        <f t="shared" si="424"/>
        <v>1000</v>
      </c>
      <c r="G521" s="513">
        <v>1000</v>
      </c>
      <c r="H521" s="513">
        <v>1000</v>
      </c>
      <c r="I521" s="513">
        <v>1000</v>
      </c>
      <c r="J521" s="513">
        <v>1000</v>
      </c>
      <c r="K521" s="513">
        <v>1000</v>
      </c>
    </row>
    <row r="522" spans="1:11" customFormat="1" ht="15" x14ac:dyDescent="0.25">
      <c r="A522" s="520">
        <v>3237</v>
      </c>
      <c r="B522" s="521" t="s">
        <v>30</v>
      </c>
      <c r="C522" s="513">
        <v>5000</v>
      </c>
      <c r="D522" s="513">
        <v>4000</v>
      </c>
      <c r="E522" s="513"/>
      <c r="F522" s="513">
        <f t="shared" si="424"/>
        <v>1000</v>
      </c>
      <c r="G522" s="513">
        <v>5000</v>
      </c>
      <c r="H522" s="513">
        <v>5000</v>
      </c>
      <c r="I522" s="513">
        <v>5000</v>
      </c>
      <c r="J522" s="513">
        <v>5000</v>
      </c>
      <c r="K522" s="513">
        <v>5000</v>
      </c>
    </row>
    <row r="523" spans="1:11" customFormat="1" ht="15" x14ac:dyDescent="0.25">
      <c r="A523" s="520">
        <v>3239</v>
      </c>
      <c r="B523" s="521" t="s">
        <v>31</v>
      </c>
      <c r="C523" s="513">
        <v>9500</v>
      </c>
      <c r="D523" s="513">
        <v>5500</v>
      </c>
      <c r="E523" s="513"/>
      <c r="F523" s="513">
        <f t="shared" si="424"/>
        <v>4000</v>
      </c>
      <c r="G523" s="513">
        <v>14000</v>
      </c>
      <c r="H523" s="513">
        <v>14000</v>
      </c>
      <c r="I523" s="513">
        <v>14000</v>
      </c>
      <c r="J523" s="513">
        <v>14000</v>
      </c>
      <c r="K523" s="513">
        <v>14000</v>
      </c>
    </row>
    <row r="524" spans="1:11" customFormat="1" ht="15" x14ac:dyDescent="0.25">
      <c r="A524" s="519">
        <v>329</v>
      </c>
      <c r="B524" s="509" t="s">
        <v>33</v>
      </c>
      <c r="C524" s="510">
        <f>SUM(C525:C526)</f>
        <v>8000</v>
      </c>
      <c r="D524" s="510">
        <f t="shared" ref="D524:F524" si="431">SUM(D525:D526)</f>
        <v>5000</v>
      </c>
      <c r="E524" s="510">
        <f t="shared" si="431"/>
        <v>0</v>
      </c>
      <c r="F524" s="510">
        <f t="shared" si="431"/>
        <v>3000</v>
      </c>
      <c r="G524" s="510">
        <f>SUM(G525:G526)</f>
        <v>8000</v>
      </c>
      <c r="H524" s="510">
        <f>SUM(H525:H526)</f>
        <v>8000</v>
      </c>
      <c r="I524" s="510">
        <f t="shared" ref="I524:K524" si="432">SUM(I525:I526)</f>
        <v>8000</v>
      </c>
      <c r="J524" s="510">
        <f t="shared" si="432"/>
        <v>8000</v>
      </c>
      <c r="K524" s="510">
        <f t="shared" si="432"/>
        <v>8000</v>
      </c>
    </row>
    <row r="525" spans="1:11" customFormat="1" ht="15" x14ac:dyDescent="0.25">
      <c r="A525" s="520">
        <v>3293</v>
      </c>
      <c r="B525" s="521" t="s">
        <v>36</v>
      </c>
      <c r="C525" s="513">
        <v>1000</v>
      </c>
      <c r="D525" s="513"/>
      <c r="E525" s="513"/>
      <c r="F525" s="513">
        <f t="shared" si="424"/>
        <v>1000</v>
      </c>
      <c r="G525" s="513">
        <v>1000</v>
      </c>
      <c r="H525" s="513">
        <v>1000</v>
      </c>
      <c r="I525" s="513">
        <v>1000</v>
      </c>
      <c r="J525" s="513">
        <v>1000</v>
      </c>
      <c r="K525" s="513">
        <v>1000</v>
      </c>
    </row>
    <row r="526" spans="1:11" customFormat="1" ht="15" x14ac:dyDescent="0.25">
      <c r="A526" s="520">
        <v>3299</v>
      </c>
      <c r="B526" s="521" t="s">
        <v>33</v>
      </c>
      <c r="C526" s="513">
        <v>7000</v>
      </c>
      <c r="D526" s="513">
        <v>5000</v>
      </c>
      <c r="E526" s="513"/>
      <c r="F526" s="513">
        <f t="shared" si="424"/>
        <v>2000</v>
      </c>
      <c r="G526" s="513">
        <v>7000</v>
      </c>
      <c r="H526" s="513">
        <v>7000</v>
      </c>
      <c r="I526" s="513">
        <v>7000</v>
      </c>
      <c r="J526" s="513">
        <v>7000</v>
      </c>
      <c r="K526" s="513">
        <v>7000</v>
      </c>
    </row>
    <row r="527" spans="1:11" customFormat="1" ht="25.5" hidden="1" x14ac:dyDescent="0.25">
      <c r="A527" s="519">
        <v>372</v>
      </c>
      <c r="B527" s="509" t="s">
        <v>44</v>
      </c>
      <c r="C527" s="510">
        <f t="shared" ref="C527:D527" si="433">SUM(C528)</f>
        <v>0</v>
      </c>
      <c r="D527" s="510">
        <f t="shared" si="433"/>
        <v>0</v>
      </c>
      <c r="E527" s="510"/>
      <c r="F527" s="510"/>
      <c r="G527" s="510">
        <f t="shared" ref="G527:H527" si="434">SUM(G528)</f>
        <v>0</v>
      </c>
      <c r="H527" s="510">
        <f t="shared" si="434"/>
        <v>0</v>
      </c>
      <c r="I527" s="510"/>
      <c r="J527" s="510"/>
      <c r="K527" s="510"/>
    </row>
    <row r="528" spans="1:11" s="9" customFormat="1" ht="15" hidden="1" x14ac:dyDescent="0.25">
      <c r="A528" s="520">
        <v>3721</v>
      </c>
      <c r="B528" s="521" t="s">
        <v>45</v>
      </c>
      <c r="C528" s="569"/>
      <c r="D528" s="569"/>
      <c r="E528" s="569"/>
      <c r="F528" s="569"/>
      <c r="G528" s="569"/>
      <c r="H528" s="569"/>
      <c r="I528" s="569"/>
      <c r="J528" s="569"/>
      <c r="K528" s="569"/>
    </row>
    <row r="529" spans="1:11" s="9" customFormat="1" ht="25.5" x14ac:dyDescent="0.25">
      <c r="A529" s="505" t="s">
        <v>330</v>
      </c>
      <c r="B529" s="517" t="s">
        <v>331</v>
      </c>
      <c r="C529" s="507">
        <f>SUM(C530)</f>
        <v>13500</v>
      </c>
      <c r="D529" s="507">
        <f t="shared" ref="D529:K529" si="435">SUM(D530)</f>
        <v>0</v>
      </c>
      <c r="E529" s="507">
        <f t="shared" si="435"/>
        <v>500</v>
      </c>
      <c r="F529" s="507">
        <f t="shared" si="435"/>
        <v>14000</v>
      </c>
      <c r="G529" s="507">
        <f>SUM(G530)</f>
        <v>13000</v>
      </c>
      <c r="H529" s="507">
        <f>SUM(H530)</f>
        <v>13000</v>
      </c>
      <c r="I529" s="507">
        <f t="shared" si="435"/>
        <v>13000</v>
      </c>
      <c r="J529" s="507">
        <f t="shared" si="435"/>
        <v>13000</v>
      </c>
      <c r="K529" s="507">
        <f t="shared" si="435"/>
        <v>13000</v>
      </c>
    </row>
    <row r="530" spans="1:11" customFormat="1" ht="15" x14ac:dyDescent="0.25">
      <c r="A530" s="519">
        <v>422</v>
      </c>
      <c r="B530" s="523" t="s">
        <v>53</v>
      </c>
      <c r="C530" s="510">
        <f t="shared" ref="C530:F530" si="436">SUM(C531:C534)</f>
        <v>13500</v>
      </c>
      <c r="D530" s="510">
        <f t="shared" si="436"/>
        <v>0</v>
      </c>
      <c r="E530" s="510">
        <f t="shared" si="436"/>
        <v>500</v>
      </c>
      <c r="F530" s="510">
        <f t="shared" si="436"/>
        <v>14000</v>
      </c>
      <c r="G530" s="510">
        <f t="shared" ref="G530:H530" si="437">SUM(G531:G534)</f>
        <v>13000</v>
      </c>
      <c r="H530" s="510">
        <f t="shared" si="437"/>
        <v>13000</v>
      </c>
      <c r="I530" s="510">
        <f t="shared" ref="I530:K530" si="438">SUM(I531:I534)</f>
        <v>13000</v>
      </c>
      <c r="J530" s="510">
        <f t="shared" si="438"/>
        <v>13000</v>
      </c>
      <c r="K530" s="510">
        <f t="shared" si="438"/>
        <v>13000</v>
      </c>
    </row>
    <row r="531" spans="1:11" customFormat="1" ht="15" x14ac:dyDescent="0.25">
      <c r="A531" s="520">
        <v>4221</v>
      </c>
      <c r="B531" s="521" t="s">
        <v>54</v>
      </c>
      <c r="C531" s="513">
        <v>3000</v>
      </c>
      <c r="D531" s="513"/>
      <c r="E531" s="513"/>
      <c r="F531" s="513">
        <f t="shared" ref="F531:F533" si="439">C531-D531+E531</f>
        <v>3000</v>
      </c>
      <c r="G531" s="513">
        <v>3000</v>
      </c>
      <c r="H531" s="513">
        <v>3000</v>
      </c>
      <c r="I531" s="513">
        <v>3000</v>
      </c>
      <c r="J531" s="513">
        <v>3000</v>
      </c>
      <c r="K531" s="513">
        <v>3000</v>
      </c>
    </row>
    <row r="532" spans="1:11" customFormat="1" ht="15" customHeight="1" x14ac:dyDescent="0.25">
      <c r="A532" s="520">
        <v>4222</v>
      </c>
      <c r="B532" s="521" t="s">
        <v>58</v>
      </c>
      <c r="C532" s="513">
        <v>500</v>
      </c>
      <c r="D532" s="513"/>
      <c r="E532" s="513">
        <v>500</v>
      </c>
      <c r="F532" s="513">
        <f t="shared" si="439"/>
        <v>1000</v>
      </c>
      <c r="G532" s="513"/>
      <c r="H532" s="513"/>
      <c r="I532" s="513"/>
      <c r="J532" s="513"/>
      <c r="K532" s="513"/>
    </row>
    <row r="533" spans="1:11" customFormat="1" ht="15" x14ac:dyDescent="0.25">
      <c r="A533" s="520">
        <v>4223</v>
      </c>
      <c r="B533" s="521" t="s">
        <v>59</v>
      </c>
      <c r="C533" s="513">
        <v>10000</v>
      </c>
      <c r="D533" s="513"/>
      <c r="E533" s="513"/>
      <c r="F533" s="513">
        <f t="shared" si="439"/>
        <v>10000</v>
      </c>
      <c r="G533" s="513">
        <v>10000</v>
      </c>
      <c r="H533" s="513">
        <v>10000</v>
      </c>
      <c r="I533" s="513">
        <v>10000</v>
      </c>
      <c r="J533" s="513">
        <v>10000</v>
      </c>
      <c r="K533" s="513">
        <v>10000</v>
      </c>
    </row>
    <row r="534" spans="1:11" customFormat="1" ht="15" hidden="1" customHeight="1" x14ac:dyDescent="0.25">
      <c r="A534" s="520">
        <v>4227</v>
      </c>
      <c r="B534" s="521" t="s">
        <v>60</v>
      </c>
      <c r="C534" s="513"/>
      <c r="D534" s="513"/>
      <c r="E534" s="513"/>
      <c r="F534" s="513"/>
      <c r="G534" s="513"/>
      <c r="H534" s="513"/>
      <c r="I534" s="513"/>
      <c r="J534" s="513"/>
      <c r="K534" s="513"/>
    </row>
    <row r="535" spans="1:11" customFormat="1" ht="24" customHeight="1" x14ac:dyDescent="0.25">
      <c r="A535" s="540" t="s">
        <v>332</v>
      </c>
      <c r="B535" s="541" t="s">
        <v>333</v>
      </c>
      <c r="C535" s="507">
        <f>SUM(C536)</f>
        <v>11000</v>
      </c>
      <c r="D535" s="507">
        <f t="shared" ref="D535:K535" si="440">SUM(D536)</f>
        <v>0</v>
      </c>
      <c r="E535" s="507">
        <f t="shared" si="440"/>
        <v>0</v>
      </c>
      <c r="F535" s="507">
        <f t="shared" si="440"/>
        <v>11000</v>
      </c>
      <c r="G535" s="507">
        <f>SUM(G536)</f>
        <v>7000</v>
      </c>
      <c r="H535" s="507">
        <f>SUM(H536)</f>
        <v>7000</v>
      </c>
      <c r="I535" s="507">
        <f t="shared" si="440"/>
        <v>7000</v>
      </c>
      <c r="J535" s="507">
        <f t="shared" si="440"/>
        <v>7000</v>
      </c>
      <c r="K535" s="507">
        <f t="shared" si="440"/>
        <v>7000</v>
      </c>
    </row>
    <row r="536" spans="1:11" customFormat="1" ht="25.5" x14ac:dyDescent="0.25">
      <c r="A536" s="519">
        <v>451</v>
      </c>
      <c r="B536" s="523" t="s">
        <v>55</v>
      </c>
      <c r="C536" s="510">
        <f t="shared" ref="C536:K536" si="441">SUM(C537)</f>
        <v>11000</v>
      </c>
      <c r="D536" s="510">
        <f t="shared" si="441"/>
        <v>0</v>
      </c>
      <c r="E536" s="510">
        <f t="shared" si="441"/>
        <v>0</v>
      </c>
      <c r="F536" s="510">
        <f t="shared" si="441"/>
        <v>11000</v>
      </c>
      <c r="G536" s="510">
        <f t="shared" si="441"/>
        <v>7000</v>
      </c>
      <c r="H536" s="510">
        <f t="shared" si="441"/>
        <v>7000</v>
      </c>
      <c r="I536" s="510">
        <f t="shared" si="441"/>
        <v>7000</v>
      </c>
      <c r="J536" s="510">
        <f t="shared" si="441"/>
        <v>7000</v>
      </c>
      <c r="K536" s="510">
        <f t="shared" si="441"/>
        <v>7000</v>
      </c>
    </row>
    <row r="537" spans="1:11" customFormat="1" ht="25.5" x14ac:dyDescent="0.25">
      <c r="A537" s="520">
        <v>4511</v>
      </c>
      <c r="B537" s="521" t="s">
        <v>55</v>
      </c>
      <c r="C537" s="513">
        <v>11000</v>
      </c>
      <c r="D537" s="513"/>
      <c r="E537" s="513"/>
      <c r="F537" s="513">
        <f t="shared" ref="F537" si="442">C537-D537+E537</f>
        <v>11000</v>
      </c>
      <c r="G537" s="513">
        <v>7000</v>
      </c>
      <c r="H537" s="513">
        <v>7000</v>
      </c>
      <c r="I537" s="513">
        <v>7000</v>
      </c>
      <c r="J537" s="513">
        <v>7000</v>
      </c>
      <c r="K537" s="513">
        <v>7000</v>
      </c>
    </row>
    <row r="538" spans="1:11" customFormat="1" ht="18" customHeight="1" x14ac:dyDescent="0.25">
      <c r="A538" s="710" t="s">
        <v>120</v>
      </c>
      <c r="B538" s="710"/>
      <c r="C538" s="504">
        <f>SUM(C539,C544)</f>
        <v>16000</v>
      </c>
      <c r="D538" s="504">
        <f t="shared" ref="D538:F538" si="443">SUM(D539,D544)</f>
        <v>1000</v>
      </c>
      <c r="E538" s="504">
        <f t="shared" si="443"/>
        <v>0</v>
      </c>
      <c r="F538" s="504">
        <f t="shared" si="443"/>
        <v>15000</v>
      </c>
      <c r="G538" s="504">
        <f>SUM(G539,G544)</f>
        <v>7000</v>
      </c>
      <c r="H538" s="504">
        <f>SUM(H539,H544)</f>
        <v>7000</v>
      </c>
      <c r="I538" s="504">
        <f t="shared" ref="I538:K538" si="444">SUM(I539,I544)</f>
        <v>7000</v>
      </c>
      <c r="J538" s="504">
        <f t="shared" si="444"/>
        <v>7000</v>
      </c>
      <c r="K538" s="504">
        <f t="shared" si="444"/>
        <v>7000</v>
      </c>
    </row>
    <row r="539" spans="1:11" customFormat="1" ht="18" customHeight="1" x14ac:dyDescent="0.25">
      <c r="A539" s="516" t="s">
        <v>324</v>
      </c>
      <c r="B539" s="516" t="s">
        <v>325</v>
      </c>
      <c r="C539" s="549">
        <f>SUM(C540)</f>
        <v>2000</v>
      </c>
      <c r="D539" s="549">
        <f t="shared" ref="D539:K539" si="445">SUM(D540)</f>
        <v>1000</v>
      </c>
      <c r="E539" s="549">
        <f t="shared" si="445"/>
        <v>0</v>
      </c>
      <c r="F539" s="549">
        <f t="shared" si="445"/>
        <v>1000</v>
      </c>
      <c r="G539" s="549">
        <f>SUM(G540)</f>
        <v>2000</v>
      </c>
      <c r="H539" s="549">
        <f>SUM(H540)</f>
        <v>2000</v>
      </c>
      <c r="I539" s="549">
        <f t="shared" si="445"/>
        <v>2000</v>
      </c>
      <c r="J539" s="549">
        <f t="shared" si="445"/>
        <v>2000</v>
      </c>
      <c r="K539" s="549">
        <f t="shared" si="445"/>
        <v>2000</v>
      </c>
    </row>
    <row r="540" spans="1:11" s="6" customFormat="1" ht="15" x14ac:dyDescent="0.25">
      <c r="A540" s="508">
        <v>322</v>
      </c>
      <c r="B540" s="509" t="s">
        <v>16</v>
      </c>
      <c r="C540" s="533">
        <f t="shared" ref="C540:K540" si="446">SUM(C541)</f>
        <v>2000</v>
      </c>
      <c r="D540" s="533">
        <f t="shared" si="446"/>
        <v>1000</v>
      </c>
      <c r="E540" s="533">
        <f t="shared" si="446"/>
        <v>0</v>
      </c>
      <c r="F540" s="533">
        <f t="shared" si="446"/>
        <v>1000</v>
      </c>
      <c r="G540" s="533">
        <f t="shared" si="446"/>
        <v>2000</v>
      </c>
      <c r="H540" s="533">
        <f t="shared" si="446"/>
        <v>2000</v>
      </c>
      <c r="I540" s="533">
        <f t="shared" si="446"/>
        <v>2000</v>
      </c>
      <c r="J540" s="533">
        <f t="shared" si="446"/>
        <v>2000</v>
      </c>
      <c r="K540" s="533">
        <f t="shared" si="446"/>
        <v>2000</v>
      </c>
    </row>
    <row r="541" spans="1:11" customFormat="1" ht="13.5" customHeight="1" x14ac:dyDescent="0.25">
      <c r="A541" s="520">
        <v>3222</v>
      </c>
      <c r="B541" s="521" t="s">
        <v>18</v>
      </c>
      <c r="C541" s="522">
        <v>2000</v>
      </c>
      <c r="D541" s="522">
        <v>1000</v>
      </c>
      <c r="E541" s="522"/>
      <c r="F541" s="513">
        <f t="shared" ref="F541" si="447">C541-D541+E541</f>
        <v>1000</v>
      </c>
      <c r="G541" s="522">
        <v>2000</v>
      </c>
      <c r="H541" s="522">
        <v>2000</v>
      </c>
      <c r="I541" s="522">
        <v>2000</v>
      </c>
      <c r="J541" s="522">
        <v>2000</v>
      </c>
      <c r="K541" s="522">
        <v>2000</v>
      </c>
    </row>
    <row r="542" spans="1:11" customFormat="1" ht="15" hidden="1" x14ac:dyDescent="0.25">
      <c r="A542" s="508">
        <v>323</v>
      </c>
      <c r="B542" s="509" t="s">
        <v>23</v>
      </c>
      <c r="C542" s="510">
        <f t="shared" ref="C542:D542" si="448">SUM(C543)</f>
        <v>0</v>
      </c>
      <c r="D542" s="510">
        <f t="shared" si="448"/>
        <v>0</v>
      </c>
      <c r="E542" s="510"/>
      <c r="F542" s="510"/>
      <c r="G542" s="510">
        <f t="shared" ref="G542:H542" si="449">SUM(G543)</f>
        <v>0</v>
      </c>
      <c r="H542" s="510">
        <f t="shared" si="449"/>
        <v>0</v>
      </c>
      <c r="I542" s="510"/>
      <c r="J542" s="510"/>
      <c r="K542" s="510"/>
    </row>
    <row r="543" spans="1:11" customFormat="1" ht="15" hidden="1" x14ac:dyDescent="0.25">
      <c r="A543" s="520">
        <v>3233</v>
      </c>
      <c r="B543" s="521" t="s">
        <v>26</v>
      </c>
      <c r="C543" s="513"/>
      <c r="D543" s="513"/>
      <c r="E543" s="513"/>
      <c r="F543" s="513"/>
      <c r="G543" s="513"/>
      <c r="H543" s="513"/>
      <c r="I543" s="513"/>
      <c r="J543" s="513"/>
      <c r="K543" s="513"/>
    </row>
    <row r="544" spans="1:11" customFormat="1" ht="25.5" x14ac:dyDescent="0.25">
      <c r="A544" s="505" t="s">
        <v>330</v>
      </c>
      <c r="B544" s="517" t="s">
        <v>331</v>
      </c>
      <c r="C544" s="507">
        <f>SUM(C545)</f>
        <v>14000</v>
      </c>
      <c r="D544" s="507">
        <f t="shared" ref="D544:K544" si="450">SUM(D545)</f>
        <v>0</v>
      </c>
      <c r="E544" s="507">
        <f t="shared" si="450"/>
        <v>0</v>
      </c>
      <c r="F544" s="507">
        <f t="shared" si="450"/>
        <v>14000</v>
      </c>
      <c r="G544" s="507">
        <f>SUM(G545)</f>
        <v>5000</v>
      </c>
      <c r="H544" s="507">
        <f>SUM(H545)</f>
        <v>5000</v>
      </c>
      <c r="I544" s="507">
        <f t="shared" si="450"/>
        <v>5000</v>
      </c>
      <c r="J544" s="507">
        <f t="shared" si="450"/>
        <v>5000</v>
      </c>
      <c r="K544" s="507">
        <f t="shared" si="450"/>
        <v>5000</v>
      </c>
    </row>
    <row r="545" spans="1:11" customFormat="1" ht="15" x14ac:dyDescent="0.25">
      <c r="A545" s="508">
        <v>422</v>
      </c>
      <c r="B545" s="523" t="s">
        <v>53</v>
      </c>
      <c r="C545" s="552">
        <f t="shared" ref="C545:K545" si="451">SUM(C546)</f>
        <v>14000</v>
      </c>
      <c r="D545" s="552">
        <f t="shared" si="451"/>
        <v>0</v>
      </c>
      <c r="E545" s="552">
        <f t="shared" si="451"/>
        <v>0</v>
      </c>
      <c r="F545" s="552">
        <f t="shared" si="451"/>
        <v>14000</v>
      </c>
      <c r="G545" s="552">
        <f t="shared" si="451"/>
        <v>5000</v>
      </c>
      <c r="H545" s="552">
        <f t="shared" si="451"/>
        <v>5000</v>
      </c>
      <c r="I545" s="552">
        <f t="shared" si="451"/>
        <v>5000</v>
      </c>
      <c r="J545" s="552">
        <f t="shared" si="451"/>
        <v>5000</v>
      </c>
      <c r="K545" s="552">
        <f t="shared" si="451"/>
        <v>5000</v>
      </c>
    </row>
    <row r="546" spans="1:11" customFormat="1" ht="13.5" customHeight="1" x14ac:dyDescent="0.25">
      <c r="A546" s="511">
        <v>4221</v>
      </c>
      <c r="B546" s="521" t="s">
        <v>54</v>
      </c>
      <c r="C546" s="513">
        <v>14000</v>
      </c>
      <c r="D546" s="513"/>
      <c r="E546" s="513"/>
      <c r="F546" s="513">
        <f t="shared" ref="F546" si="452">C546-D546+E546</f>
        <v>14000</v>
      </c>
      <c r="G546" s="513">
        <v>5000</v>
      </c>
      <c r="H546" s="513">
        <v>5000</v>
      </c>
      <c r="I546" s="513">
        <v>5000</v>
      </c>
      <c r="J546" s="513">
        <v>5000</v>
      </c>
      <c r="K546" s="513">
        <v>5000</v>
      </c>
    </row>
    <row r="547" spans="1:11" customFormat="1" ht="15" hidden="1" x14ac:dyDescent="0.25">
      <c r="A547" s="519">
        <v>423</v>
      </c>
      <c r="B547" s="523" t="s">
        <v>61</v>
      </c>
      <c r="C547" s="510">
        <f t="shared" ref="C547:D547" si="453">SUM(C548)</f>
        <v>0</v>
      </c>
      <c r="D547" s="510">
        <f t="shared" si="453"/>
        <v>0</v>
      </c>
      <c r="E547" s="510"/>
      <c r="F547" s="510"/>
      <c r="G547" s="510"/>
      <c r="H547" s="510"/>
      <c r="I547" s="510"/>
      <c r="J547" s="510"/>
      <c r="K547" s="510"/>
    </row>
    <row r="548" spans="1:11" customFormat="1" ht="15" hidden="1" x14ac:dyDescent="0.25">
      <c r="A548" s="520">
        <v>4231</v>
      </c>
      <c r="B548" s="521" t="s">
        <v>62</v>
      </c>
      <c r="C548" s="513"/>
      <c r="D548" s="513"/>
      <c r="E548" s="513"/>
      <c r="F548" s="513"/>
      <c r="G548" s="513"/>
      <c r="H548" s="513"/>
      <c r="I548" s="513"/>
      <c r="J548" s="513"/>
      <c r="K548" s="513"/>
    </row>
    <row r="549" spans="1:11" customFormat="1" ht="25.5" hidden="1" x14ac:dyDescent="0.25">
      <c r="A549" s="501" t="s">
        <v>298</v>
      </c>
      <c r="B549" s="502" t="s">
        <v>299</v>
      </c>
      <c r="C549" s="503">
        <f t="shared" ref="C549:D549" si="454">SUM(C550)</f>
        <v>0</v>
      </c>
      <c r="D549" s="503">
        <f t="shared" si="454"/>
        <v>0</v>
      </c>
      <c r="E549" s="503"/>
      <c r="F549" s="503"/>
      <c r="G549" s="503"/>
      <c r="H549" s="503"/>
      <c r="I549" s="503"/>
      <c r="J549" s="503"/>
      <c r="K549" s="503"/>
    </row>
    <row r="550" spans="1:11" customFormat="1" ht="17.25" hidden="1" customHeight="1" x14ac:dyDescent="0.25">
      <c r="A550" s="710" t="s">
        <v>300</v>
      </c>
      <c r="B550" s="710"/>
      <c r="C550" s="515">
        <f t="shared" ref="C550:D550" si="455">SUM(C551,C553,C558,C562,C564,C567,C569)</f>
        <v>0</v>
      </c>
      <c r="D550" s="515">
        <f t="shared" si="455"/>
        <v>0</v>
      </c>
      <c r="E550" s="515"/>
      <c r="F550" s="515"/>
      <c r="G550" s="515"/>
      <c r="H550" s="515"/>
      <c r="I550" s="515"/>
      <c r="J550" s="515"/>
      <c r="K550" s="515"/>
    </row>
    <row r="551" spans="1:11" customFormat="1" ht="15" hidden="1" x14ac:dyDescent="0.25">
      <c r="A551" s="519" t="s">
        <v>149</v>
      </c>
      <c r="B551" s="523" t="s">
        <v>12</v>
      </c>
      <c r="C551" s="510">
        <f t="shared" ref="C551:D551" si="456">SUM(C552:C552)</f>
        <v>0</v>
      </c>
      <c r="D551" s="510">
        <f t="shared" si="456"/>
        <v>0</v>
      </c>
      <c r="E551" s="510"/>
      <c r="F551" s="510"/>
      <c r="G551" s="510"/>
      <c r="H551" s="510"/>
      <c r="I551" s="510"/>
      <c r="J551" s="510"/>
      <c r="K551" s="510"/>
    </row>
    <row r="552" spans="1:11" customFormat="1" ht="15" hidden="1" x14ac:dyDescent="0.25">
      <c r="A552" s="520" t="s">
        <v>150</v>
      </c>
      <c r="B552" s="521" t="s">
        <v>13</v>
      </c>
      <c r="C552" s="513"/>
      <c r="D552" s="513"/>
      <c r="E552" s="513"/>
      <c r="F552" s="513"/>
      <c r="G552" s="513"/>
      <c r="H552" s="513"/>
      <c r="I552" s="513"/>
      <c r="J552" s="513"/>
      <c r="K552" s="513"/>
    </row>
    <row r="553" spans="1:11" customFormat="1" ht="15" hidden="1" x14ac:dyDescent="0.25">
      <c r="A553" s="519" t="s">
        <v>153</v>
      </c>
      <c r="B553" s="523" t="s">
        <v>16</v>
      </c>
      <c r="C553" s="510">
        <f t="shared" ref="C553:D553" si="457">SUM(C554:C557)</f>
        <v>0</v>
      </c>
      <c r="D553" s="510">
        <f t="shared" si="457"/>
        <v>0</v>
      </c>
      <c r="E553" s="510"/>
      <c r="F553" s="510"/>
      <c r="G553" s="510"/>
      <c r="H553" s="510"/>
      <c r="I553" s="510"/>
      <c r="J553" s="510"/>
      <c r="K553" s="510"/>
    </row>
    <row r="554" spans="1:11" customFormat="1" ht="13.5" hidden="1" customHeight="1" x14ac:dyDescent="0.25">
      <c r="A554" s="520">
        <v>3222</v>
      </c>
      <c r="B554" s="521" t="s">
        <v>18</v>
      </c>
      <c r="C554" s="522"/>
      <c r="D554" s="522"/>
      <c r="E554" s="522"/>
      <c r="F554" s="522"/>
      <c r="G554" s="522"/>
      <c r="H554" s="522"/>
      <c r="I554" s="522"/>
      <c r="J554" s="522"/>
      <c r="K554" s="522"/>
    </row>
    <row r="555" spans="1:11" customFormat="1" ht="15" hidden="1" x14ac:dyDescent="0.25">
      <c r="A555" s="520" t="s">
        <v>156</v>
      </c>
      <c r="B555" s="521" t="s">
        <v>19</v>
      </c>
      <c r="C555" s="513"/>
      <c r="D555" s="513"/>
      <c r="E555" s="513"/>
      <c r="F555" s="513"/>
      <c r="G555" s="513"/>
      <c r="H555" s="513"/>
      <c r="I555" s="513"/>
      <c r="J555" s="513"/>
      <c r="K555" s="513"/>
    </row>
    <row r="556" spans="1:11" customFormat="1" ht="15" hidden="1" x14ac:dyDescent="0.25">
      <c r="A556" s="511">
        <v>3225</v>
      </c>
      <c r="B556" s="512" t="s">
        <v>117</v>
      </c>
      <c r="C556" s="513"/>
      <c r="D556" s="513"/>
      <c r="E556" s="513"/>
      <c r="F556" s="513"/>
      <c r="G556" s="513"/>
      <c r="H556" s="513"/>
      <c r="I556" s="513"/>
      <c r="J556" s="513"/>
      <c r="K556" s="513"/>
    </row>
    <row r="557" spans="1:11" customFormat="1" ht="15" hidden="1" x14ac:dyDescent="0.25">
      <c r="A557" s="520">
        <v>3227</v>
      </c>
      <c r="B557" s="521" t="s">
        <v>22</v>
      </c>
      <c r="C557" s="513"/>
      <c r="D557" s="513"/>
      <c r="E557" s="513"/>
      <c r="F557" s="513"/>
      <c r="G557" s="513"/>
      <c r="H557" s="513"/>
      <c r="I557" s="513"/>
      <c r="J557" s="513"/>
      <c r="K557" s="513"/>
    </row>
    <row r="558" spans="1:11" customFormat="1" ht="15" hidden="1" x14ac:dyDescent="0.25">
      <c r="A558" s="519" t="s">
        <v>159</v>
      </c>
      <c r="B558" s="523" t="s">
        <v>123</v>
      </c>
      <c r="C558" s="510">
        <f t="shared" ref="C558:D558" si="458">SUM(C559:C561)</f>
        <v>0</v>
      </c>
      <c r="D558" s="510">
        <f t="shared" si="458"/>
        <v>0</v>
      </c>
      <c r="E558" s="510"/>
      <c r="F558" s="510"/>
      <c r="G558" s="510"/>
      <c r="H558" s="510"/>
      <c r="I558" s="510"/>
      <c r="J558" s="510"/>
      <c r="K558" s="510"/>
    </row>
    <row r="559" spans="1:11" customFormat="1" ht="15" hidden="1" x14ac:dyDescent="0.25">
      <c r="A559" s="520" t="s">
        <v>160</v>
      </c>
      <c r="B559" s="521" t="s">
        <v>24</v>
      </c>
      <c r="C559" s="513"/>
      <c r="D559" s="513"/>
      <c r="E559" s="513"/>
      <c r="F559" s="513"/>
      <c r="G559" s="513"/>
      <c r="H559" s="513"/>
      <c r="I559" s="513"/>
      <c r="J559" s="513"/>
      <c r="K559" s="513"/>
    </row>
    <row r="560" spans="1:11" customFormat="1" ht="15" hidden="1" x14ac:dyDescent="0.25">
      <c r="A560" s="520">
        <v>3233</v>
      </c>
      <c r="B560" s="521" t="s">
        <v>26</v>
      </c>
      <c r="C560" s="513"/>
      <c r="D560" s="513"/>
      <c r="E560" s="513"/>
      <c r="F560" s="513"/>
      <c r="G560" s="513"/>
      <c r="H560" s="513"/>
      <c r="I560" s="513"/>
      <c r="J560" s="513"/>
      <c r="K560" s="513"/>
    </row>
    <row r="561" spans="1:11" customFormat="1" ht="15" hidden="1" x14ac:dyDescent="0.25">
      <c r="A561" s="511">
        <v>3239</v>
      </c>
      <c r="B561" s="512" t="s">
        <v>31</v>
      </c>
      <c r="C561" s="513"/>
      <c r="D561" s="513"/>
      <c r="E561" s="513"/>
      <c r="F561" s="513"/>
      <c r="G561" s="513"/>
      <c r="H561" s="513"/>
      <c r="I561" s="513"/>
      <c r="J561" s="513"/>
      <c r="K561" s="513"/>
    </row>
    <row r="562" spans="1:11" customFormat="1" ht="25.5" hidden="1" x14ac:dyDescent="0.25">
      <c r="A562" s="519" t="s">
        <v>168</v>
      </c>
      <c r="B562" s="523" t="s">
        <v>32</v>
      </c>
      <c r="C562" s="510">
        <f t="shared" ref="C562:D562" si="459">SUM(C563)</f>
        <v>0</v>
      </c>
      <c r="D562" s="510">
        <f t="shared" si="459"/>
        <v>0</v>
      </c>
      <c r="E562" s="510"/>
      <c r="F562" s="510"/>
      <c r="G562" s="510"/>
      <c r="H562" s="510"/>
      <c r="I562" s="510"/>
      <c r="J562" s="510"/>
      <c r="K562" s="510"/>
    </row>
    <row r="563" spans="1:11" customFormat="1" ht="25.5" hidden="1" x14ac:dyDescent="0.25">
      <c r="A563" s="520" t="s">
        <v>169</v>
      </c>
      <c r="B563" s="521" t="s">
        <v>32</v>
      </c>
      <c r="C563" s="513"/>
      <c r="D563" s="513"/>
      <c r="E563" s="513"/>
      <c r="F563" s="513"/>
      <c r="G563" s="513"/>
      <c r="H563" s="513"/>
      <c r="I563" s="513"/>
      <c r="J563" s="513"/>
      <c r="K563" s="513"/>
    </row>
    <row r="564" spans="1:11" customFormat="1" ht="15" hidden="1" x14ac:dyDescent="0.25">
      <c r="A564" s="519" t="s">
        <v>170</v>
      </c>
      <c r="B564" s="523" t="s">
        <v>33</v>
      </c>
      <c r="C564" s="510">
        <f t="shared" ref="C564:D564" si="460">SUM(C565:C566)</f>
        <v>0</v>
      </c>
      <c r="D564" s="510">
        <f t="shared" si="460"/>
        <v>0</v>
      </c>
      <c r="E564" s="510"/>
      <c r="F564" s="510"/>
      <c r="G564" s="510"/>
      <c r="H564" s="510"/>
      <c r="I564" s="510"/>
      <c r="J564" s="510"/>
      <c r="K564" s="510"/>
    </row>
    <row r="565" spans="1:11" customFormat="1" ht="15" hidden="1" x14ac:dyDescent="0.25">
      <c r="A565" s="520" t="s">
        <v>172</v>
      </c>
      <c r="B565" s="521" t="s">
        <v>36</v>
      </c>
      <c r="C565" s="513"/>
      <c r="D565" s="513"/>
      <c r="E565" s="513"/>
      <c r="F565" s="513"/>
      <c r="G565" s="513"/>
      <c r="H565" s="513"/>
      <c r="I565" s="513"/>
      <c r="J565" s="513"/>
      <c r="K565" s="513"/>
    </row>
    <row r="566" spans="1:11" customFormat="1" ht="15" hidden="1" x14ac:dyDescent="0.25">
      <c r="A566" s="520">
        <v>3299</v>
      </c>
      <c r="B566" s="521" t="s">
        <v>33</v>
      </c>
      <c r="C566" s="513"/>
      <c r="D566" s="513"/>
      <c r="E566" s="513"/>
      <c r="F566" s="513"/>
      <c r="G566" s="513"/>
      <c r="H566" s="513"/>
      <c r="I566" s="513"/>
      <c r="J566" s="513"/>
      <c r="K566" s="513"/>
    </row>
    <row r="567" spans="1:11" customFormat="1" ht="15" hidden="1" x14ac:dyDescent="0.25">
      <c r="A567" s="508">
        <v>343</v>
      </c>
      <c r="B567" s="509" t="s">
        <v>40</v>
      </c>
      <c r="C567" s="510">
        <f t="shared" ref="C567:D567" si="461">SUM(C568)</f>
        <v>0</v>
      </c>
      <c r="D567" s="510">
        <f t="shared" si="461"/>
        <v>0</v>
      </c>
      <c r="E567" s="510"/>
      <c r="F567" s="510"/>
      <c r="G567" s="510"/>
      <c r="H567" s="510"/>
      <c r="I567" s="510"/>
      <c r="J567" s="510"/>
      <c r="K567" s="510"/>
    </row>
    <row r="568" spans="1:11" customFormat="1" ht="15" hidden="1" x14ac:dyDescent="0.25">
      <c r="A568" s="511">
        <v>3434</v>
      </c>
      <c r="B568" s="512" t="s">
        <v>43</v>
      </c>
      <c r="C568" s="513"/>
      <c r="D568" s="513"/>
      <c r="E568" s="513"/>
      <c r="F568" s="513"/>
      <c r="G568" s="513"/>
      <c r="H568" s="513"/>
      <c r="I568" s="513"/>
      <c r="J568" s="513"/>
      <c r="K568" s="513"/>
    </row>
    <row r="569" spans="1:11" customFormat="1" ht="15" hidden="1" x14ac:dyDescent="0.25">
      <c r="A569" s="519" t="s">
        <v>177</v>
      </c>
      <c r="B569" s="523" t="s">
        <v>129</v>
      </c>
      <c r="C569" s="510">
        <f t="shared" ref="C569:D569" si="462">SUM(C570,C571,C572)</f>
        <v>0</v>
      </c>
      <c r="D569" s="510">
        <f t="shared" si="462"/>
        <v>0</v>
      </c>
      <c r="E569" s="510"/>
      <c r="F569" s="510"/>
      <c r="G569" s="510"/>
      <c r="H569" s="510"/>
      <c r="I569" s="510"/>
      <c r="J569" s="510"/>
      <c r="K569" s="510"/>
    </row>
    <row r="570" spans="1:11" customFormat="1" ht="15" hidden="1" x14ac:dyDescent="0.25">
      <c r="A570" s="520" t="s">
        <v>178</v>
      </c>
      <c r="B570" s="521" t="s">
        <v>54</v>
      </c>
      <c r="C570" s="513"/>
      <c r="D570" s="513"/>
      <c r="E570" s="513"/>
      <c r="F570" s="513"/>
      <c r="G570" s="513"/>
      <c r="H570" s="513"/>
      <c r="I570" s="513"/>
      <c r="J570" s="513"/>
      <c r="K570" s="513"/>
    </row>
    <row r="571" spans="1:11" customFormat="1" ht="15" hidden="1" x14ac:dyDescent="0.25">
      <c r="A571" s="520" t="s">
        <v>186</v>
      </c>
      <c r="B571" s="521" t="s">
        <v>58</v>
      </c>
      <c r="C571" s="513"/>
      <c r="D571" s="513"/>
      <c r="E571" s="513"/>
      <c r="F571" s="513"/>
      <c r="G571" s="513"/>
      <c r="H571" s="513"/>
      <c r="I571" s="513"/>
      <c r="J571" s="513"/>
      <c r="K571" s="513"/>
    </row>
    <row r="572" spans="1:11" customFormat="1" ht="15" hidden="1" x14ac:dyDescent="0.25">
      <c r="A572" s="520">
        <v>4223</v>
      </c>
      <c r="B572" s="521" t="s">
        <v>59</v>
      </c>
      <c r="C572" s="513"/>
      <c r="D572" s="513"/>
      <c r="E572" s="513"/>
      <c r="F572" s="513"/>
      <c r="G572" s="513"/>
      <c r="H572" s="513"/>
      <c r="I572" s="513"/>
      <c r="J572" s="513"/>
      <c r="K572" s="513"/>
    </row>
    <row r="573" spans="1:11" customFormat="1" ht="51" x14ac:dyDescent="0.25">
      <c r="A573" s="501" t="s">
        <v>134</v>
      </c>
      <c r="B573" s="502" t="s">
        <v>229</v>
      </c>
      <c r="C573" s="503">
        <f t="shared" ref="C573:K574" si="463">SUM(C574)</f>
        <v>1158000</v>
      </c>
      <c r="D573" s="503">
        <f t="shared" si="463"/>
        <v>0</v>
      </c>
      <c r="E573" s="503">
        <f t="shared" si="463"/>
        <v>0</v>
      </c>
      <c r="F573" s="503">
        <f t="shared" si="463"/>
        <v>1158000</v>
      </c>
      <c r="G573" s="503">
        <f t="shared" si="463"/>
        <v>4000</v>
      </c>
      <c r="H573" s="503">
        <f t="shared" si="463"/>
        <v>0</v>
      </c>
      <c r="I573" s="503">
        <f t="shared" si="463"/>
        <v>134000</v>
      </c>
      <c r="J573" s="503">
        <f t="shared" si="463"/>
        <v>0</v>
      </c>
      <c r="K573" s="503">
        <f t="shared" si="463"/>
        <v>0</v>
      </c>
    </row>
    <row r="574" spans="1:11" customFormat="1" ht="18" customHeight="1" x14ac:dyDescent="0.25">
      <c r="A574" s="710" t="s">
        <v>252</v>
      </c>
      <c r="B574" s="710"/>
      <c r="C574" s="504">
        <f>SUM(C575)</f>
        <v>1158000</v>
      </c>
      <c r="D574" s="504">
        <f t="shared" si="463"/>
        <v>0</v>
      </c>
      <c r="E574" s="504">
        <f t="shared" ref="E574:K574" si="464">SUM(E575)</f>
        <v>0</v>
      </c>
      <c r="F574" s="504">
        <f t="shared" si="464"/>
        <v>1158000</v>
      </c>
      <c r="G574" s="504">
        <f t="shared" si="464"/>
        <v>4000</v>
      </c>
      <c r="H574" s="504">
        <f t="shared" si="464"/>
        <v>0</v>
      </c>
      <c r="I574" s="504">
        <f t="shared" si="464"/>
        <v>134000</v>
      </c>
      <c r="J574" s="504">
        <f t="shared" si="464"/>
        <v>0</v>
      </c>
      <c r="K574" s="504">
        <f t="shared" si="464"/>
        <v>0</v>
      </c>
    </row>
    <row r="575" spans="1:11" customFormat="1" ht="18" customHeight="1" x14ac:dyDescent="0.25">
      <c r="A575" s="516" t="s">
        <v>324</v>
      </c>
      <c r="B575" s="516" t="s">
        <v>325</v>
      </c>
      <c r="C575" s="549">
        <f>SUM(C576,C580)</f>
        <v>1158000</v>
      </c>
      <c r="D575" s="549">
        <f t="shared" ref="D575:F575" si="465">SUM(D576,D580)</f>
        <v>0</v>
      </c>
      <c r="E575" s="549">
        <f t="shared" si="465"/>
        <v>0</v>
      </c>
      <c r="F575" s="549">
        <f t="shared" si="465"/>
        <v>1158000</v>
      </c>
      <c r="G575" s="549">
        <f t="shared" ref="G575:H575" si="466">SUM(G576,G580)</f>
        <v>4000</v>
      </c>
      <c r="H575" s="549">
        <f t="shared" si="466"/>
        <v>0</v>
      </c>
      <c r="I575" s="549">
        <f t="shared" ref="I575:J575" si="467">SUM(I576,I580)</f>
        <v>134000</v>
      </c>
      <c r="J575" s="549">
        <f t="shared" si="467"/>
        <v>0</v>
      </c>
      <c r="K575" s="549">
        <f t="shared" ref="K575" si="468">SUM(K576,K580)</f>
        <v>0</v>
      </c>
    </row>
    <row r="576" spans="1:11" s="6" customFormat="1" ht="15" x14ac:dyDescent="0.25">
      <c r="A576" s="519" t="s">
        <v>159</v>
      </c>
      <c r="B576" s="523" t="s">
        <v>123</v>
      </c>
      <c r="C576" s="510">
        <f t="shared" ref="C576" si="469">SUM(C577:C579)</f>
        <v>995000</v>
      </c>
      <c r="D576" s="510">
        <f t="shared" ref="D576:F576" si="470">SUM(D577:D579)</f>
        <v>0</v>
      </c>
      <c r="E576" s="510">
        <f>SUM(E577:E579)</f>
        <v>0</v>
      </c>
      <c r="F576" s="510">
        <f t="shared" si="470"/>
        <v>995000</v>
      </c>
      <c r="G576" s="510">
        <f>SUM(G577:G579)</f>
        <v>4000</v>
      </c>
      <c r="H576" s="510">
        <f>SUM(H577:H579)</f>
        <v>0</v>
      </c>
      <c r="I576" s="510">
        <f>SUM(I577:I579)</f>
        <v>134000</v>
      </c>
      <c r="J576" s="510">
        <f>SUM(J577:J579)</f>
        <v>0</v>
      </c>
      <c r="K576" s="510">
        <f>SUM(K577:K579)</f>
        <v>0</v>
      </c>
    </row>
    <row r="577" spans="1:11" customFormat="1" ht="15" x14ac:dyDescent="0.25">
      <c r="A577" s="520" t="s">
        <v>162</v>
      </c>
      <c r="B577" s="521" t="s">
        <v>26</v>
      </c>
      <c r="C577" s="513">
        <v>5000</v>
      </c>
      <c r="D577" s="513"/>
      <c r="E577" s="513"/>
      <c r="F577" s="513">
        <f>C577-D577+E577</f>
        <v>5000</v>
      </c>
      <c r="G577" s="513"/>
      <c r="H577" s="513"/>
      <c r="I577" s="513">
        <v>4000</v>
      </c>
      <c r="J577" s="513"/>
      <c r="K577" s="513"/>
    </row>
    <row r="578" spans="1:11" customFormat="1" ht="18.75" customHeight="1" x14ac:dyDescent="0.25">
      <c r="A578" s="520" t="s">
        <v>166</v>
      </c>
      <c r="B578" s="521" t="s">
        <v>30</v>
      </c>
      <c r="C578" s="513">
        <v>23000</v>
      </c>
      <c r="D578" s="513"/>
      <c r="E578" s="513"/>
      <c r="F578" s="513">
        <f>C578-D578+E578</f>
        <v>23000</v>
      </c>
      <c r="G578" s="513">
        <v>4000</v>
      </c>
      <c r="H578" s="513"/>
      <c r="I578" s="513"/>
      <c r="J578" s="513"/>
      <c r="K578" s="513"/>
    </row>
    <row r="579" spans="1:11" customFormat="1" ht="18" customHeight="1" x14ac:dyDescent="0.25">
      <c r="A579" s="520">
        <v>3239</v>
      </c>
      <c r="B579" s="521" t="s">
        <v>31</v>
      </c>
      <c r="C579" s="513">
        <v>967000</v>
      </c>
      <c r="D579" s="513"/>
      <c r="E579" s="513"/>
      <c r="F579" s="513">
        <f>C579-D579+E579</f>
        <v>967000</v>
      </c>
      <c r="G579" s="513"/>
      <c r="H579" s="513"/>
      <c r="I579" s="522">
        <v>130000</v>
      </c>
      <c r="J579" s="513"/>
      <c r="K579" s="513"/>
    </row>
    <row r="580" spans="1:11" s="6" customFormat="1" ht="24" customHeight="1" x14ac:dyDescent="0.25">
      <c r="A580" s="519">
        <v>324</v>
      </c>
      <c r="B580" s="523" t="s">
        <v>32</v>
      </c>
      <c r="C580" s="510">
        <f t="shared" ref="C580:D580" si="471">SUM(C581:C583)</f>
        <v>163000</v>
      </c>
      <c r="D580" s="510">
        <f t="shared" si="471"/>
        <v>0</v>
      </c>
      <c r="E580" s="510">
        <f>SUM(E581:E583)</f>
        <v>0</v>
      </c>
      <c r="F580" s="510">
        <f>C580-D580+E580</f>
        <v>163000</v>
      </c>
      <c r="G580" s="510">
        <f>SUM(G581:G583)</f>
        <v>0</v>
      </c>
      <c r="H580" s="510">
        <f>SUM(H581:H583)</f>
        <v>0</v>
      </c>
      <c r="I580" s="510">
        <f>SUM(I581:I583)</f>
        <v>0</v>
      </c>
      <c r="J580" s="510">
        <f>SUM(J581:J583)</f>
        <v>0</v>
      </c>
      <c r="K580" s="510">
        <f>SUM(K581:K583)</f>
        <v>0</v>
      </c>
    </row>
    <row r="581" spans="1:11" customFormat="1" ht="18.75" customHeight="1" x14ac:dyDescent="0.25">
      <c r="A581" s="520">
        <v>3241</v>
      </c>
      <c r="B581" s="521" t="s">
        <v>32</v>
      </c>
      <c r="C581" s="513">
        <v>163000</v>
      </c>
      <c r="D581" s="513"/>
      <c r="E581" s="513"/>
      <c r="F581" s="513">
        <f>C581-D581+E581</f>
        <v>163000</v>
      </c>
      <c r="G581" s="513"/>
      <c r="H581" s="513"/>
      <c r="I581" s="513"/>
      <c r="J581" s="513"/>
      <c r="K581" s="513"/>
    </row>
    <row r="582" spans="1:11" customFormat="1" ht="18.75" hidden="1" customHeight="1" x14ac:dyDescent="0.25">
      <c r="A582" s="501" t="s">
        <v>253</v>
      </c>
      <c r="B582" s="502" t="s">
        <v>254</v>
      </c>
      <c r="C582" s="503">
        <f t="shared" ref="C582:D584" si="472">SUM(C583)</f>
        <v>0</v>
      </c>
      <c r="D582" s="503">
        <f t="shared" si="472"/>
        <v>0</v>
      </c>
      <c r="E582" s="503"/>
      <c r="F582" s="503"/>
      <c r="G582" s="503"/>
      <c r="H582" s="503"/>
      <c r="I582" s="503"/>
      <c r="J582" s="503"/>
      <c r="K582" s="503"/>
    </row>
    <row r="583" spans="1:11" customFormat="1" ht="18.75" hidden="1" customHeight="1" x14ac:dyDescent="0.25">
      <c r="A583" s="710" t="s">
        <v>255</v>
      </c>
      <c r="B583" s="710"/>
      <c r="C583" s="504">
        <f t="shared" si="472"/>
        <v>0</v>
      </c>
      <c r="D583" s="504">
        <f t="shared" si="472"/>
        <v>0</v>
      </c>
      <c r="E583" s="504"/>
      <c r="F583" s="504"/>
      <c r="G583" s="504"/>
      <c r="H583" s="504"/>
      <c r="I583" s="504"/>
      <c r="J583" s="504"/>
      <c r="K583" s="504"/>
    </row>
    <row r="584" spans="1:11" customFormat="1" ht="11.25" hidden="1" customHeight="1" x14ac:dyDescent="0.25">
      <c r="A584" s="529" t="s">
        <v>256</v>
      </c>
      <c r="B584" s="529" t="s">
        <v>137</v>
      </c>
      <c r="C584" s="552">
        <f t="shared" si="472"/>
        <v>0</v>
      </c>
      <c r="D584" s="552">
        <f t="shared" si="472"/>
        <v>0</v>
      </c>
      <c r="E584" s="552"/>
      <c r="F584" s="552"/>
      <c r="G584" s="552"/>
      <c r="H584" s="552"/>
      <c r="I584" s="552"/>
      <c r="J584" s="552"/>
      <c r="K584" s="552"/>
    </row>
    <row r="585" spans="1:11" customFormat="1" ht="20.25" hidden="1" customHeight="1" x14ac:dyDescent="0.25">
      <c r="A585" s="511" t="s">
        <v>257</v>
      </c>
      <c r="B585" s="535" t="s">
        <v>258</v>
      </c>
      <c r="C585" s="528"/>
      <c r="D585" s="528"/>
      <c r="E585" s="528"/>
      <c r="F585" s="528"/>
      <c r="G585" s="528"/>
      <c r="H585" s="528"/>
      <c r="I585" s="528"/>
      <c r="J585" s="528"/>
      <c r="K585" s="528"/>
    </row>
    <row r="586" spans="1:11" customFormat="1" ht="21" hidden="1" customHeight="1" x14ac:dyDescent="0.25">
      <c r="A586" s="501" t="s">
        <v>136</v>
      </c>
      <c r="B586" s="502" t="s">
        <v>259</v>
      </c>
      <c r="C586" s="503">
        <f t="shared" ref="C586:D588" si="473">SUM(C587)</f>
        <v>0</v>
      </c>
      <c r="D586" s="503">
        <f t="shared" si="473"/>
        <v>0</v>
      </c>
      <c r="E586" s="503"/>
      <c r="F586" s="503"/>
      <c r="G586" s="503"/>
      <c r="H586" s="503"/>
      <c r="I586" s="503"/>
      <c r="J586" s="503"/>
      <c r="K586" s="503"/>
    </row>
    <row r="587" spans="1:11" customFormat="1" ht="22.5" hidden="1" customHeight="1" x14ac:dyDescent="0.25">
      <c r="A587" s="710" t="s">
        <v>255</v>
      </c>
      <c r="B587" s="710"/>
      <c r="C587" s="504">
        <f t="shared" si="473"/>
        <v>0</v>
      </c>
      <c r="D587" s="504">
        <f t="shared" si="473"/>
        <v>0</v>
      </c>
      <c r="E587" s="504"/>
      <c r="F587" s="504"/>
      <c r="G587" s="504"/>
      <c r="H587" s="504"/>
      <c r="I587" s="504"/>
      <c r="J587" s="504"/>
      <c r="K587" s="504"/>
    </row>
    <row r="588" spans="1:11" customFormat="1" ht="22.5" hidden="1" customHeight="1" x14ac:dyDescent="0.25">
      <c r="A588" s="529" t="s">
        <v>256</v>
      </c>
      <c r="B588" s="529" t="s">
        <v>137</v>
      </c>
      <c r="C588" s="543">
        <f t="shared" si="473"/>
        <v>0</v>
      </c>
      <c r="D588" s="543">
        <f t="shared" si="473"/>
        <v>0</v>
      </c>
      <c r="E588" s="543"/>
      <c r="F588" s="543"/>
      <c r="G588" s="543"/>
      <c r="H588" s="543"/>
      <c r="I588" s="543"/>
      <c r="J588" s="543"/>
      <c r="K588" s="543"/>
    </row>
    <row r="589" spans="1:11" customFormat="1" ht="22.5" hidden="1" customHeight="1" x14ac:dyDescent="0.25">
      <c r="A589" s="511" t="s">
        <v>257</v>
      </c>
      <c r="B589" s="535" t="s">
        <v>258</v>
      </c>
      <c r="C589" s="543"/>
      <c r="D589" s="543"/>
      <c r="E589" s="543"/>
      <c r="F589" s="543"/>
      <c r="G589" s="543"/>
      <c r="H589" s="543"/>
      <c r="I589" s="543"/>
      <c r="J589" s="543"/>
      <c r="K589" s="543"/>
    </row>
    <row r="590" spans="1:11" customFormat="1" ht="38.25" x14ac:dyDescent="0.25">
      <c r="A590" s="561" t="s">
        <v>353</v>
      </c>
      <c r="B590" s="562" t="s">
        <v>354</v>
      </c>
      <c r="C590" s="570">
        <f t="shared" ref="C590:K593" si="474">SUM(C591)</f>
        <v>30000</v>
      </c>
      <c r="D590" s="570">
        <f t="shared" si="474"/>
        <v>30000</v>
      </c>
      <c r="E590" s="570">
        <f t="shared" si="474"/>
        <v>0</v>
      </c>
      <c r="F590" s="570">
        <f t="shared" si="474"/>
        <v>0</v>
      </c>
      <c r="G590" s="570">
        <f t="shared" si="474"/>
        <v>27000</v>
      </c>
      <c r="H590" s="570">
        <f t="shared" si="474"/>
        <v>0</v>
      </c>
      <c r="I590" s="570">
        <f t="shared" si="474"/>
        <v>0</v>
      </c>
      <c r="J590" s="570">
        <f t="shared" si="474"/>
        <v>0</v>
      </c>
      <c r="K590" s="570">
        <f t="shared" si="474"/>
        <v>0</v>
      </c>
    </row>
    <row r="591" spans="1:11" s="6" customFormat="1" ht="15" x14ac:dyDescent="0.25">
      <c r="A591" s="710" t="s">
        <v>241</v>
      </c>
      <c r="B591" s="710"/>
      <c r="C591" s="542">
        <f t="shared" si="474"/>
        <v>30000</v>
      </c>
      <c r="D591" s="542">
        <f t="shared" si="474"/>
        <v>30000</v>
      </c>
      <c r="E591" s="542">
        <f t="shared" si="474"/>
        <v>0</v>
      </c>
      <c r="F591" s="542">
        <f t="shared" si="474"/>
        <v>0</v>
      </c>
      <c r="G591" s="542">
        <f t="shared" si="474"/>
        <v>27000</v>
      </c>
      <c r="H591" s="542">
        <f t="shared" si="474"/>
        <v>0</v>
      </c>
      <c r="I591" s="542">
        <f t="shared" si="474"/>
        <v>0</v>
      </c>
      <c r="J591" s="542">
        <f t="shared" si="474"/>
        <v>0</v>
      </c>
      <c r="K591" s="542">
        <f t="shared" si="474"/>
        <v>0</v>
      </c>
    </row>
    <row r="592" spans="1:11" s="6" customFormat="1" ht="15" x14ac:dyDescent="0.25">
      <c r="A592" s="516" t="s">
        <v>324</v>
      </c>
      <c r="B592" s="571" t="s">
        <v>325</v>
      </c>
      <c r="C592" s="572">
        <f t="shared" si="474"/>
        <v>30000</v>
      </c>
      <c r="D592" s="572">
        <f t="shared" si="474"/>
        <v>30000</v>
      </c>
      <c r="E592" s="572">
        <f t="shared" si="474"/>
        <v>0</v>
      </c>
      <c r="F592" s="572">
        <f t="shared" si="474"/>
        <v>0</v>
      </c>
      <c r="G592" s="572">
        <f t="shared" si="474"/>
        <v>27000</v>
      </c>
      <c r="H592" s="572">
        <f t="shared" si="474"/>
        <v>0</v>
      </c>
      <c r="I592" s="572">
        <f t="shared" si="474"/>
        <v>0</v>
      </c>
      <c r="J592" s="572">
        <f t="shared" si="474"/>
        <v>0</v>
      </c>
      <c r="K592" s="572">
        <f t="shared" si="474"/>
        <v>0</v>
      </c>
    </row>
    <row r="593" spans="1:11" s="6" customFormat="1" ht="15" x14ac:dyDescent="0.25">
      <c r="A593" s="529" t="s">
        <v>149</v>
      </c>
      <c r="B593" s="529" t="s">
        <v>12</v>
      </c>
      <c r="C593" s="510">
        <f t="shared" si="474"/>
        <v>30000</v>
      </c>
      <c r="D593" s="510">
        <f t="shared" si="474"/>
        <v>30000</v>
      </c>
      <c r="E593" s="510">
        <f t="shared" si="474"/>
        <v>0</v>
      </c>
      <c r="F593" s="510">
        <f t="shared" si="474"/>
        <v>0</v>
      </c>
      <c r="G593" s="510">
        <f t="shared" si="474"/>
        <v>27000</v>
      </c>
      <c r="H593" s="510">
        <f t="shared" si="474"/>
        <v>0</v>
      </c>
      <c r="I593" s="510">
        <f t="shared" si="474"/>
        <v>0</v>
      </c>
      <c r="J593" s="510">
        <f t="shared" si="474"/>
        <v>0</v>
      </c>
      <c r="K593" s="510">
        <f t="shared" si="474"/>
        <v>0</v>
      </c>
    </row>
    <row r="594" spans="1:11" customFormat="1" ht="15" x14ac:dyDescent="0.25">
      <c r="A594" s="511">
        <v>3213</v>
      </c>
      <c r="B594" s="535" t="s">
        <v>15</v>
      </c>
      <c r="C594" s="543">
        <v>30000</v>
      </c>
      <c r="D594" s="543">
        <v>30000</v>
      </c>
      <c r="E594" s="543"/>
      <c r="F594" s="513">
        <f t="shared" ref="F594" si="475">C594-D594+E594</f>
        <v>0</v>
      </c>
      <c r="G594" s="543">
        <v>27000</v>
      </c>
      <c r="H594" s="543"/>
      <c r="I594" s="543">
        <v>0</v>
      </c>
      <c r="J594" s="543">
        <v>0</v>
      </c>
      <c r="K594" s="543">
        <v>0</v>
      </c>
    </row>
    <row r="595" spans="1:11" customFormat="1" ht="27.75" customHeight="1" x14ac:dyDescent="0.25">
      <c r="A595" s="573" t="s">
        <v>348</v>
      </c>
      <c r="B595" s="562" t="s">
        <v>390</v>
      </c>
      <c r="C595" s="503">
        <f>SUM(C596,C600)</f>
        <v>14879000</v>
      </c>
      <c r="D595" s="503">
        <f t="shared" ref="D595:K595" si="476">SUM(D596,D600)</f>
        <v>0</v>
      </c>
      <c r="E595" s="503">
        <f t="shared" si="476"/>
        <v>0</v>
      </c>
      <c r="F595" s="503">
        <f t="shared" si="476"/>
        <v>14879000</v>
      </c>
      <c r="G595" s="503">
        <f t="shared" si="476"/>
        <v>14879000</v>
      </c>
      <c r="H595" s="503">
        <f t="shared" si="476"/>
        <v>14879000</v>
      </c>
      <c r="I595" s="503">
        <f t="shared" si="476"/>
        <v>14744000</v>
      </c>
      <c r="J595" s="503">
        <f t="shared" si="476"/>
        <v>26305000</v>
      </c>
      <c r="K595" s="503">
        <f t="shared" si="476"/>
        <v>4853000</v>
      </c>
    </row>
    <row r="596" spans="1:11" customFormat="1" ht="15" hidden="1" x14ac:dyDescent="0.25">
      <c r="A596" s="710" t="s">
        <v>232</v>
      </c>
      <c r="B596" s="710"/>
      <c r="C596" s="574">
        <f>SUM(C597)</f>
        <v>0</v>
      </c>
      <c r="D596" s="574">
        <f t="shared" ref="D596:K597" si="477">SUM(D597)</f>
        <v>0</v>
      </c>
      <c r="E596" s="574">
        <f t="shared" si="477"/>
        <v>0</v>
      </c>
      <c r="F596" s="574">
        <f t="shared" si="477"/>
        <v>0</v>
      </c>
      <c r="G596" s="574">
        <f t="shared" si="477"/>
        <v>14879000</v>
      </c>
      <c r="H596" s="574">
        <f t="shared" si="477"/>
        <v>14879000</v>
      </c>
      <c r="I596" s="574">
        <f t="shared" si="477"/>
        <v>0</v>
      </c>
      <c r="J596" s="574">
        <f t="shared" si="477"/>
        <v>0</v>
      </c>
      <c r="K596" s="574">
        <f t="shared" si="477"/>
        <v>0</v>
      </c>
    </row>
    <row r="597" spans="1:11" customFormat="1" ht="15" hidden="1" x14ac:dyDescent="0.25">
      <c r="A597" s="575" t="s">
        <v>324</v>
      </c>
      <c r="B597" s="575" t="s">
        <v>325</v>
      </c>
      <c r="C597" s="576">
        <f>SUM(C598)</f>
        <v>0</v>
      </c>
      <c r="D597" s="576">
        <f t="shared" si="477"/>
        <v>0</v>
      </c>
      <c r="E597" s="576">
        <f t="shared" si="477"/>
        <v>0</v>
      </c>
      <c r="F597" s="576">
        <f t="shared" si="477"/>
        <v>0</v>
      </c>
      <c r="G597" s="576">
        <f t="shared" si="477"/>
        <v>14879000</v>
      </c>
      <c r="H597" s="576">
        <f t="shared" si="477"/>
        <v>14879000</v>
      </c>
      <c r="I597" s="576">
        <f t="shared" si="477"/>
        <v>0</v>
      </c>
      <c r="J597" s="576">
        <f t="shared" si="477"/>
        <v>0</v>
      </c>
      <c r="K597" s="576">
        <f t="shared" si="477"/>
        <v>0</v>
      </c>
    </row>
    <row r="598" spans="1:11" s="6" customFormat="1" ht="15" hidden="1" x14ac:dyDescent="0.25">
      <c r="A598" s="577" t="s">
        <v>159</v>
      </c>
      <c r="B598" s="578" t="s">
        <v>123</v>
      </c>
      <c r="C598" s="579">
        <f t="shared" ref="C598:K598" si="478">SUM(C599)</f>
        <v>0</v>
      </c>
      <c r="D598" s="579">
        <f t="shared" si="478"/>
        <v>0</v>
      </c>
      <c r="E598" s="579">
        <f t="shared" si="478"/>
        <v>0</v>
      </c>
      <c r="F598" s="579">
        <f t="shared" si="478"/>
        <v>0</v>
      </c>
      <c r="G598" s="579">
        <f t="shared" si="478"/>
        <v>14879000</v>
      </c>
      <c r="H598" s="579">
        <f t="shared" si="478"/>
        <v>14879000</v>
      </c>
      <c r="I598" s="579">
        <f t="shared" si="478"/>
        <v>0</v>
      </c>
      <c r="J598" s="579">
        <f t="shared" si="478"/>
        <v>0</v>
      </c>
      <c r="K598" s="579">
        <f t="shared" si="478"/>
        <v>0</v>
      </c>
    </row>
    <row r="599" spans="1:11" customFormat="1" ht="15" hidden="1" x14ac:dyDescent="0.25">
      <c r="A599" s="580">
        <v>3239</v>
      </c>
      <c r="B599" s="546" t="s">
        <v>31</v>
      </c>
      <c r="C599" s="543">
        <v>0</v>
      </c>
      <c r="D599" s="543"/>
      <c r="E599" s="543"/>
      <c r="F599" s="513">
        <f t="shared" ref="F599" si="479">C599-D599+E599</f>
        <v>0</v>
      </c>
      <c r="G599" s="581">
        <v>14879000</v>
      </c>
      <c r="H599" s="581">
        <v>14879000</v>
      </c>
      <c r="I599" s="543"/>
      <c r="J599" s="543"/>
      <c r="K599" s="543"/>
    </row>
    <row r="600" spans="1:11" customFormat="1" ht="15" x14ac:dyDescent="0.25">
      <c r="A600" s="710" t="s">
        <v>391</v>
      </c>
      <c r="B600" s="710"/>
      <c r="C600" s="504">
        <f>SUM(C601,C604,C610)</f>
        <v>14879000</v>
      </c>
      <c r="D600" s="504">
        <f t="shared" ref="D600:K600" si="480">SUM(D601,D604,D610)</f>
        <v>0</v>
      </c>
      <c r="E600" s="504">
        <f t="shared" si="480"/>
        <v>0</v>
      </c>
      <c r="F600" s="504">
        <f t="shared" si="480"/>
        <v>14879000</v>
      </c>
      <c r="G600" s="504">
        <f t="shared" si="480"/>
        <v>0</v>
      </c>
      <c r="H600" s="504">
        <f t="shared" si="480"/>
        <v>0</v>
      </c>
      <c r="I600" s="504">
        <f t="shared" si="480"/>
        <v>14744000</v>
      </c>
      <c r="J600" s="504">
        <f t="shared" si="480"/>
        <v>26305000</v>
      </c>
      <c r="K600" s="504">
        <f t="shared" si="480"/>
        <v>4853000</v>
      </c>
    </row>
    <row r="601" spans="1:11" customFormat="1" ht="15" hidden="1" customHeight="1" x14ac:dyDescent="0.25">
      <c r="A601" s="575" t="s">
        <v>322</v>
      </c>
      <c r="B601" s="537" t="s">
        <v>323</v>
      </c>
      <c r="C601" s="582">
        <f>SUM(C602)</f>
        <v>0</v>
      </c>
      <c r="D601" s="582">
        <f t="shared" ref="D601:K601" si="481">SUM(D602)</f>
        <v>0</v>
      </c>
      <c r="E601" s="582">
        <f t="shared" si="481"/>
        <v>0</v>
      </c>
      <c r="F601" s="582">
        <f t="shared" si="481"/>
        <v>0</v>
      </c>
      <c r="G601" s="582">
        <f t="shared" si="481"/>
        <v>0</v>
      </c>
      <c r="H601" s="582">
        <f t="shared" si="481"/>
        <v>0</v>
      </c>
      <c r="I601" s="582">
        <f t="shared" si="481"/>
        <v>0</v>
      </c>
      <c r="J601" s="582">
        <f t="shared" si="481"/>
        <v>0</v>
      </c>
      <c r="K601" s="582">
        <f t="shared" si="481"/>
        <v>0</v>
      </c>
    </row>
    <row r="602" spans="1:11" customFormat="1" ht="15" hidden="1" x14ac:dyDescent="0.25">
      <c r="A602" s="529" t="s">
        <v>143</v>
      </c>
      <c r="B602" s="529" t="s">
        <v>220</v>
      </c>
      <c r="C602" s="579">
        <f t="shared" ref="C602:K602" si="482">SUM(C603)</f>
        <v>0</v>
      </c>
      <c r="D602" s="579">
        <f t="shared" si="482"/>
        <v>0</v>
      </c>
      <c r="E602" s="579">
        <f t="shared" si="482"/>
        <v>0</v>
      </c>
      <c r="F602" s="579">
        <f t="shared" si="482"/>
        <v>0</v>
      </c>
      <c r="G602" s="579">
        <f t="shared" si="482"/>
        <v>0</v>
      </c>
      <c r="H602" s="579">
        <f t="shared" si="482"/>
        <v>0</v>
      </c>
      <c r="I602" s="579">
        <f t="shared" si="482"/>
        <v>0</v>
      </c>
      <c r="J602" s="579">
        <f t="shared" si="482"/>
        <v>0</v>
      </c>
      <c r="K602" s="579">
        <f t="shared" si="482"/>
        <v>0</v>
      </c>
    </row>
    <row r="603" spans="1:11" customFormat="1" ht="15" hidden="1" x14ac:dyDescent="0.25">
      <c r="A603" s="511" t="s">
        <v>144</v>
      </c>
      <c r="B603" s="535" t="s">
        <v>5</v>
      </c>
      <c r="C603" s="543"/>
      <c r="D603" s="543"/>
      <c r="E603" s="543"/>
      <c r="F603" s="513"/>
      <c r="G603" s="543"/>
      <c r="H603" s="543"/>
      <c r="I603" s="543"/>
      <c r="J603" s="543"/>
      <c r="K603" s="543"/>
    </row>
    <row r="604" spans="1:11" customFormat="1" ht="15" x14ac:dyDescent="0.25">
      <c r="A604" s="516" t="s">
        <v>324</v>
      </c>
      <c r="B604" s="516" t="s">
        <v>325</v>
      </c>
      <c r="C604" s="549">
        <f>SUM(C605,C608)</f>
        <v>14879000</v>
      </c>
      <c r="D604" s="549">
        <f t="shared" ref="D604:K604" si="483">SUM(D605,D608)</f>
        <v>0</v>
      </c>
      <c r="E604" s="549">
        <f t="shared" si="483"/>
        <v>0</v>
      </c>
      <c r="F604" s="549">
        <f t="shared" si="483"/>
        <v>14879000</v>
      </c>
      <c r="G604" s="549">
        <f t="shared" si="483"/>
        <v>0</v>
      </c>
      <c r="H604" s="549">
        <f t="shared" si="483"/>
        <v>0</v>
      </c>
      <c r="I604" s="549">
        <f t="shared" si="483"/>
        <v>14744000</v>
      </c>
      <c r="J604" s="549">
        <f t="shared" si="483"/>
        <v>26305000</v>
      </c>
      <c r="K604" s="549">
        <f t="shared" si="483"/>
        <v>4853000</v>
      </c>
    </row>
    <row r="605" spans="1:11" s="6" customFormat="1" ht="15" x14ac:dyDescent="0.25">
      <c r="A605" s="577" t="s">
        <v>159</v>
      </c>
      <c r="B605" s="578" t="s">
        <v>123</v>
      </c>
      <c r="C605" s="579">
        <f>SUM(C606,C607)</f>
        <v>14879000</v>
      </c>
      <c r="D605" s="579">
        <f t="shared" ref="D605:F605" si="484">SUM(D606,D607)</f>
        <v>0</v>
      </c>
      <c r="E605" s="579">
        <f t="shared" si="484"/>
        <v>0</v>
      </c>
      <c r="F605" s="579">
        <f t="shared" si="484"/>
        <v>14879000</v>
      </c>
      <c r="G605" s="579">
        <f t="shared" ref="G605" si="485">SUM(G606,G607)</f>
        <v>0</v>
      </c>
      <c r="H605" s="579">
        <f t="shared" ref="H605" si="486">SUM(H606,H607)</f>
        <v>0</v>
      </c>
      <c r="I605" s="579">
        <f t="shared" ref="I605" si="487">SUM(I606,I607)</f>
        <v>14744000</v>
      </c>
      <c r="J605" s="579">
        <f t="shared" ref="J605" si="488">SUM(J606,J607)</f>
        <v>26305000</v>
      </c>
      <c r="K605" s="579">
        <f t="shared" ref="K605" si="489">SUM(K606,K607)</f>
        <v>4853000</v>
      </c>
    </row>
    <row r="606" spans="1:11" s="6" customFormat="1" ht="15" x14ac:dyDescent="0.25">
      <c r="A606" s="580">
        <v>3233</v>
      </c>
      <c r="B606" s="546" t="s">
        <v>26</v>
      </c>
      <c r="C606" s="579"/>
      <c r="D606" s="579"/>
      <c r="E606" s="579"/>
      <c r="F606" s="579"/>
      <c r="G606" s="579"/>
      <c r="H606" s="579"/>
      <c r="I606" s="543"/>
      <c r="J606" s="543"/>
      <c r="K606" s="543"/>
    </row>
    <row r="607" spans="1:11" customFormat="1" ht="15" x14ac:dyDescent="0.25">
      <c r="A607" s="580">
        <v>3239</v>
      </c>
      <c r="B607" s="546" t="s">
        <v>31</v>
      </c>
      <c r="C607" s="543">
        <v>14879000</v>
      </c>
      <c r="D607" s="543"/>
      <c r="E607" s="543"/>
      <c r="F607" s="513">
        <f t="shared" ref="F607" si="490">C607-D607+E607</f>
        <v>14879000</v>
      </c>
      <c r="G607" s="543"/>
      <c r="H607" s="543"/>
      <c r="I607" s="522">
        <f>23000000-8256000</f>
        <v>14744000</v>
      </c>
      <c r="J607" s="522">
        <v>26305000</v>
      </c>
      <c r="K607" s="522">
        <v>4853000</v>
      </c>
    </row>
    <row r="608" spans="1:11" customFormat="1" ht="15" hidden="1" x14ac:dyDescent="0.25">
      <c r="A608" s="529" t="s">
        <v>170</v>
      </c>
      <c r="B608" s="529" t="s">
        <v>33</v>
      </c>
      <c r="C608" s="579">
        <f>SUM(C609)</f>
        <v>0</v>
      </c>
      <c r="D608" s="579">
        <f t="shared" ref="D608:K608" si="491">SUM(D609)</f>
        <v>0</v>
      </c>
      <c r="E608" s="579">
        <f t="shared" si="491"/>
        <v>0</v>
      </c>
      <c r="F608" s="579">
        <f t="shared" si="491"/>
        <v>0</v>
      </c>
      <c r="G608" s="579">
        <f t="shared" si="491"/>
        <v>0</v>
      </c>
      <c r="H608" s="579">
        <f t="shared" si="491"/>
        <v>0</v>
      </c>
      <c r="I608" s="579">
        <f t="shared" si="491"/>
        <v>0</v>
      </c>
      <c r="J608" s="579">
        <f t="shared" si="491"/>
        <v>0</v>
      </c>
      <c r="K608" s="579">
        <f t="shared" si="491"/>
        <v>0</v>
      </c>
    </row>
    <row r="609" spans="1:11" customFormat="1" ht="15" hidden="1" x14ac:dyDescent="0.25">
      <c r="A609" s="520" t="s">
        <v>172</v>
      </c>
      <c r="B609" s="521" t="s">
        <v>36</v>
      </c>
      <c r="C609" s="513"/>
      <c r="D609" s="513"/>
      <c r="E609" s="513"/>
      <c r="F609" s="513"/>
      <c r="G609" s="513"/>
      <c r="H609" s="513"/>
      <c r="I609" s="513"/>
      <c r="J609" s="513"/>
      <c r="K609" s="513"/>
    </row>
    <row r="610" spans="1:11" customFormat="1" ht="25.5" hidden="1" x14ac:dyDescent="0.25">
      <c r="A610" s="536" t="s">
        <v>330</v>
      </c>
      <c r="B610" s="537" t="s">
        <v>331</v>
      </c>
      <c r="C610" s="583">
        <f>SUM(C611,C615)</f>
        <v>0</v>
      </c>
      <c r="D610" s="583">
        <f t="shared" ref="D610:K610" si="492">SUM(D611,D615)</f>
        <v>0</v>
      </c>
      <c r="E610" s="583">
        <f t="shared" si="492"/>
        <v>0</v>
      </c>
      <c r="F610" s="583">
        <f t="shared" si="492"/>
        <v>0</v>
      </c>
      <c r="G610" s="583">
        <f t="shared" si="492"/>
        <v>0</v>
      </c>
      <c r="H610" s="583">
        <f t="shared" si="492"/>
        <v>0</v>
      </c>
      <c r="I610" s="583">
        <f t="shared" si="492"/>
        <v>0</v>
      </c>
      <c r="J610" s="583">
        <f t="shared" si="492"/>
        <v>0</v>
      </c>
      <c r="K610" s="583">
        <f t="shared" si="492"/>
        <v>0</v>
      </c>
    </row>
    <row r="611" spans="1:11" customFormat="1" ht="15" hidden="1" x14ac:dyDescent="0.25">
      <c r="A611" s="529" t="s">
        <v>177</v>
      </c>
      <c r="B611" s="529" t="s">
        <v>129</v>
      </c>
      <c r="C611" s="579">
        <f t="shared" ref="C611:K611" si="493">SUM(C612:C614)</f>
        <v>0</v>
      </c>
      <c r="D611" s="579">
        <f t="shared" si="493"/>
        <v>0</v>
      </c>
      <c r="E611" s="579">
        <f t="shared" si="493"/>
        <v>0</v>
      </c>
      <c r="F611" s="579">
        <f t="shared" si="493"/>
        <v>0</v>
      </c>
      <c r="G611" s="579">
        <f t="shared" si="493"/>
        <v>0</v>
      </c>
      <c r="H611" s="579">
        <f t="shared" si="493"/>
        <v>0</v>
      </c>
      <c r="I611" s="579">
        <f t="shared" si="493"/>
        <v>0</v>
      </c>
      <c r="J611" s="579">
        <f t="shared" si="493"/>
        <v>0</v>
      </c>
      <c r="K611" s="579">
        <f t="shared" si="493"/>
        <v>0</v>
      </c>
    </row>
    <row r="612" spans="1:11" customFormat="1" ht="15" hidden="1" x14ac:dyDescent="0.25">
      <c r="A612" s="511">
        <v>4223</v>
      </c>
      <c r="B612" s="535" t="s">
        <v>59</v>
      </c>
      <c r="C612" s="543"/>
      <c r="D612" s="543"/>
      <c r="E612" s="543"/>
      <c r="F612" s="513"/>
      <c r="G612" s="543"/>
      <c r="H612" s="543"/>
      <c r="I612" s="543"/>
      <c r="J612" s="543"/>
      <c r="K612" s="543"/>
    </row>
    <row r="613" spans="1:11" customFormat="1" ht="15" hidden="1" x14ac:dyDescent="0.25">
      <c r="A613" s="511">
        <v>4225</v>
      </c>
      <c r="B613" s="535" t="s">
        <v>105</v>
      </c>
      <c r="C613" s="543"/>
      <c r="D613" s="543"/>
      <c r="E613" s="543"/>
      <c r="F613" s="513">
        <f t="shared" ref="F613" si="494">C613-D613+E613</f>
        <v>0</v>
      </c>
      <c r="G613" s="543"/>
      <c r="H613" s="543"/>
      <c r="I613" s="543"/>
      <c r="J613" s="543"/>
      <c r="K613" s="543"/>
    </row>
    <row r="614" spans="1:11" customFormat="1" ht="15" hidden="1" x14ac:dyDescent="0.25">
      <c r="A614" s="511" t="s">
        <v>180</v>
      </c>
      <c r="B614" s="535" t="s">
        <v>60</v>
      </c>
      <c r="C614" s="543"/>
      <c r="D614" s="543"/>
      <c r="E614" s="543"/>
      <c r="F614" s="513"/>
      <c r="G614" s="543"/>
      <c r="H614" s="543"/>
      <c r="I614" s="543"/>
      <c r="J614" s="543"/>
      <c r="K614" s="543"/>
    </row>
    <row r="615" spans="1:11" customFormat="1" ht="15" hidden="1" x14ac:dyDescent="0.25">
      <c r="A615" s="529" t="s">
        <v>181</v>
      </c>
      <c r="B615" s="529" t="s">
        <v>61</v>
      </c>
      <c r="C615" s="579">
        <f>SUM(C616)</f>
        <v>0</v>
      </c>
      <c r="D615" s="579">
        <f t="shared" ref="D615:K615" si="495">SUM(D616)</f>
        <v>0</v>
      </c>
      <c r="E615" s="579">
        <f t="shared" si="495"/>
        <v>0</v>
      </c>
      <c r="F615" s="579">
        <f t="shared" si="495"/>
        <v>0</v>
      </c>
      <c r="G615" s="579">
        <f t="shared" si="495"/>
        <v>0</v>
      </c>
      <c r="H615" s="579">
        <f t="shared" si="495"/>
        <v>0</v>
      </c>
      <c r="I615" s="579">
        <f t="shared" si="495"/>
        <v>0</v>
      </c>
      <c r="J615" s="579">
        <f t="shared" si="495"/>
        <v>0</v>
      </c>
      <c r="K615" s="579">
        <f t="shared" si="495"/>
        <v>0</v>
      </c>
    </row>
    <row r="616" spans="1:11" customFormat="1" ht="15" hidden="1" x14ac:dyDescent="0.25">
      <c r="A616" s="511">
        <v>4231</v>
      </c>
      <c r="B616" s="535" t="s">
        <v>62</v>
      </c>
      <c r="C616" s="543"/>
      <c r="D616" s="543"/>
      <c r="E616" s="543"/>
      <c r="F616" s="513"/>
      <c r="G616" s="543"/>
      <c r="H616" s="543"/>
      <c r="I616" s="543"/>
      <c r="J616" s="543"/>
      <c r="K616" s="543"/>
    </row>
    <row r="617" spans="1:11" s="6" customFormat="1" ht="34.5" customHeight="1" x14ac:dyDescent="0.25">
      <c r="A617" s="501" t="s">
        <v>133</v>
      </c>
      <c r="B617" s="502" t="s">
        <v>260</v>
      </c>
      <c r="C617" s="503">
        <f>SUM(C618+C646)</f>
        <v>31862600</v>
      </c>
      <c r="D617" s="503">
        <f t="shared" ref="D617:F617" si="496">SUM(D618+D646)</f>
        <v>3361300</v>
      </c>
      <c r="E617" s="503">
        <f t="shared" si="496"/>
        <v>210600</v>
      </c>
      <c r="F617" s="503">
        <f t="shared" si="496"/>
        <v>28711900</v>
      </c>
      <c r="G617" s="503">
        <f t="shared" ref="G617:H617" si="497">SUM(G618+G646)</f>
        <v>0</v>
      </c>
      <c r="H617" s="503">
        <f t="shared" si="497"/>
        <v>0</v>
      </c>
      <c r="I617" s="503">
        <f t="shared" ref="I617:J617" si="498">SUM(I618+I646)</f>
        <v>0</v>
      </c>
      <c r="J617" s="503">
        <f t="shared" si="498"/>
        <v>0</v>
      </c>
      <c r="K617" s="503">
        <f t="shared" ref="K617" si="499">SUM(K618+K646)</f>
        <v>0</v>
      </c>
    </row>
    <row r="618" spans="1:11" customFormat="1" ht="19.5" customHeight="1" x14ac:dyDescent="0.25">
      <c r="A618" s="710" t="s">
        <v>232</v>
      </c>
      <c r="B618" s="710"/>
      <c r="C618" s="504">
        <f>SUM(C619,C625,C643)</f>
        <v>1296100</v>
      </c>
      <c r="D618" s="504">
        <f t="shared" ref="D618:E618" si="500">SUM(D619,D625,D643)</f>
        <v>330000</v>
      </c>
      <c r="E618" s="504">
        <f t="shared" si="500"/>
        <v>0</v>
      </c>
      <c r="F618" s="504">
        <f t="shared" ref="F618" si="501">SUM(F619,F625,F643)</f>
        <v>966100</v>
      </c>
      <c r="G618" s="504">
        <f t="shared" ref="G618:H618" si="502">SUM(G619,G625,G643)</f>
        <v>0</v>
      </c>
      <c r="H618" s="504">
        <f t="shared" si="502"/>
        <v>0</v>
      </c>
      <c r="I618" s="504">
        <f t="shared" ref="I618:J618" si="503">SUM(I619,I625,I643)</f>
        <v>0</v>
      </c>
      <c r="J618" s="504">
        <f t="shared" si="503"/>
        <v>0</v>
      </c>
      <c r="K618" s="504">
        <f t="shared" ref="K618" si="504">SUM(K619,K625,K643)</f>
        <v>0</v>
      </c>
    </row>
    <row r="619" spans="1:11" customFormat="1" ht="19.5" customHeight="1" x14ac:dyDescent="0.25">
      <c r="A619" s="516" t="s">
        <v>322</v>
      </c>
      <c r="B619" s="517" t="s">
        <v>323</v>
      </c>
      <c r="C619" s="518">
        <f>SUM(C620)</f>
        <v>44000</v>
      </c>
      <c r="D619" s="518">
        <f t="shared" ref="D619:K619" si="505">SUM(D620)</f>
        <v>0</v>
      </c>
      <c r="E619" s="518">
        <f t="shared" si="505"/>
        <v>0</v>
      </c>
      <c r="F619" s="518">
        <f t="shared" si="505"/>
        <v>44000</v>
      </c>
      <c r="G619" s="518">
        <f t="shared" si="505"/>
        <v>0</v>
      </c>
      <c r="H619" s="518">
        <f t="shared" si="505"/>
        <v>0</v>
      </c>
      <c r="I619" s="518">
        <f t="shared" si="505"/>
        <v>0</v>
      </c>
      <c r="J619" s="518">
        <f t="shared" si="505"/>
        <v>0</v>
      </c>
      <c r="K619" s="518">
        <f t="shared" si="505"/>
        <v>0</v>
      </c>
    </row>
    <row r="620" spans="1:11" s="6" customFormat="1" ht="15" x14ac:dyDescent="0.25">
      <c r="A620" s="529" t="s">
        <v>143</v>
      </c>
      <c r="B620" s="529" t="s">
        <v>220</v>
      </c>
      <c r="C620" s="579">
        <f t="shared" ref="C620:K620" si="506">SUM(C621)</f>
        <v>44000</v>
      </c>
      <c r="D620" s="579">
        <f t="shared" si="506"/>
        <v>0</v>
      </c>
      <c r="E620" s="579">
        <f t="shared" si="506"/>
        <v>0</v>
      </c>
      <c r="F620" s="579">
        <f t="shared" si="506"/>
        <v>44000</v>
      </c>
      <c r="G620" s="579">
        <f t="shared" si="506"/>
        <v>0</v>
      </c>
      <c r="H620" s="579">
        <f t="shared" si="506"/>
        <v>0</v>
      </c>
      <c r="I620" s="579">
        <f t="shared" si="506"/>
        <v>0</v>
      </c>
      <c r="J620" s="579">
        <f t="shared" si="506"/>
        <v>0</v>
      </c>
      <c r="K620" s="579">
        <f t="shared" si="506"/>
        <v>0</v>
      </c>
    </row>
    <row r="621" spans="1:11" customFormat="1" ht="15" x14ac:dyDescent="0.25">
      <c r="A621" s="511" t="s">
        <v>144</v>
      </c>
      <c r="B621" s="535" t="s">
        <v>5</v>
      </c>
      <c r="C621" s="543">
        <v>44000</v>
      </c>
      <c r="D621" s="543"/>
      <c r="E621" s="543"/>
      <c r="F621" s="513">
        <f t="shared" ref="F621" si="507">C621-D621+E621</f>
        <v>44000</v>
      </c>
      <c r="G621" s="543"/>
      <c r="H621" s="543"/>
      <c r="I621" s="543"/>
      <c r="J621" s="543"/>
      <c r="K621" s="543"/>
    </row>
    <row r="622" spans="1:11" s="6" customFormat="1" ht="15" hidden="1" x14ac:dyDescent="0.25">
      <c r="A622" s="529" t="s">
        <v>146</v>
      </c>
      <c r="B622" s="529" t="s">
        <v>126</v>
      </c>
      <c r="C622" s="579">
        <f t="shared" ref="C622:D622" si="508">SUM(C623:C624)</f>
        <v>0</v>
      </c>
      <c r="D622" s="579">
        <f t="shared" si="508"/>
        <v>0</v>
      </c>
      <c r="E622" s="579"/>
      <c r="F622" s="579"/>
      <c r="G622" s="579"/>
      <c r="H622" s="579"/>
      <c r="I622" s="579"/>
      <c r="J622" s="579"/>
      <c r="K622" s="579"/>
    </row>
    <row r="623" spans="1:11" customFormat="1" ht="15" hidden="1" x14ac:dyDescent="0.25">
      <c r="A623" s="511" t="s">
        <v>147</v>
      </c>
      <c r="B623" s="535" t="s">
        <v>127</v>
      </c>
      <c r="C623" s="543"/>
      <c r="D623" s="543"/>
      <c r="E623" s="543"/>
      <c r="F623" s="543"/>
      <c r="G623" s="543"/>
      <c r="H623" s="543"/>
      <c r="I623" s="543"/>
      <c r="J623" s="543"/>
      <c r="K623" s="543"/>
    </row>
    <row r="624" spans="1:11" customFormat="1" ht="15" hidden="1" x14ac:dyDescent="0.25">
      <c r="A624" s="511" t="s">
        <v>148</v>
      </c>
      <c r="B624" s="535" t="s">
        <v>128</v>
      </c>
      <c r="C624" s="543"/>
      <c r="D624" s="543"/>
      <c r="E624" s="543"/>
      <c r="F624" s="543"/>
      <c r="G624" s="543"/>
      <c r="H624" s="543"/>
      <c r="I624" s="543"/>
      <c r="J624" s="543"/>
      <c r="K624" s="543"/>
    </row>
    <row r="625" spans="1:11" customFormat="1" ht="15" x14ac:dyDescent="0.25">
      <c r="A625" s="516" t="s">
        <v>324</v>
      </c>
      <c r="B625" s="516" t="s">
        <v>325</v>
      </c>
      <c r="C625" s="549">
        <f>SUM(C626,C631)</f>
        <v>1133100</v>
      </c>
      <c r="D625" s="549">
        <f t="shared" ref="D625:F625" si="509">SUM(D626,D631)</f>
        <v>330000</v>
      </c>
      <c r="E625" s="549">
        <f t="shared" si="509"/>
        <v>0</v>
      </c>
      <c r="F625" s="549">
        <f t="shared" si="509"/>
        <v>803100</v>
      </c>
      <c r="G625" s="549">
        <f t="shared" ref="D625:K626" si="510">SUM(G626)</f>
        <v>0</v>
      </c>
      <c r="H625" s="549">
        <f t="shared" si="510"/>
        <v>0</v>
      </c>
      <c r="I625" s="549">
        <f t="shared" si="510"/>
        <v>0</v>
      </c>
      <c r="J625" s="549">
        <f t="shared" si="510"/>
        <v>0</v>
      </c>
      <c r="K625" s="549">
        <f t="shared" si="510"/>
        <v>0</v>
      </c>
    </row>
    <row r="626" spans="1:11" s="6" customFormat="1" ht="15" x14ac:dyDescent="0.25">
      <c r="A626" s="529" t="s">
        <v>149</v>
      </c>
      <c r="B626" s="529" t="s">
        <v>12</v>
      </c>
      <c r="C626" s="579">
        <f>SUM(C627)</f>
        <v>4000</v>
      </c>
      <c r="D626" s="579">
        <f t="shared" si="510"/>
        <v>0</v>
      </c>
      <c r="E626" s="579">
        <f t="shared" si="510"/>
        <v>0</v>
      </c>
      <c r="F626" s="579">
        <f t="shared" si="510"/>
        <v>4000</v>
      </c>
      <c r="G626" s="579">
        <f t="shared" ref="G626:K626" si="511">SUM(G627:G634)</f>
        <v>0</v>
      </c>
      <c r="H626" s="579">
        <f t="shared" si="511"/>
        <v>0</v>
      </c>
      <c r="I626" s="579">
        <f t="shared" si="511"/>
        <v>0</v>
      </c>
      <c r="J626" s="579">
        <f t="shared" si="511"/>
        <v>0</v>
      </c>
      <c r="K626" s="579">
        <f t="shared" si="511"/>
        <v>0</v>
      </c>
    </row>
    <row r="627" spans="1:11" customFormat="1" ht="15" x14ac:dyDescent="0.25">
      <c r="A627" s="511" t="s">
        <v>150</v>
      </c>
      <c r="B627" s="535" t="s">
        <v>13</v>
      </c>
      <c r="C627" s="543">
        <v>4000</v>
      </c>
      <c r="D627" s="543"/>
      <c r="E627" s="543"/>
      <c r="F627" s="513">
        <f t="shared" ref="F627:F634" si="512">C627-D627+E627</f>
        <v>4000</v>
      </c>
      <c r="G627" s="543"/>
      <c r="H627" s="543"/>
      <c r="I627" s="543"/>
      <c r="J627" s="543"/>
      <c r="K627" s="543"/>
    </row>
    <row r="628" spans="1:11" customFormat="1" ht="15" hidden="1" x14ac:dyDescent="0.25">
      <c r="A628" s="511" t="s">
        <v>151</v>
      </c>
      <c r="B628" s="535" t="s">
        <v>14</v>
      </c>
      <c r="C628" s="543"/>
      <c r="D628" s="543"/>
      <c r="E628" s="543"/>
      <c r="F628" s="513">
        <f t="shared" si="512"/>
        <v>0</v>
      </c>
      <c r="G628" s="543"/>
      <c r="H628" s="543"/>
      <c r="I628" s="543"/>
      <c r="J628" s="543"/>
      <c r="K628" s="543"/>
    </row>
    <row r="629" spans="1:11" s="6" customFormat="1" ht="15" hidden="1" x14ac:dyDescent="0.25">
      <c r="A629" s="529" t="s">
        <v>153</v>
      </c>
      <c r="B629" s="529" t="s">
        <v>16</v>
      </c>
      <c r="C629" s="579">
        <f t="shared" ref="C629:D629" si="513">SUM(C630)</f>
        <v>0</v>
      </c>
      <c r="D629" s="579">
        <f t="shared" si="513"/>
        <v>0</v>
      </c>
      <c r="E629" s="579"/>
      <c r="F629" s="513">
        <f t="shared" si="512"/>
        <v>0</v>
      </c>
      <c r="G629" s="579"/>
      <c r="H629" s="579"/>
      <c r="I629" s="579"/>
      <c r="J629" s="579"/>
      <c r="K629" s="579"/>
    </row>
    <row r="630" spans="1:11" customFormat="1" ht="15" hidden="1" x14ac:dyDescent="0.25">
      <c r="A630" s="511" t="s">
        <v>156</v>
      </c>
      <c r="B630" s="535" t="s">
        <v>19</v>
      </c>
      <c r="C630" s="543"/>
      <c r="D630" s="543"/>
      <c r="E630" s="543"/>
      <c r="F630" s="513">
        <f t="shared" si="512"/>
        <v>0</v>
      </c>
      <c r="G630" s="543"/>
      <c r="H630" s="543"/>
      <c r="I630" s="543"/>
      <c r="J630" s="543"/>
      <c r="K630" s="543"/>
    </row>
    <row r="631" spans="1:11" s="6" customFormat="1" ht="15" x14ac:dyDescent="0.25">
      <c r="A631" s="529" t="s">
        <v>159</v>
      </c>
      <c r="B631" s="529" t="s">
        <v>123</v>
      </c>
      <c r="C631" s="579">
        <f t="shared" ref="C631:D631" si="514">SUM(C632:C634)</f>
        <v>1129100</v>
      </c>
      <c r="D631" s="579">
        <f t="shared" si="514"/>
        <v>330000</v>
      </c>
      <c r="E631" s="579"/>
      <c r="F631" s="513">
        <f t="shared" si="512"/>
        <v>799100</v>
      </c>
      <c r="G631" s="579"/>
      <c r="H631" s="579"/>
      <c r="I631" s="579"/>
      <c r="J631" s="579"/>
      <c r="K631" s="579"/>
    </row>
    <row r="632" spans="1:11" s="6" customFormat="1" ht="15" hidden="1" x14ac:dyDescent="0.25">
      <c r="A632" s="520" t="s">
        <v>162</v>
      </c>
      <c r="B632" s="521" t="s">
        <v>26</v>
      </c>
      <c r="C632" s="543"/>
      <c r="D632" s="543"/>
      <c r="E632" s="543"/>
      <c r="F632" s="513">
        <f t="shared" si="512"/>
        <v>0</v>
      </c>
      <c r="G632" s="543"/>
      <c r="H632" s="543"/>
      <c r="I632" s="543"/>
      <c r="J632" s="543"/>
      <c r="K632" s="543"/>
    </row>
    <row r="633" spans="1:11" customFormat="1" ht="15" hidden="1" x14ac:dyDescent="0.25">
      <c r="A633" s="531" t="s">
        <v>166</v>
      </c>
      <c r="B633" s="584" t="s">
        <v>30</v>
      </c>
      <c r="C633" s="545"/>
      <c r="D633" s="545"/>
      <c r="E633" s="545"/>
      <c r="F633" s="513">
        <f t="shared" si="512"/>
        <v>0</v>
      </c>
      <c r="G633" s="545"/>
      <c r="H633" s="545"/>
      <c r="I633" s="545"/>
      <c r="J633" s="545"/>
      <c r="K633" s="545"/>
    </row>
    <row r="634" spans="1:11" customFormat="1" ht="15" x14ac:dyDescent="0.25">
      <c r="A634" s="511" t="s">
        <v>167</v>
      </c>
      <c r="B634" s="535" t="s">
        <v>31</v>
      </c>
      <c r="C634" s="543">
        <v>1129100</v>
      </c>
      <c r="D634" s="543">
        <v>330000</v>
      </c>
      <c r="E634" s="543"/>
      <c r="F634" s="513">
        <f t="shared" si="512"/>
        <v>799100</v>
      </c>
      <c r="G634" s="543"/>
      <c r="H634" s="543"/>
      <c r="I634" s="543"/>
      <c r="J634" s="543"/>
      <c r="K634" s="543"/>
    </row>
    <row r="635" spans="1:11" s="6" customFormat="1" ht="15" hidden="1" x14ac:dyDescent="0.25">
      <c r="A635" s="529" t="s">
        <v>170</v>
      </c>
      <c r="B635" s="529" t="s">
        <v>33</v>
      </c>
      <c r="C635" s="579">
        <f t="shared" ref="C635:D635" si="515">SUM(C636:C637)</f>
        <v>0</v>
      </c>
      <c r="D635" s="579">
        <f t="shared" si="515"/>
        <v>0</v>
      </c>
      <c r="E635" s="579"/>
      <c r="F635" s="579"/>
      <c r="G635" s="579"/>
      <c r="H635" s="579"/>
      <c r="I635" s="579"/>
      <c r="J635" s="579"/>
      <c r="K635" s="579"/>
    </row>
    <row r="636" spans="1:11" customFormat="1" ht="15" hidden="1" x14ac:dyDescent="0.25">
      <c r="A636" s="520" t="s">
        <v>172</v>
      </c>
      <c r="B636" s="521" t="s">
        <v>36</v>
      </c>
      <c r="C636" s="513"/>
      <c r="D636" s="513"/>
      <c r="E636" s="513"/>
      <c r="F636" s="513"/>
      <c r="G636" s="513"/>
      <c r="H636" s="513"/>
      <c r="I636" s="513"/>
      <c r="J636" s="513"/>
      <c r="K636" s="513"/>
    </row>
    <row r="637" spans="1:11" customFormat="1" ht="15" hidden="1" x14ac:dyDescent="0.25">
      <c r="A637" s="511" t="s">
        <v>173</v>
      </c>
      <c r="B637" s="535" t="s">
        <v>33</v>
      </c>
      <c r="C637" s="543"/>
      <c r="D637" s="543"/>
      <c r="E637" s="543"/>
      <c r="F637" s="543"/>
      <c r="G637" s="543"/>
      <c r="H637" s="543"/>
      <c r="I637" s="543"/>
      <c r="J637" s="543"/>
      <c r="K637" s="543"/>
    </row>
    <row r="638" spans="1:11" s="6" customFormat="1" ht="15" hidden="1" x14ac:dyDescent="0.25">
      <c r="A638" s="529" t="s">
        <v>176</v>
      </c>
      <c r="B638" s="529" t="s">
        <v>67</v>
      </c>
      <c r="C638" s="579">
        <f t="shared" ref="C638:D638" si="516">SUM(C639)</f>
        <v>0</v>
      </c>
      <c r="D638" s="579">
        <f t="shared" si="516"/>
        <v>0</v>
      </c>
      <c r="E638" s="579"/>
      <c r="F638" s="579"/>
      <c r="G638" s="579"/>
      <c r="H638" s="579"/>
      <c r="I638" s="579"/>
      <c r="J638" s="579"/>
      <c r="K638" s="579"/>
    </row>
    <row r="639" spans="1:11" customFormat="1" ht="15" hidden="1" x14ac:dyDescent="0.25">
      <c r="A639" s="511" t="s">
        <v>190</v>
      </c>
      <c r="B639" s="535" t="s">
        <v>68</v>
      </c>
      <c r="C639" s="543"/>
      <c r="D639" s="543"/>
      <c r="E639" s="543"/>
      <c r="F639" s="543"/>
      <c r="G639" s="543"/>
      <c r="H639" s="543"/>
      <c r="I639" s="543"/>
      <c r="J639" s="543"/>
      <c r="K639" s="543"/>
    </row>
    <row r="640" spans="1:11" s="6" customFormat="1" ht="15" hidden="1" x14ac:dyDescent="0.25">
      <c r="A640" s="529" t="s">
        <v>177</v>
      </c>
      <c r="B640" s="529" t="s">
        <v>129</v>
      </c>
      <c r="C640" s="579">
        <f t="shared" ref="C640:D640" si="517">SUM(C641:C642)</f>
        <v>0</v>
      </c>
      <c r="D640" s="579">
        <f t="shared" si="517"/>
        <v>0</v>
      </c>
      <c r="E640" s="579"/>
      <c r="F640" s="579"/>
      <c r="G640" s="579"/>
      <c r="H640" s="579"/>
      <c r="I640" s="579"/>
      <c r="J640" s="579"/>
      <c r="K640" s="579"/>
    </row>
    <row r="641" spans="1:11" customFormat="1" ht="27.75" hidden="1" customHeight="1" x14ac:dyDescent="0.25">
      <c r="A641" s="511" t="s">
        <v>178</v>
      </c>
      <c r="B641" s="535" t="s">
        <v>54</v>
      </c>
      <c r="C641" s="543"/>
      <c r="D641" s="543"/>
      <c r="E641" s="543"/>
      <c r="F641" s="543"/>
      <c r="G641" s="543"/>
      <c r="H641" s="543"/>
      <c r="I641" s="543"/>
      <c r="J641" s="543"/>
      <c r="K641" s="543"/>
    </row>
    <row r="642" spans="1:11" customFormat="1" ht="12" hidden="1" customHeight="1" x14ac:dyDescent="0.25">
      <c r="A642" s="511" t="s">
        <v>180</v>
      </c>
      <c r="B642" s="535" t="s">
        <v>60</v>
      </c>
      <c r="C642" s="543"/>
      <c r="D642" s="543"/>
      <c r="E642" s="543"/>
      <c r="F642" s="543"/>
      <c r="G642" s="543"/>
      <c r="H642" s="543"/>
      <c r="I642" s="543"/>
      <c r="J642" s="543"/>
      <c r="K642" s="543"/>
    </row>
    <row r="643" spans="1:11" customFormat="1" ht="25.5" x14ac:dyDescent="0.25">
      <c r="A643" s="505" t="s">
        <v>330</v>
      </c>
      <c r="B643" s="517" t="s">
        <v>331</v>
      </c>
      <c r="C643" s="507">
        <f>SUM(C644)</f>
        <v>119000</v>
      </c>
      <c r="D643" s="507">
        <f t="shared" ref="D643:K643" si="518">SUM(D644)</f>
        <v>0</v>
      </c>
      <c r="E643" s="507">
        <f t="shared" si="518"/>
        <v>0</v>
      </c>
      <c r="F643" s="507">
        <f t="shared" si="518"/>
        <v>119000</v>
      </c>
      <c r="G643" s="507">
        <f t="shared" si="518"/>
        <v>0</v>
      </c>
      <c r="H643" s="507">
        <f t="shared" si="518"/>
        <v>0</v>
      </c>
      <c r="I643" s="507">
        <f t="shared" si="518"/>
        <v>0</v>
      </c>
      <c r="J643" s="507">
        <f t="shared" si="518"/>
        <v>0</v>
      </c>
      <c r="K643" s="507">
        <f t="shared" si="518"/>
        <v>0</v>
      </c>
    </row>
    <row r="644" spans="1:11" s="6" customFormat="1" ht="15" x14ac:dyDescent="0.25">
      <c r="A644" s="529" t="s">
        <v>181</v>
      </c>
      <c r="B644" s="529" t="s">
        <v>61</v>
      </c>
      <c r="C644" s="579">
        <f t="shared" ref="C644:K644" si="519">SUM(C645)</f>
        <v>119000</v>
      </c>
      <c r="D644" s="579">
        <f t="shared" si="519"/>
        <v>0</v>
      </c>
      <c r="E644" s="579">
        <f t="shared" si="519"/>
        <v>0</v>
      </c>
      <c r="F644" s="579">
        <f t="shared" si="519"/>
        <v>119000</v>
      </c>
      <c r="G644" s="579">
        <f t="shared" si="519"/>
        <v>0</v>
      </c>
      <c r="H644" s="579">
        <f t="shared" si="519"/>
        <v>0</v>
      </c>
      <c r="I644" s="579">
        <f t="shared" si="519"/>
        <v>0</v>
      </c>
      <c r="J644" s="579">
        <f t="shared" si="519"/>
        <v>0</v>
      </c>
      <c r="K644" s="579">
        <f t="shared" si="519"/>
        <v>0</v>
      </c>
    </row>
    <row r="645" spans="1:11" customFormat="1" ht="15" x14ac:dyDescent="0.25">
      <c r="A645" s="511">
        <v>4231</v>
      </c>
      <c r="B645" s="535" t="s">
        <v>62</v>
      </c>
      <c r="C645" s="543">
        <v>119000</v>
      </c>
      <c r="D645" s="543"/>
      <c r="E645" s="543"/>
      <c r="F645" s="513">
        <f t="shared" ref="F645" si="520">C645-D645+E645</f>
        <v>119000</v>
      </c>
      <c r="G645" s="543"/>
      <c r="H645" s="543"/>
      <c r="I645" s="543"/>
      <c r="J645" s="543"/>
      <c r="K645" s="543"/>
    </row>
    <row r="646" spans="1:11" customFormat="1" ht="18" customHeight="1" x14ac:dyDescent="0.25">
      <c r="A646" s="710" t="s">
        <v>241</v>
      </c>
      <c r="B646" s="710"/>
      <c r="C646" s="504">
        <f>SUM(C647,C653,C676)</f>
        <v>30566500</v>
      </c>
      <c r="D646" s="504">
        <f t="shared" ref="D646:F646" si="521">SUM(D647,D653,D676)</f>
        <v>3031300</v>
      </c>
      <c r="E646" s="504">
        <f t="shared" si="521"/>
        <v>210600</v>
      </c>
      <c r="F646" s="504">
        <f t="shared" si="521"/>
        <v>27745800</v>
      </c>
      <c r="G646" s="504">
        <f t="shared" ref="G646:H646" si="522">SUM(G647,G653,G676)</f>
        <v>0</v>
      </c>
      <c r="H646" s="504">
        <f t="shared" si="522"/>
        <v>0</v>
      </c>
      <c r="I646" s="504">
        <f t="shared" ref="I646:J646" si="523">SUM(I647,I653,I676)</f>
        <v>0</v>
      </c>
      <c r="J646" s="504">
        <f t="shared" si="523"/>
        <v>0</v>
      </c>
      <c r="K646" s="504">
        <f t="shared" ref="K646" si="524">SUM(K647,K653,K676)</f>
        <v>0</v>
      </c>
    </row>
    <row r="647" spans="1:11" customFormat="1" ht="18" customHeight="1" x14ac:dyDescent="0.25">
      <c r="A647" s="516" t="s">
        <v>322</v>
      </c>
      <c r="B647" s="517" t="s">
        <v>323</v>
      </c>
      <c r="C647" s="518">
        <f>SUM(C648)</f>
        <v>6800</v>
      </c>
      <c r="D647" s="518">
        <f t="shared" ref="D647:K647" si="525">SUM(D648)</f>
        <v>0</v>
      </c>
      <c r="E647" s="518">
        <f t="shared" si="525"/>
        <v>0</v>
      </c>
      <c r="F647" s="518">
        <f>SUM(F648)</f>
        <v>6800</v>
      </c>
      <c r="G647" s="518">
        <f t="shared" si="525"/>
        <v>0</v>
      </c>
      <c r="H647" s="518">
        <f t="shared" si="525"/>
        <v>0</v>
      </c>
      <c r="I647" s="518">
        <f t="shared" si="525"/>
        <v>0</v>
      </c>
      <c r="J647" s="518">
        <f t="shared" si="525"/>
        <v>0</v>
      </c>
      <c r="K647" s="518">
        <f t="shared" si="525"/>
        <v>0</v>
      </c>
    </row>
    <row r="648" spans="1:11" s="6" customFormat="1" ht="15" x14ac:dyDescent="0.25">
      <c r="A648" s="529" t="s">
        <v>143</v>
      </c>
      <c r="B648" s="529" t="s">
        <v>220</v>
      </c>
      <c r="C648" s="579">
        <f t="shared" ref="C648:F648" si="526">SUM(C649,C651)</f>
        <v>6800</v>
      </c>
      <c r="D648" s="579">
        <f t="shared" si="526"/>
        <v>0</v>
      </c>
      <c r="E648" s="579">
        <f t="shared" si="526"/>
        <v>0</v>
      </c>
      <c r="F648" s="579">
        <f t="shared" si="526"/>
        <v>6800</v>
      </c>
      <c r="G648" s="579">
        <f t="shared" ref="G648:H648" si="527">SUM(G649,G651)</f>
        <v>0</v>
      </c>
      <c r="H648" s="579">
        <f t="shared" si="527"/>
        <v>0</v>
      </c>
      <c r="I648" s="579">
        <f t="shared" ref="I648:J648" si="528">SUM(I649,I651)</f>
        <v>0</v>
      </c>
      <c r="J648" s="579">
        <f t="shared" si="528"/>
        <v>0</v>
      </c>
      <c r="K648" s="579">
        <f t="shared" ref="K648" si="529">SUM(K649,K651)</f>
        <v>0</v>
      </c>
    </row>
    <row r="649" spans="1:11" customFormat="1" ht="14.25" customHeight="1" x14ac:dyDescent="0.25">
      <c r="A649" s="511" t="s">
        <v>144</v>
      </c>
      <c r="B649" s="535" t="s">
        <v>5</v>
      </c>
      <c r="C649" s="543">
        <v>6800</v>
      </c>
      <c r="D649" s="543"/>
      <c r="E649" s="543"/>
      <c r="F649" s="513">
        <f t="shared" ref="F649" si="530">C649-D649+E649</f>
        <v>6800</v>
      </c>
      <c r="G649" s="543"/>
      <c r="H649" s="543"/>
      <c r="I649" s="543"/>
      <c r="J649" s="543"/>
      <c r="K649" s="543"/>
    </row>
    <row r="650" spans="1:11" s="6" customFormat="1" ht="15" hidden="1" x14ac:dyDescent="0.25">
      <c r="A650" s="529" t="s">
        <v>146</v>
      </c>
      <c r="B650" s="529" t="s">
        <v>126</v>
      </c>
      <c r="C650" s="579"/>
      <c r="D650" s="579"/>
      <c r="E650" s="579"/>
      <c r="F650" s="579"/>
      <c r="G650" s="579"/>
      <c r="H650" s="579"/>
      <c r="I650" s="579"/>
      <c r="J650" s="579"/>
      <c r="K650" s="579"/>
    </row>
    <row r="651" spans="1:11" customFormat="1" ht="15" hidden="1" customHeight="1" x14ac:dyDescent="0.25">
      <c r="A651" s="511" t="s">
        <v>147</v>
      </c>
      <c r="B651" s="535" t="s">
        <v>127</v>
      </c>
      <c r="C651" s="543"/>
      <c r="D651" s="543"/>
      <c r="E651" s="543"/>
      <c r="F651" s="543"/>
      <c r="G651" s="543"/>
      <c r="H651" s="543"/>
      <c r="I651" s="543"/>
      <c r="J651" s="543"/>
      <c r="K651" s="543"/>
    </row>
    <row r="652" spans="1:11" customFormat="1" ht="0.75" hidden="1" customHeight="1" x14ac:dyDescent="0.25">
      <c r="A652" s="511" t="s">
        <v>148</v>
      </c>
      <c r="B652" s="535" t="s">
        <v>128</v>
      </c>
      <c r="C652" s="543"/>
      <c r="D652" s="543"/>
      <c r="E652" s="543"/>
      <c r="F652" s="543"/>
      <c r="G652" s="543"/>
      <c r="H652" s="543"/>
      <c r="I652" s="543"/>
      <c r="J652" s="543"/>
      <c r="K652" s="543"/>
    </row>
    <row r="653" spans="1:11" customFormat="1" ht="17.25" customHeight="1" x14ac:dyDescent="0.25">
      <c r="A653" s="516" t="s">
        <v>324</v>
      </c>
      <c r="B653" s="516" t="s">
        <v>325</v>
      </c>
      <c r="C653" s="549">
        <f>SUM(C654,C658,C663,C669,C671)</f>
        <v>1895000</v>
      </c>
      <c r="D653" s="549">
        <f t="shared" ref="D653" si="531">SUM(D654,D658,D663,D669,D671)</f>
        <v>1243800</v>
      </c>
      <c r="E653" s="549">
        <f t="shared" ref="E653:K653" si="532">SUM(E654,E658,E663,E669,E671)</f>
        <v>85800</v>
      </c>
      <c r="F653" s="549">
        <f t="shared" si="532"/>
        <v>737000</v>
      </c>
      <c r="G653" s="549">
        <f t="shared" si="532"/>
        <v>0</v>
      </c>
      <c r="H653" s="549">
        <f t="shared" si="532"/>
        <v>0</v>
      </c>
      <c r="I653" s="549">
        <f t="shared" si="532"/>
        <v>0</v>
      </c>
      <c r="J653" s="549">
        <f t="shared" si="532"/>
        <v>0</v>
      </c>
      <c r="K653" s="549">
        <f t="shared" si="532"/>
        <v>0</v>
      </c>
    </row>
    <row r="654" spans="1:11" s="6" customFormat="1" ht="15" x14ac:dyDescent="0.25">
      <c r="A654" s="529" t="s">
        <v>149</v>
      </c>
      <c r="B654" s="529" t="s">
        <v>12</v>
      </c>
      <c r="C654" s="579">
        <f>C655+C657</f>
        <v>9300</v>
      </c>
      <c r="D654" s="579">
        <f>SUM(D655:D657)</f>
        <v>5100</v>
      </c>
      <c r="E654" s="579">
        <f>SUM(E655:E657)</f>
        <v>35800</v>
      </c>
      <c r="F654" s="579">
        <f>F655+F657</f>
        <v>40000</v>
      </c>
      <c r="G654" s="579">
        <f>SUM(G655:G657)</f>
        <v>0</v>
      </c>
      <c r="H654" s="579">
        <f>SUM(H655:H657)</f>
        <v>0</v>
      </c>
      <c r="I654" s="579">
        <f>SUM(I655:I657)</f>
        <v>0</v>
      </c>
      <c r="J654" s="579">
        <f>SUM(J655:J657)</f>
        <v>0</v>
      </c>
      <c r="K654" s="579">
        <f>SUM(K655:K657)</f>
        <v>0</v>
      </c>
    </row>
    <row r="655" spans="1:11" customFormat="1" ht="14.25" customHeight="1" x14ac:dyDescent="0.25">
      <c r="A655" s="511" t="s">
        <v>150</v>
      </c>
      <c r="B655" s="535" t="s">
        <v>13</v>
      </c>
      <c r="C655" s="543">
        <v>5100</v>
      </c>
      <c r="D655" s="543">
        <v>5100</v>
      </c>
      <c r="E655" s="543"/>
      <c r="F655" s="513">
        <f t="shared" ref="F655:F657" si="533">C655-D655+E655</f>
        <v>0</v>
      </c>
      <c r="G655" s="543"/>
      <c r="H655" s="543"/>
      <c r="I655" s="543"/>
      <c r="J655" s="543"/>
      <c r="K655" s="543"/>
    </row>
    <row r="656" spans="1:11" customFormat="1" ht="15" hidden="1" x14ac:dyDescent="0.25">
      <c r="A656" s="511">
        <v>3212</v>
      </c>
      <c r="B656" s="535" t="s">
        <v>14</v>
      </c>
      <c r="C656" s="543">
        <v>2000</v>
      </c>
      <c r="D656" s="543"/>
      <c r="E656" s="543"/>
      <c r="F656" s="513">
        <f t="shared" si="533"/>
        <v>2000</v>
      </c>
      <c r="G656" s="543"/>
      <c r="H656" s="543"/>
      <c r="I656" s="543"/>
      <c r="J656" s="543"/>
      <c r="K656" s="543"/>
    </row>
    <row r="657" spans="1:11" customFormat="1" ht="18" customHeight="1" x14ac:dyDescent="0.25">
      <c r="A657" s="511">
        <v>3213</v>
      </c>
      <c r="B657" s="535" t="s">
        <v>15</v>
      </c>
      <c r="C657" s="543">
        <v>4200</v>
      </c>
      <c r="D657" s="543"/>
      <c r="E657" s="543">
        <v>35800</v>
      </c>
      <c r="F657" s="513">
        <f t="shared" si="533"/>
        <v>40000</v>
      </c>
      <c r="G657" s="543"/>
      <c r="H657" s="543"/>
      <c r="I657" s="543"/>
      <c r="J657" s="543"/>
      <c r="K657" s="543"/>
    </row>
    <row r="658" spans="1:11" s="6" customFormat="1" ht="15" x14ac:dyDescent="0.25">
      <c r="A658" s="529" t="s">
        <v>153</v>
      </c>
      <c r="B658" s="529" t="s">
        <v>16</v>
      </c>
      <c r="C658" s="579">
        <f>SUM(C659:C662)</f>
        <v>757800</v>
      </c>
      <c r="D658" s="579">
        <f t="shared" ref="D658:F658" si="534">SUM(D659:D662)</f>
        <v>402800</v>
      </c>
      <c r="E658" s="579">
        <f t="shared" si="534"/>
        <v>50000</v>
      </c>
      <c r="F658" s="579">
        <f t="shared" si="534"/>
        <v>405000</v>
      </c>
      <c r="G658" s="579">
        <f t="shared" ref="G658:H658" si="535">SUM(G660:G662)</f>
        <v>0</v>
      </c>
      <c r="H658" s="579">
        <f t="shared" si="535"/>
        <v>0</v>
      </c>
      <c r="I658" s="579">
        <f t="shared" ref="I658:J658" si="536">SUM(I660:I662)</f>
        <v>0</v>
      </c>
      <c r="J658" s="579">
        <f t="shared" si="536"/>
        <v>0</v>
      </c>
      <c r="K658" s="579">
        <f t="shared" ref="K658" si="537">SUM(K660:K662)</f>
        <v>0</v>
      </c>
    </row>
    <row r="659" spans="1:11" s="6" customFormat="1" ht="15" x14ac:dyDescent="0.25">
      <c r="A659" s="520">
        <v>3222</v>
      </c>
      <c r="B659" s="521" t="s">
        <v>18</v>
      </c>
      <c r="C659" s="585"/>
      <c r="D659" s="585"/>
      <c r="E659" s="586">
        <v>50000</v>
      </c>
      <c r="F659" s="513">
        <f t="shared" ref="F659:F672" si="538">C659-D659+E659</f>
        <v>50000</v>
      </c>
      <c r="G659" s="585"/>
      <c r="H659" s="585"/>
      <c r="I659" s="585"/>
      <c r="J659" s="585"/>
      <c r="K659" s="585"/>
    </row>
    <row r="660" spans="1:11" customFormat="1" ht="15" x14ac:dyDescent="0.25">
      <c r="A660" s="511" t="s">
        <v>156</v>
      </c>
      <c r="B660" s="535" t="s">
        <v>19</v>
      </c>
      <c r="C660" s="543">
        <v>2800</v>
      </c>
      <c r="D660" s="543">
        <v>2800</v>
      </c>
      <c r="E660" s="543"/>
      <c r="F660" s="513">
        <f t="shared" si="538"/>
        <v>0</v>
      </c>
      <c r="G660" s="543"/>
      <c r="H660" s="543"/>
      <c r="I660" s="543"/>
      <c r="J660" s="543"/>
      <c r="K660" s="543"/>
    </row>
    <row r="661" spans="1:11" s="10" customFormat="1" ht="15" x14ac:dyDescent="0.25">
      <c r="A661" s="531">
        <v>3225</v>
      </c>
      <c r="B661" s="584" t="s">
        <v>308</v>
      </c>
      <c r="C661" s="545">
        <v>473000</v>
      </c>
      <c r="D661" s="545">
        <v>400000</v>
      </c>
      <c r="E661" s="545"/>
      <c r="F661" s="513">
        <f t="shared" si="538"/>
        <v>73000</v>
      </c>
      <c r="G661" s="545"/>
      <c r="H661" s="545"/>
      <c r="I661" s="545"/>
      <c r="J661" s="545"/>
      <c r="K661" s="545"/>
    </row>
    <row r="662" spans="1:11" customFormat="1" ht="15" x14ac:dyDescent="0.25">
      <c r="A662" s="511">
        <v>3227</v>
      </c>
      <c r="B662" s="535" t="s">
        <v>22</v>
      </c>
      <c r="C662" s="543">
        <v>282000</v>
      </c>
      <c r="D662" s="543"/>
      <c r="E662" s="543"/>
      <c r="F662" s="513">
        <f t="shared" si="538"/>
        <v>282000</v>
      </c>
      <c r="G662" s="543"/>
      <c r="H662" s="543"/>
      <c r="I662" s="543"/>
      <c r="J662" s="543"/>
      <c r="K662" s="543"/>
    </row>
    <row r="663" spans="1:11" s="6" customFormat="1" ht="15" x14ac:dyDescent="0.25">
      <c r="A663" s="529" t="s">
        <v>159</v>
      </c>
      <c r="B663" s="529" t="s">
        <v>123</v>
      </c>
      <c r="C663" s="579">
        <f t="shared" ref="C663:F663" si="539">SUM(C664:C668)</f>
        <v>1012700</v>
      </c>
      <c r="D663" s="579">
        <f t="shared" si="539"/>
        <v>733700</v>
      </c>
      <c r="E663" s="579">
        <f t="shared" si="539"/>
        <v>0</v>
      </c>
      <c r="F663" s="579">
        <f t="shared" si="539"/>
        <v>279000</v>
      </c>
      <c r="G663" s="579">
        <f t="shared" ref="G663:H663" si="540">SUM(G664:G668)</f>
        <v>0</v>
      </c>
      <c r="H663" s="579">
        <f t="shared" si="540"/>
        <v>0</v>
      </c>
      <c r="I663" s="579">
        <f t="shared" ref="I663:J663" si="541">SUM(I664:I668)</f>
        <v>0</v>
      </c>
      <c r="J663" s="579">
        <f t="shared" si="541"/>
        <v>0</v>
      </c>
      <c r="K663" s="579">
        <f t="shared" ref="K663" si="542">SUM(K664:K668)</f>
        <v>0</v>
      </c>
    </row>
    <row r="664" spans="1:11" s="6" customFormat="1" ht="15" x14ac:dyDescent="0.25">
      <c r="A664" s="520" t="s">
        <v>162</v>
      </c>
      <c r="B664" s="521" t="s">
        <v>26</v>
      </c>
      <c r="C664" s="543">
        <v>378000</v>
      </c>
      <c r="D664" s="543">
        <v>128000</v>
      </c>
      <c r="E664" s="543"/>
      <c r="F664" s="513">
        <f t="shared" si="538"/>
        <v>250000</v>
      </c>
      <c r="G664" s="543"/>
      <c r="H664" s="543"/>
      <c r="I664" s="543"/>
      <c r="J664" s="543"/>
      <c r="K664" s="543"/>
    </row>
    <row r="665" spans="1:11" s="6" customFormat="1" ht="15" x14ac:dyDescent="0.25">
      <c r="A665" s="520">
        <v>3235</v>
      </c>
      <c r="B665" s="521" t="s">
        <v>28</v>
      </c>
      <c r="C665" s="543">
        <v>2000</v>
      </c>
      <c r="D665" s="543">
        <v>2000</v>
      </c>
      <c r="E665" s="543"/>
      <c r="F665" s="513">
        <f t="shared" si="538"/>
        <v>0</v>
      </c>
      <c r="G665" s="543"/>
      <c r="H665" s="543"/>
      <c r="I665" s="543"/>
      <c r="J665" s="543"/>
      <c r="K665" s="543"/>
    </row>
    <row r="666" spans="1:11" customFormat="1" ht="15" x14ac:dyDescent="0.25">
      <c r="A666" s="511" t="s">
        <v>166</v>
      </c>
      <c r="B666" s="535" t="s">
        <v>30</v>
      </c>
      <c r="C666" s="543">
        <v>459000</v>
      </c>
      <c r="D666" s="543">
        <v>450000</v>
      </c>
      <c r="E666" s="543"/>
      <c r="F666" s="513">
        <f t="shared" si="538"/>
        <v>9000</v>
      </c>
      <c r="G666" s="543"/>
      <c r="H666" s="543"/>
      <c r="I666" s="543"/>
      <c r="J666" s="543"/>
      <c r="K666" s="543"/>
    </row>
    <row r="667" spans="1:11" customFormat="1" ht="15" hidden="1" x14ac:dyDescent="0.25">
      <c r="A667" s="511">
        <v>3238</v>
      </c>
      <c r="B667" s="535" t="s">
        <v>70</v>
      </c>
      <c r="C667" s="543">
        <v>0</v>
      </c>
      <c r="D667" s="543"/>
      <c r="E667" s="543"/>
      <c r="F667" s="513">
        <f t="shared" si="538"/>
        <v>0</v>
      </c>
      <c r="G667" s="543"/>
      <c r="H667" s="543"/>
      <c r="I667" s="543"/>
      <c r="J667" s="543"/>
      <c r="K667" s="543"/>
    </row>
    <row r="668" spans="1:11" customFormat="1" ht="15" x14ac:dyDescent="0.25">
      <c r="A668" s="511" t="s">
        <v>167</v>
      </c>
      <c r="B668" s="535" t="s">
        <v>31</v>
      </c>
      <c r="C668" s="543">
        <v>173700</v>
      </c>
      <c r="D668" s="543">
        <v>153700</v>
      </c>
      <c r="E668" s="543"/>
      <c r="F668" s="513">
        <f t="shared" si="538"/>
        <v>20000</v>
      </c>
      <c r="G668" s="543"/>
      <c r="H668" s="543"/>
      <c r="I668" s="543"/>
      <c r="J668" s="543"/>
      <c r="K668" s="543"/>
    </row>
    <row r="669" spans="1:11" s="6" customFormat="1" ht="25.5" x14ac:dyDescent="0.25">
      <c r="A669" s="519">
        <v>324</v>
      </c>
      <c r="B669" s="523" t="s">
        <v>32</v>
      </c>
      <c r="C669" s="510">
        <f t="shared" ref="C669:K669" si="543">SUM(C670)</f>
        <v>113100</v>
      </c>
      <c r="D669" s="510">
        <f t="shared" si="543"/>
        <v>100100</v>
      </c>
      <c r="E669" s="510">
        <f t="shared" si="543"/>
        <v>0</v>
      </c>
      <c r="F669" s="510">
        <f t="shared" si="543"/>
        <v>13000</v>
      </c>
      <c r="G669" s="510">
        <f t="shared" si="543"/>
        <v>0</v>
      </c>
      <c r="H669" s="510">
        <f t="shared" si="543"/>
        <v>0</v>
      </c>
      <c r="I669" s="510">
        <f t="shared" si="543"/>
        <v>0</v>
      </c>
      <c r="J669" s="510">
        <f t="shared" si="543"/>
        <v>0</v>
      </c>
      <c r="K669" s="510">
        <f t="shared" si="543"/>
        <v>0</v>
      </c>
    </row>
    <row r="670" spans="1:11" customFormat="1" ht="25.5" x14ac:dyDescent="0.25">
      <c r="A670" s="520">
        <v>3241</v>
      </c>
      <c r="B670" s="521" t="s">
        <v>32</v>
      </c>
      <c r="C670" s="513">
        <v>113100</v>
      </c>
      <c r="D670" s="513">
        <v>100100</v>
      </c>
      <c r="E670" s="513"/>
      <c r="F670" s="513">
        <f t="shared" si="538"/>
        <v>13000</v>
      </c>
      <c r="G670" s="513"/>
      <c r="H670" s="513"/>
      <c r="I670" s="513"/>
      <c r="J670" s="513"/>
      <c r="K670" s="513"/>
    </row>
    <row r="671" spans="1:11" s="6" customFormat="1" ht="15" x14ac:dyDescent="0.25">
      <c r="A671" s="529" t="s">
        <v>170</v>
      </c>
      <c r="B671" s="529" t="s">
        <v>33</v>
      </c>
      <c r="C671" s="579">
        <f t="shared" ref="C671:F671" si="544">SUM(C672:C673)</f>
        <v>2100</v>
      </c>
      <c r="D671" s="579">
        <f t="shared" si="544"/>
        <v>2100</v>
      </c>
      <c r="E671" s="579">
        <f t="shared" si="544"/>
        <v>0</v>
      </c>
      <c r="F671" s="579">
        <f t="shared" si="544"/>
        <v>0</v>
      </c>
      <c r="G671" s="579">
        <f t="shared" ref="G671:H671" si="545">SUM(G672:G673)</f>
        <v>0</v>
      </c>
      <c r="H671" s="579">
        <f t="shared" si="545"/>
        <v>0</v>
      </c>
      <c r="I671" s="579">
        <f t="shared" ref="I671:J671" si="546">SUM(I672:I673)</f>
        <v>0</v>
      </c>
      <c r="J671" s="579">
        <f t="shared" si="546"/>
        <v>0</v>
      </c>
      <c r="K671" s="579">
        <f t="shared" ref="K671" si="547">SUM(K672:K673)</f>
        <v>0</v>
      </c>
    </row>
    <row r="672" spans="1:11" customFormat="1" ht="15" x14ac:dyDescent="0.25">
      <c r="A672" s="520" t="s">
        <v>172</v>
      </c>
      <c r="B672" s="521" t="s">
        <v>36</v>
      </c>
      <c r="C672" s="513">
        <v>2100</v>
      </c>
      <c r="D672" s="513">
        <v>2100</v>
      </c>
      <c r="E672" s="513"/>
      <c r="F672" s="513">
        <f t="shared" si="538"/>
        <v>0</v>
      </c>
      <c r="G672" s="513"/>
      <c r="H672" s="513"/>
      <c r="I672" s="513"/>
      <c r="J672" s="513"/>
      <c r="K672" s="513"/>
    </row>
    <row r="673" spans="1:11" customFormat="1" ht="15" hidden="1" x14ac:dyDescent="0.25">
      <c r="A673" s="531" t="s">
        <v>173</v>
      </c>
      <c r="B673" s="584" t="s">
        <v>33</v>
      </c>
      <c r="C673" s="545"/>
      <c r="D673" s="545"/>
      <c r="E673" s="545"/>
      <c r="F673" s="545"/>
      <c r="G673" s="545"/>
      <c r="H673" s="545"/>
      <c r="I673" s="545"/>
      <c r="J673" s="545"/>
      <c r="K673" s="545"/>
    </row>
    <row r="674" spans="1:11" s="6" customFormat="1" ht="15" hidden="1" x14ac:dyDescent="0.25">
      <c r="A674" s="529" t="s">
        <v>176</v>
      </c>
      <c r="B674" s="529" t="s">
        <v>67</v>
      </c>
      <c r="C674" s="579">
        <f t="shared" ref="C674:D674" si="548">SUM(C675)</f>
        <v>0</v>
      </c>
      <c r="D674" s="579">
        <f t="shared" si="548"/>
        <v>0</v>
      </c>
      <c r="E674" s="579"/>
      <c r="F674" s="579"/>
      <c r="G674" s="579"/>
      <c r="H674" s="579"/>
      <c r="I674" s="579"/>
      <c r="J674" s="579"/>
      <c r="K674" s="579"/>
    </row>
    <row r="675" spans="1:11" customFormat="1" ht="15" hidden="1" x14ac:dyDescent="0.25">
      <c r="A675" s="511" t="s">
        <v>190</v>
      </c>
      <c r="B675" s="535" t="s">
        <v>68</v>
      </c>
      <c r="C675" s="543"/>
      <c r="D675" s="543"/>
      <c r="E675" s="543"/>
      <c r="F675" s="543"/>
      <c r="G675" s="543"/>
      <c r="H675" s="543"/>
      <c r="I675" s="543"/>
      <c r="J675" s="543"/>
      <c r="K675" s="543"/>
    </row>
    <row r="676" spans="1:11" customFormat="1" ht="25.5" x14ac:dyDescent="0.25">
      <c r="A676" s="505" t="s">
        <v>330</v>
      </c>
      <c r="B676" s="517" t="s">
        <v>331</v>
      </c>
      <c r="C676" s="507">
        <f>SUM(C677,C681)</f>
        <v>28664700</v>
      </c>
      <c r="D676" s="507">
        <f t="shared" ref="D676" si="549">SUM(D677,D681)</f>
        <v>1787500</v>
      </c>
      <c r="E676" s="507">
        <f t="shared" ref="E676:K676" si="550">SUM(E677,E681)</f>
        <v>124800</v>
      </c>
      <c r="F676" s="507">
        <f t="shared" si="550"/>
        <v>27002000</v>
      </c>
      <c r="G676" s="507">
        <f t="shared" si="550"/>
        <v>0</v>
      </c>
      <c r="H676" s="507">
        <f t="shared" si="550"/>
        <v>0</v>
      </c>
      <c r="I676" s="507">
        <f t="shared" si="550"/>
        <v>0</v>
      </c>
      <c r="J676" s="507">
        <f t="shared" si="550"/>
        <v>0</v>
      </c>
      <c r="K676" s="507">
        <f t="shared" si="550"/>
        <v>0</v>
      </c>
    </row>
    <row r="677" spans="1:11" s="6" customFormat="1" ht="14.25" customHeight="1" x14ac:dyDescent="0.25">
      <c r="A677" s="529" t="s">
        <v>177</v>
      </c>
      <c r="B677" s="529" t="s">
        <v>129</v>
      </c>
      <c r="C677" s="579">
        <f t="shared" ref="C677:F677" si="551">SUM(C678:C680)</f>
        <v>725800</v>
      </c>
      <c r="D677" s="579">
        <f t="shared" si="551"/>
        <v>515600</v>
      </c>
      <c r="E677" s="579">
        <f t="shared" si="551"/>
        <v>124800</v>
      </c>
      <c r="F677" s="579">
        <f t="shared" si="551"/>
        <v>335000</v>
      </c>
      <c r="G677" s="579">
        <f t="shared" ref="G677:H677" si="552">SUM(G678:G680)</f>
        <v>0</v>
      </c>
      <c r="H677" s="579">
        <f t="shared" si="552"/>
        <v>0</v>
      </c>
      <c r="I677" s="579">
        <f t="shared" ref="I677:J677" si="553">SUM(I678:I680)</f>
        <v>0</v>
      </c>
      <c r="J677" s="579">
        <f t="shared" si="553"/>
        <v>0</v>
      </c>
      <c r="K677" s="579">
        <f t="shared" ref="K677" si="554">SUM(K678:K680)</f>
        <v>0</v>
      </c>
    </row>
    <row r="678" spans="1:11" customFormat="1" ht="13.5" customHeight="1" x14ac:dyDescent="0.25">
      <c r="A678" s="511">
        <v>4223</v>
      </c>
      <c r="B678" s="535" t="s">
        <v>59</v>
      </c>
      <c r="C678" s="543">
        <v>35200</v>
      </c>
      <c r="D678" s="543"/>
      <c r="E678" s="543">
        <v>124800</v>
      </c>
      <c r="F678" s="513">
        <f t="shared" ref="F678:F684" si="555">C678-D678+E678</f>
        <v>160000</v>
      </c>
      <c r="G678" s="543"/>
      <c r="H678" s="543"/>
      <c r="I678" s="543"/>
      <c r="J678" s="543"/>
      <c r="K678" s="543"/>
    </row>
    <row r="679" spans="1:11" customFormat="1" ht="12.75" hidden="1" customHeight="1" x14ac:dyDescent="0.25">
      <c r="A679" s="511">
        <v>4225</v>
      </c>
      <c r="B679" s="535" t="s">
        <v>105</v>
      </c>
      <c r="C679" s="543"/>
      <c r="D679" s="543"/>
      <c r="E679" s="543"/>
      <c r="F679" s="513">
        <f t="shared" si="555"/>
        <v>0</v>
      </c>
      <c r="G679" s="543"/>
      <c r="H679" s="543"/>
      <c r="I679" s="543"/>
      <c r="J679" s="543"/>
      <c r="K679" s="543"/>
    </row>
    <row r="680" spans="1:11" customFormat="1" ht="15" x14ac:dyDescent="0.25">
      <c r="A680" s="511" t="s">
        <v>180</v>
      </c>
      <c r="B680" s="535" t="s">
        <v>60</v>
      </c>
      <c r="C680" s="543">
        <v>690600</v>
      </c>
      <c r="D680" s="543">
        <v>515600</v>
      </c>
      <c r="E680" s="543"/>
      <c r="F680" s="513">
        <f t="shared" si="555"/>
        <v>175000</v>
      </c>
      <c r="G680" s="543"/>
      <c r="H680" s="543"/>
      <c r="I680" s="543"/>
      <c r="J680" s="543"/>
      <c r="K680" s="543"/>
    </row>
    <row r="681" spans="1:11" s="6" customFormat="1" ht="15" x14ac:dyDescent="0.25">
      <c r="A681" s="529" t="s">
        <v>181</v>
      </c>
      <c r="B681" s="529" t="s">
        <v>61</v>
      </c>
      <c r="C681" s="579">
        <f t="shared" ref="C681:E681" si="556">SUM(C682:C684)</f>
        <v>27938900</v>
      </c>
      <c r="D681" s="579">
        <f t="shared" si="556"/>
        <v>1271900</v>
      </c>
      <c r="E681" s="579">
        <f t="shared" si="556"/>
        <v>0</v>
      </c>
      <c r="F681" s="579">
        <f>SUM(F682:F684)</f>
        <v>26667000</v>
      </c>
      <c r="G681" s="579">
        <f t="shared" ref="G681:H681" si="557">SUM(G682:G684)</f>
        <v>0</v>
      </c>
      <c r="H681" s="579">
        <f t="shared" si="557"/>
        <v>0</v>
      </c>
      <c r="I681" s="579">
        <f t="shared" ref="I681:J681" si="558">SUM(I682:I684)</f>
        <v>0</v>
      </c>
      <c r="J681" s="579">
        <f t="shared" si="558"/>
        <v>0</v>
      </c>
      <c r="K681" s="579">
        <f t="shared" ref="K681" si="559">SUM(K682:K684)</f>
        <v>0</v>
      </c>
    </row>
    <row r="682" spans="1:11" customFormat="1" ht="15" x14ac:dyDescent="0.25">
      <c r="A682" s="511">
        <v>4231</v>
      </c>
      <c r="B682" s="535" t="s">
        <v>62</v>
      </c>
      <c r="C682" s="543">
        <v>4711900</v>
      </c>
      <c r="D682" s="543">
        <v>1178900</v>
      </c>
      <c r="E682" s="543"/>
      <c r="F682" s="513">
        <f t="shared" si="555"/>
        <v>3533000</v>
      </c>
      <c r="G682" s="543"/>
      <c r="H682" s="543"/>
      <c r="I682" s="543"/>
      <c r="J682" s="543"/>
      <c r="K682" s="543"/>
    </row>
    <row r="683" spans="1:11" customFormat="1" ht="15" x14ac:dyDescent="0.25">
      <c r="A683" s="511">
        <v>4233</v>
      </c>
      <c r="B683" s="535" t="s">
        <v>227</v>
      </c>
      <c r="C683" s="543">
        <v>664000</v>
      </c>
      <c r="D683" s="543">
        <v>93000</v>
      </c>
      <c r="E683" s="543"/>
      <c r="F683" s="513">
        <f t="shared" si="555"/>
        <v>571000</v>
      </c>
      <c r="G683" s="543"/>
      <c r="H683" s="543"/>
      <c r="I683" s="543"/>
      <c r="J683" s="543"/>
      <c r="K683" s="543"/>
    </row>
    <row r="684" spans="1:11" customFormat="1" ht="15" x14ac:dyDescent="0.25">
      <c r="A684" s="511">
        <v>4234</v>
      </c>
      <c r="B684" s="535" t="s">
        <v>281</v>
      </c>
      <c r="C684" s="543">
        <v>22563000</v>
      </c>
      <c r="D684" s="543"/>
      <c r="E684" s="543"/>
      <c r="F684" s="513">
        <f t="shared" si="555"/>
        <v>22563000</v>
      </c>
      <c r="G684" s="543"/>
      <c r="H684" s="543"/>
      <c r="I684" s="543"/>
      <c r="J684" s="543"/>
      <c r="K684" s="543"/>
    </row>
    <row r="685" spans="1:11" customFormat="1" ht="25.5" x14ac:dyDescent="0.25">
      <c r="A685" s="573" t="s">
        <v>286</v>
      </c>
      <c r="B685" s="587" t="s">
        <v>287</v>
      </c>
      <c r="C685" s="588">
        <f t="shared" ref="C685:K687" si="560">SUM(C686)</f>
        <v>138000</v>
      </c>
      <c r="D685" s="588">
        <f t="shared" si="560"/>
        <v>39000</v>
      </c>
      <c r="E685" s="588">
        <f t="shared" si="560"/>
        <v>0</v>
      </c>
      <c r="F685" s="588">
        <f t="shared" si="560"/>
        <v>99000</v>
      </c>
      <c r="G685" s="588">
        <f t="shared" si="560"/>
        <v>0</v>
      </c>
      <c r="H685" s="588">
        <f t="shared" si="560"/>
        <v>0</v>
      </c>
      <c r="I685" s="588">
        <f t="shared" si="560"/>
        <v>0</v>
      </c>
      <c r="J685" s="588">
        <f t="shared" si="560"/>
        <v>0</v>
      </c>
      <c r="K685" s="588">
        <f t="shared" si="560"/>
        <v>0</v>
      </c>
    </row>
    <row r="686" spans="1:11" customFormat="1" ht="15" x14ac:dyDescent="0.25">
      <c r="A686" s="710" t="s">
        <v>241</v>
      </c>
      <c r="B686" s="710"/>
      <c r="C686" s="504">
        <f>SUM(C687)</f>
        <v>138000</v>
      </c>
      <c r="D686" s="504">
        <f t="shared" si="560"/>
        <v>39000</v>
      </c>
      <c r="E686" s="504">
        <f t="shared" si="560"/>
        <v>0</v>
      </c>
      <c r="F686" s="504">
        <f t="shared" si="560"/>
        <v>99000</v>
      </c>
      <c r="G686" s="504">
        <f t="shared" si="560"/>
        <v>0</v>
      </c>
      <c r="H686" s="504">
        <f t="shared" si="560"/>
        <v>0</v>
      </c>
      <c r="I686" s="504">
        <f t="shared" si="560"/>
        <v>0</v>
      </c>
      <c r="J686" s="504">
        <f t="shared" si="560"/>
        <v>0</v>
      </c>
      <c r="K686" s="504">
        <f t="shared" si="560"/>
        <v>0</v>
      </c>
    </row>
    <row r="687" spans="1:11" customFormat="1" ht="15" x14ac:dyDescent="0.25">
      <c r="A687" s="516" t="s">
        <v>324</v>
      </c>
      <c r="B687" s="516" t="s">
        <v>325</v>
      </c>
      <c r="C687" s="549">
        <f>SUM(C688)</f>
        <v>138000</v>
      </c>
      <c r="D687" s="549">
        <f t="shared" si="560"/>
        <v>39000</v>
      </c>
      <c r="E687" s="549">
        <f t="shared" si="560"/>
        <v>0</v>
      </c>
      <c r="F687" s="549">
        <f t="shared" si="560"/>
        <v>99000</v>
      </c>
      <c r="G687" s="549">
        <f t="shared" si="560"/>
        <v>0</v>
      </c>
      <c r="H687" s="549">
        <f t="shared" si="560"/>
        <v>0</v>
      </c>
      <c r="I687" s="549">
        <f t="shared" si="560"/>
        <v>0</v>
      </c>
      <c r="J687" s="549">
        <f t="shared" si="560"/>
        <v>0</v>
      </c>
      <c r="K687" s="549">
        <f t="shared" si="560"/>
        <v>0</v>
      </c>
    </row>
    <row r="688" spans="1:11" customFormat="1" ht="15" x14ac:dyDescent="0.25">
      <c r="A688" s="577" t="s">
        <v>159</v>
      </c>
      <c r="B688" s="578" t="s">
        <v>123</v>
      </c>
      <c r="C688" s="579">
        <f t="shared" ref="C688:F688" si="561">SUM(C689:C692)</f>
        <v>138000</v>
      </c>
      <c r="D688" s="579">
        <f t="shared" si="561"/>
        <v>39000</v>
      </c>
      <c r="E688" s="579">
        <f t="shared" si="561"/>
        <v>0</v>
      </c>
      <c r="F688" s="579">
        <f t="shared" si="561"/>
        <v>99000</v>
      </c>
      <c r="G688" s="579">
        <f t="shared" ref="G688:H688" si="562">SUM(G689:G692)</f>
        <v>0</v>
      </c>
      <c r="H688" s="579">
        <f t="shared" si="562"/>
        <v>0</v>
      </c>
      <c r="I688" s="579">
        <f t="shared" ref="I688:J688" si="563">SUM(I689:I692)</f>
        <v>0</v>
      </c>
      <c r="J688" s="579">
        <f t="shared" si="563"/>
        <v>0</v>
      </c>
      <c r="K688" s="579">
        <f t="shared" ref="K688" si="564">SUM(K689:K692)</f>
        <v>0</v>
      </c>
    </row>
    <row r="689" spans="1:11" customFormat="1" ht="14.25" customHeight="1" x14ac:dyDescent="0.25">
      <c r="A689" s="580" t="s">
        <v>162</v>
      </c>
      <c r="B689" s="546" t="s">
        <v>26</v>
      </c>
      <c r="C689" s="543">
        <v>106000</v>
      </c>
      <c r="D689" s="543">
        <v>7000</v>
      </c>
      <c r="E689" s="543"/>
      <c r="F689" s="513">
        <f t="shared" ref="F689:F692" si="565">C689-D689+E689</f>
        <v>99000</v>
      </c>
      <c r="G689" s="543"/>
      <c r="H689" s="543"/>
      <c r="I689" s="543"/>
      <c r="J689" s="543"/>
      <c r="K689" s="543"/>
    </row>
    <row r="690" spans="1:11" customFormat="1" ht="15" x14ac:dyDescent="0.25">
      <c r="A690" s="580" t="s">
        <v>166</v>
      </c>
      <c r="B690" s="546" t="s">
        <v>30</v>
      </c>
      <c r="C690" s="543">
        <v>27000</v>
      </c>
      <c r="D690" s="543">
        <v>27000</v>
      </c>
      <c r="E690" s="543"/>
      <c r="F690" s="513">
        <f t="shared" si="565"/>
        <v>0</v>
      </c>
      <c r="G690" s="543"/>
      <c r="H690" s="543"/>
      <c r="I690" s="543"/>
      <c r="J690" s="543"/>
      <c r="K690" s="543"/>
    </row>
    <row r="691" spans="1:11" customFormat="1" ht="15" hidden="1" x14ac:dyDescent="0.25">
      <c r="A691" s="580">
        <v>3238</v>
      </c>
      <c r="B691" s="546" t="s">
        <v>70</v>
      </c>
      <c r="C691" s="543"/>
      <c r="D691" s="543"/>
      <c r="E691" s="543"/>
      <c r="F691" s="513">
        <f t="shared" si="565"/>
        <v>0</v>
      </c>
      <c r="G691" s="543"/>
      <c r="H691" s="543"/>
      <c r="I691" s="543"/>
      <c r="J691" s="543"/>
      <c r="K691" s="543"/>
    </row>
    <row r="692" spans="1:11" customFormat="1" ht="15" x14ac:dyDescent="0.25">
      <c r="A692" s="580">
        <v>3239</v>
      </c>
      <c r="B692" s="546" t="s">
        <v>31</v>
      </c>
      <c r="C692" s="543">
        <v>5000</v>
      </c>
      <c r="D692" s="543">
        <v>5000</v>
      </c>
      <c r="E692" s="543"/>
      <c r="F692" s="513">
        <f t="shared" si="565"/>
        <v>0</v>
      </c>
      <c r="G692" s="543"/>
      <c r="H692" s="543"/>
      <c r="I692" s="543"/>
      <c r="J692" s="543"/>
      <c r="K692" s="543"/>
    </row>
    <row r="693" spans="1:11" customFormat="1" ht="15" hidden="1" x14ac:dyDescent="0.25">
      <c r="A693" s="577" t="s">
        <v>177</v>
      </c>
      <c r="B693" s="578" t="s">
        <v>129</v>
      </c>
      <c r="C693" s="579">
        <f t="shared" ref="C693:D693" si="566">SUM(C694:C696)</f>
        <v>0</v>
      </c>
      <c r="D693" s="579">
        <f t="shared" si="566"/>
        <v>0</v>
      </c>
      <c r="E693" s="579"/>
      <c r="F693" s="579"/>
      <c r="G693" s="579"/>
      <c r="H693" s="579"/>
      <c r="I693" s="579"/>
      <c r="J693" s="579"/>
      <c r="K693" s="579"/>
    </row>
    <row r="694" spans="1:11" customFormat="1" ht="15" hidden="1" x14ac:dyDescent="0.25">
      <c r="A694" s="580">
        <v>4222</v>
      </c>
      <c r="B694" s="546" t="s">
        <v>58</v>
      </c>
      <c r="C694" s="543"/>
      <c r="D694" s="543"/>
      <c r="E694" s="543"/>
      <c r="F694" s="543"/>
      <c r="G694" s="543"/>
      <c r="H694" s="543"/>
      <c r="I694" s="543"/>
      <c r="J694" s="543"/>
      <c r="K694" s="543"/>
    </row>
    <row r="695" spans="1:11" customFormat="1" ht="25.5" hidden="1" x14ac:dyDescent="0.25">
      <c r="A695" s="580">
        <v>4227</v>
      </c>
      <c r="B695" s="546" t="s">
        <v>60</v>
      </c>
      <c r="C695" s="543"/>
      <c r="D695" s="543"/>
      <c r="E695" s="543"/>
      <c r="F695" s="543"/>
      <c r="G695" s="543"/>
      <c r="H695" s="543"/>
      <c r="I695" s="543"/>
      <c r="J695" s="543"/>
      <c r="K695" s="543"/>
    </row>
    <row r="696" spans="1:11" customFormat="1" ht="15" hidden="1" x14ac:dyDescent="0.25">
      <c r="A696" s="580">
        <v>4262</v>
      </c>
      <c r="B696" s="521" t="s">
        <v>74</v>
      </c>
      <c r="C696" s="543"/>
      <c r="D696" s="543"/>
      <c r="E696" s="543"/>
      <c r="F696" s="543"/>
      <c r="G696" s="543"/>
      <c r="H696" s="543"/>
      <c r="I696" s="543"/>
      <c r="J696" s="543"/>
      <c r="K696" s="543"/>
    </row>
    <row r="697" spans="1:11" customFormat="1" ht="38.25" x14ac:dyDescent="0.25">
      <c r="A697" s="573" t="s">
        <v>349</v>
      </c>
      <c r="B697" s="562" t="s">
        <v>350</v>
      </c>
      <c r="C697" s="589">
        <f t="shared" ref="C697:K700" si="567">SUM(C698)</f>
        <v>30000</v>
      </c>
      <c r="D697" s="589">
        <f t="shared" si="567"/>
        <v>30000</v>
      </c>
      <c r="E697" s="589">
        <f t="shared" si="567"/>
        <v>0</v>
      </c>
      <c r="F697" s="589">
        <f t="shared" si="567"/>
        <v>0</v>
      </c>
      <c r="G697" s="589">
        <f t="shared" si="567"/>
        <v>27000</v>
      </c>
      <c r="H697" s="589">
        <f t="shared" si="567"/>
        <v>0</v>
      </c>
      <c r="I697" s="589">
        <f t="shared" si="567"/>
        <v>0</v>
      </c>
      <c r="J697" s="589">
        <f t="shared" si="567"/>
        <v>0</v>
      </c>
      <c r="K697" s="589">
        <f t="shared" si="567"/>
        <v>0</v>
      </c>
    </row>
    <row r="698" spans="1:11" customFormat="1" ht="15" x14ac:dyDescent="0.25">
      <c r="A698" s="710" t="s">
        <v>241</v>
      </c>
      <c r="B698" s="710"/>
      <c r="C698" s="590">
        <f t="shared" si="567"/>
        <v>30000</v>
      </c>
      <c r="D698" s="590">
        <f t="shared" si="567"/>
        <v>30000</v>
      </c>
      <c r="E698" s="590">
        <f t="shared" si="567"/>
        <v>0</v>
      </c>
      <c r="F698" s="590">
        <f t="shared" si="567"/>
        <v>0</v>
      </c>
      <c r="G698" s="590">
        <f t="shared" si="567"/>
        <v>27000</v>
      </c>
      <c r="H698" s="590">
        <f t="shared" si="567"/>
        <v>0</v>
      </c>
      <c r="I698" s="590">
        <f t="shared" si="567"/>
        <v>0</v>
      </c>
      <c r="J698" s="590">
        <f t="shared" si="567"/>
        <v>0</v>
      </c>
      <c r="K698" s="590">
        <f t="shared" si="567"/>
        <v>0</v>
      </c>
    </row>
    <row r="699" spans="1:11" customFormat="1" ht="15" x14ac:dyDescent="0.25">
      <c r="A699" s="516" t="s">
        <v>324</v>
      </c>
      <c r="B699" s="516" t="s">
        <v>325</v>
      </c>
      <c r="C699" s="549">
        <f>SUM(C700)</f>
        <v>30000</v>
      </c>
      <c r="D699" s="549">
        <f t="shared" si="567"/>
        <v>30000</v>
      </c>
      <c r="E699" s="549">
        <f t="shared" si="567"/>
        <v>0</v>
      </c>
      <c r="F699" s="549">
        <f t="shared" si="567"/>
        <v>0</v>
      </c>
      <c r="G699" s="549">
        <f t="shared" si="567"/>
        <v>27000</v>
      </c>
      <c r="H699" s="549">
        <f t="shared" si="567"/>
        <v>0</v>
      </c>
      <c r="I699" s="549">
        <f t="shared" si="567"/>
        <v>0</v>
      </c>
      <c r="J699" s="549">
        <f t="shared" si="567"/>
        <v>0</v>
      </c>
      <c r="K699" s="549">
        <f t="shared" si="567"/>
        <v>0</v>
      </c>
    </row>
    <row r="700" spans="1:11" customFormat="1" ht="15" x14ac:dyDescent="0.25">
      <c r="A700" s="529" t="s">
        <v>149</v>
      </c>
      <c r="B700" s="529" t="s">
        <v>12</v>
      </c>
      <c r="C700" s="591">
        <f t="shared" si="567"/>
        <v>30000</v>
      </c>
      <c r="D700" s="591">
        <f t="shared" si="567"/>
        <v>30000</v>
      </c>
      <c r="E700" s="591">
        <f t="shared" si="567"/>
        <v>0</v>
      </c>
      <c r="F700" s="591">
        <f t="shared" si="567"/>
        <v>0</v>
      </c>
      <c r="G700" s="591">
        <f t="shared" si="567"/>
        <v>27000</v>
      </c>
      <c r="H700" s="591">
        <f t="shared" si="567"/>
        <v>0</v>
      </c>
      <c r="I700" s="591">
        <f t="shared" si="567"/>
        <v>0</v>
      </c>
      <c r="J700" s="591">
        <f t="shared" si="567"/>
        <v>0</v>
      </c>
      <c r="K700" s="591">
        <f t="shared" si="567"/>
        <v>0</v>
      </c>
    </row>
    <row r="701" spans="1:11" customFormat="1" ht="15" x14ac:dyDescent="0.25">
      <c r="A701" s="511">
        <v>3213</v>
      </c>
      <c r="B701" s="535" t="s">
        <v>15</v>
      </c>
      <c r="C701" s="592">
        <v>30000</v>
      </c>
      <c r="D701" s="592">
        <v>30000</v>
      </c>
      <c r="E701" s="592"/>
      <c r="F701" s="513">
        <f t="shared" ref="F701" si="568">C701-D701+E701</f>
        <v>0</v>
      </c>
      <c r="G701" s="592">
        <v>27000</v>
      </c>
      <c r="H701" s="592"/>
      <c r="I701" s="592">
        <v>0</v>
      </c>
      <c r="J701" s="592">
        <v>0</v>
      </c>
      <c r="K701" s="592">
        <v>0</v>
      </c>
    </row>
    <row r="702" spans="1:11" customFormat="1" ht="38.25" x14ac:dyDescent="0.25">
      <c r="A702" s="573" t="s">
        <v>351</v>
      </c>
      <c r="B702" s="562" t="s">
        <v>352</v>
      </c>
      <c r="C702" s="589">
        <f t="shared" ref="C702:K705" si="569">SUM(C703)</f>
        <v>30000</v>
      </c>
      <c r="D702" s="589">
        <f t="shared" si="569"/>
        <v>30000</v>
      </c>
      <c r="E702" s="589">
        <f t="shared" si="569"/>
        <v>0</v>
      </c>
      <c r="F702" s="589">
        <f t="shared" si="569"/>
        <v>0</v>
      </c>
      <c r="G702" s="589">
        <f t="shared" si="569"/>
        <v>27000</v>
      </c>
      <c r="H702" s="589">
        <f t="shared" si="569"/>
        <v>0</v>
      </c>
      <c r="I702" s="589">
        <f t="shared" si="569"/>
        <v>0</v>
      </c>
      <c r="J702" s="589">
        <f t="shared" si="569"/>
        <v>0</v>
      </c>
      <c r="K702" s="589">
        <f t="shared" si="569"/>
        <v>0</v>
      </c>
    </row>
    <row r="703" spans="1:11" customFormat="1" ht="15" x14ac:dyDescent="0.25">
      <c r="A703" s="710" t="s">
        <v>241</v>
      </c>
      <c r="B703" s="710"/>
      <c r="C703" s="590">
        <f t="shared" si="569"/>
        <v>30000</v>
      </c>
      <c r="D703" s="590">
        <f t="shared" si="569"/>
        <v>30000</v>
      </c>
      <c r="E703" s="590">
        <f t="shared" si="569"/>
        <v>0</v>
      </c>
      <c r="F703" s="590">
        <f t="shared" si="569"/>
        <v>0</v>
      </c>
      <c r="G703" s="590">
        <f t="shared" si="569"/>
        <v>27000</v>
      </c>
      <c r="H703" s="590">
        <f t="shared" si="569"/>
        <v>0</v>
      </c>
      <c r="I703" s="590">
        <f t="shared" si="569"/>
        <v>0</v>
      </c>
      <c r="J703" s="590">
        <f t="shared" si="569"/>
        <v>0</v>
      </c>
      <c r="K703" s="590">
        <f t="shared" si="569"/>
        <v>0</v>
      </c>
    </row>
    <row r="704" spans="1:11" customFormat="1" ht="15" x14ac:dyDescent="0.25">
      <c r="A704" s="516" t="s">
        <v>324</v>
      </c>
      <c r="B704" s="516" t="s">
        <v>325</v>
      </c>
      <c r="C704" s="549">
        <f>SUM(C705)</f>
        <v>30000</v>
      </c>
      <c r="D704" s="549">
        <f t="shared" si="569"/>
        <v>30000</v>
      </c>
      <c r="E704" s="549">
        <f t="shared" si="569"/>
        <v>0</v>
      </c>
      <c r="F704" s="549">
        <f t="shared" si="569"/>
        <v>0</v>
      </c>
      <c r="G704" s="549">
        <f t="shared" si="569"/>
        <v>27000</v>
      </c>
      <c r="H704" s="549">
        <f t="shared" si="569"/>
        <v>0</v>
      </c>
      <c r="I704" s="549">
        <f t="shared" si="569"/>
        <v>0</v>
      </c>
      <c r="J704" s="549">
        <f t="shared" si="569"/>
        <v>0</v>
      </c>
      <c r="K704" s="549">
        <f t="shared" si="569"/>
        <v>0</v>
      </c>
    </row>
    <row r="705" spans="1:11" customFormat="1" ht="15" x14ac:dyDescent="0.25">
      <c r="A705" s="529" t="s">
        <v>149</v>
      </c>
      <c r="B705" s="529" t="s">
        <v>12</v>
      </c>
      <c r="C705" s="591">
        <f t="shared" si="569"/>
        <v>30000</v>
      </c>
      <c r="D705" s="591">
        <f t="shared" si="569"/>
        <v>30000</v>
      </c>
      <c r="E705" s="591">
        <f t="shared" si="569"/>
        <v>0</v>
      </c>
      <c r="F705" s="591">
        <f t="shared" si="569"/>
        <v>0</v>
      </c>
      <c r="G705" s="591">
        <f t="shared" si="569"/>
        <v>27000</v>
      </c>
      <c r="H705" s="591">
        <f t="shared" si="569"/>
        <v>0</v>
      </c>
      <c r="I705" s="591">
        <f t="shared" si="569"/>
        <v>0</v>
      </c>
      <c r="J705" s="591">
        <f t="shared" si="569"/>
        <v>0</v>
      </c>
      <c r="K705" s="591">
        <f t="shared" si="569"/>
        <v>0</v>
      </c>
    </row>
    <row r="706" spans="1:11" customFormat="1" ht="15" x14ac:dyDescent="0.25">
      <c r="A706" s="511">
        <v>3213</v>
      </c>
      <c r="B706" s="535" t="s">
        <v>15</v>
      </c>
      <c r="C706" s="592">
        <v>30000</v>
      </c>
      <c r="D706" s="592">
        <v>30000</v>
      </c>
      <c r="E706" s="592"/>
      <c r="F706" s="513">
        <f t="shared" ref="F706" si="570">C706-D706+E706</f>
        <v>0</v>
      </c>
      <c r="G706" s="592">
        <v>27000</v>
      </c>
      <c r="H706" s="592"/>
      <c r="I706" s="592">
        <v>0</v>
      </c>
      <c r="J706" s="592">
        <v>0</v>
      </c>
      <c r="K706" s="592">
        <v>0</v>
      </c>
    </row>
    <row r="707" spans="1:11" customFormat="1" ht="60.75" customHeight="1" x14ac:dyDescent="0.25">
      <c r="A707" s="501" t="s">
        <v>83</v>
      </c>
      <c r="B707" s="502" t="s">
        <v>368</v>
      </c>
      <c r="C707" s="503">
        <f>SUM(C708)</f>
        <v>2737000</v>
      </c>
      <c r="D707" s="503">
        <f t="shared" ref="D707:K707" si="571">SUM(D708)</f>
        <v>1278000</v>
      </c>
      <c r="E707" s="503">
        <f t="shared" si="571"/>
        <v>2000</v>
      </c>
      <c r="F707" s="503">
        <f t="shared" si="571"/>
        <v>1461000</v>
      </c>
      <c r="G707" s="503">
        <f t="shared" si="571"/>
        <v>364000</v>
      </c>
      <c r="H707" s="503">
        <f t="shared" si="571"/>
        <v>0</v>
      </c>
      <c r="I707" s="503">
        <f t="shared" si="571"/>
        <v>800000</v>
      </c>
      <c r="J707" s="503">
        <f t="shared" si="571"/>
        <v>0</v>
      </c>
      <c r="K707" s="503">
        <f t="shared" si="571"/>
        <v>0</v>
      </c>
    </row>
    <row r="708" spans="1:11" customFormat="1" ht="18" customHeight="1" x14ac:dyDescent="0.25">
      <c r="A708" s="710" t="s">
        <v>118</v>
      </c>
      <c r="B708" s="710"/>
      <c r="C708" s="504">
        <f t="shared" ref="C708:K708" si="572">SUM(C709,C718,C746,C756)</f>
        <v>2737000</v>
      </c>
      <c r="D708" s="504">
        <f t="shared" si="572"/>
        <v>1278000</v>
      </c>
      <c r="E708" s="504">
        <f t="shared" si="572"/>
        <v>2000</v>
      </c>
      <c r="F708" s="504">
        <f t="shared" si="572"/>
        <v>1461000</v>
      </c>
      <c r="G708" s="504">
        <f t="shared" si="572"/>
        <v>364000</v>
      </c>
      <c r="H708" s="504">
        <f t="shared" si="572"/>
        <v>0</v>
      </c>
      <c r="I708" s="504">
        <f t="shared" si="572"/>
        <v>800000</v>
      </c>
      <c r="J708" s="504">
        <f t="shared" si="572"/>
        <v>0</v>
      </c>
      <c r="K708" s="504">
        <f t="shared" si="572"/>
        <v>0</v>
      </c>
    </row>
    <row r="709" spans="1:11" customFormat="1" ht="18" customHeight="1" x14ac:dyDescent="0.25">
      <c r="A709" s="516" t="s">
        <v>322</v>
      </c>
      <c r="B709" s="517" t="s">
        <v>323</v>
      </c>
      <c r="C709" s="518">
        <f>SUM(C710,C712,C714)</f>
        <v>100000</v>
      </c>
      <c r="D709" s="518">
        <f t="shared" ref="D709:K709" si="573">SUM(D710,D712,D714)</f>
        <v>96000</v>
      </c>
      <c r="E709" s="518">
        <f t="shared" si="573"/>
        <v>0</v>
      </c>
      <c r="F709" s="518">
        <f t="shared" si="573"/>
        <v>4000</v>
      </c>
      <c r="G709" s="518">
        <f t="shared" si="573"/>
        <v>0</v>
      </c>
      <c r="H709" s="518">
        <f t="shared" si="573"/>
        <v>0</v>
      </c>
      <c r="I709" s="518">
        <f t="shared" si="573"/>
        <v>0</v>
      </c>
      <c r="J709" s="518">
        <f t="shared" si="573"/>
        <v>0</v>
      </c>
      <c r="K709" s="518">
        <f t="shared" si="573"/>
        <v>0</v>
      </c>
    </row>
    <row r="710" spans="1:11" customFormat="1" ht="15" x14ac:dyDescent="0.25">
      <c r="A710" s="508">
        <v>311</v>
      </c>
      <c r="B710" s="509" t="s">
        <v>4</v>
      </c>
      <c r="C710" s="510">
        <f>SUM(C711)</f>
        <v>90000</v>
      </c>
      <c r="D710" s="510">
        <f t="shared" ref="D710:F710" si="574">SUM(D711)</f>
        <v>87000</v>
      </c>
      <c r="E710" s="510">
        <f t="shared" si="574"/>
        <v>0</v>
      </c>
      <c r="F710" s="510">
        <f t="shared" si="574"/>
        <v>3000</v>
      </c>
      <c r="G710" s="510">
        <f t="shared" ref="G710:H710" si="575">SUM(G711,G716)</f>
        <v>0</v>
      </c>
      <c r="H710" s="510">
        <f t="shared" si="575"/>
        <v>0</v>
      </c>
      <c r="I710" s="510">
        <f t="shared" ref="I710:J710" si="576">SUM(I711,I716)</f>
        <v>0</v>
      </c>
      <c r="J710" s="510">
        <f t="shared" si="576"/>
        <v>0</v>
      </c>
      <c r="K710" s="510">
        <f t="shared" ref="K710" si="577">SUM(K711,K716)</f>
        <v>0</v>
      </c>
    </row>
    <row r="711" spans="1:11" customFormat="1" ht="15" x14ac:dyDescent="0.25">
      <c r="A711" s="511">
        <v>3111</v>
      </c>
      <c r="B711" s="512" t="s">
        <v>5</v>
      </c>
      <c r="C711" s="513">
        <v>90000</v>
      </c>
      <c r="D711" s="513">
        <v>87000</v>
      </c>
      <c r="E711" s="513"/>
      <c r="F711" s="513">
        <f t="shared" ref="F711:F716" si="578">C711-D711+E711</f>
        <v>3000</v>
      </c>
      <c r="G711" s="513"/>
      <c r="H711" s="513"/>
      <c r="I711" s="513"/>
      <c r="J711" s="513"/>
      <c r="K711" s="513"/>
    </row>
    <row r="712" spans="1:11" s="6" customFormat="1" ht="27.75" hidden="1" customHeight="1" x14ac:dyDescent="0.25">
      <c r="A712" s="508">
        <v>312</v>
      </c>
      <c r="B712" s="509" t="s">
        <v>7</v>
      </c>
      <c r="C712" s="510">
        <f t="shared" ref="C712:D712" si="579">SUM(C713)</f>
        <v>0</v>
      </c>
      <c r="D712" s="510">
        <f t="shared" si="579"/>
        <v>0</v>
      </c>
      <c r="E712" s="510"/>
      <c r="F712" s="513">
        <f t="shared" si="578"/>
        <v>0</v>
      </c>
      <c r="G712" s="510"/>
      <c r="H712" s="510"/>
      <c r="I712" s="510"/>
      <c r="J712" s="510"/>
      <c r="K712" s="510"/>
    </row>
    <row r="713" spans="1:11" customFormat="1" ht="15" hidden="1" x14ac:dyDescent="0.25">
      <c r="A713" s="511">
        <v>3121</v>
      </c>
      <c r="B713" s="512" t="s">
        <v>7</v>
      </c>
      <c r="C713" s="513"/>
      <c r="D713" s="513"/>
      <c r="E713" s="513"/>
      <c r="F713" s="513">
        <f t="shared" si="578"/>
        <v>0</v>
      </c>
      <c r="G713" s="513"/>
      <c r="H713" s="513"/>
      <c r="I713" s="513"/>
      <c r="J713" s="513"/>
      <c r="K713" s="513"/>
    </row>
    <row r="714" spans="1:11" customFormat="1" ht="15" x14ac:dyDescent="0.25">
      <c r="A714" s="508">
        <v>313</v>
      </c>
      <c r="B714" s="509" t="s">
        <v>8</v>
      </c>
      <c r="C714" s="510">
        <f t="shared" ref="C714:D714" si="580">SUM(C716:C717)</f>
        <v>10000</v>
      </c>
      <c r="D714" s="510">
        <f t="shared" si="580"/>
        <v>9000</v>
      </c>
      <c r="E714" s="510"/>
      <c r="F714" s="513">
        <f t="shared" si="578"/>
        <v>1000</v>
      </c>
      <c r="G714" s="510"/>
      <c r="H714" s="510"/>
      <c r="I714" s="510"/>
      <c r="J714" s="510"/>
      <c r="K714" s="510"/>
    </row>
    <row r="715" spans="1:11" customFormat="1" ht="15" hidden="1" x14ac:dyDescent="0.25">
      <c r="A715" s="511">
        <v>3131</v>
      </c>
      <c r="B715" s="512" t="s">
        <v>9</v>
      </c>
      <c r="C715" s="513"/>
      <c r="D715" s="513"/>
      <c r="E715" s="513"/>
      <c r="F715" s="513">
        <f t="shared" si="578"/>
        <v>0</v>
      </c>
      <c r="G715" s="513"/>
      <c r="H715" s="513"/>
      <c r="I715" s="513"/>
      <c r="J715" s="513"/>
      <c r="K715" s="513"/>
    </row>
    <row r="716" spans="1:11" customFormat="1" ht="15" customHeight="1" x14ac:dyDescent="0.25">
      <c r="A716" s="511">
        <v>3132</v>
      </c>
      <c r="B716" s="512" t="s">
        <v>10</v>
      </c>
      <c r="C716" s="513">
        <v>10000</v>
      </c>
      <c r="D716" s="513">
        <v>9000</v>
      </c>
      <c r="E716" s="513"/>
      <c r="F716" s="513">
        <f t="shared" si="578"/>
        <v>1000</v>
      </c>
      <c r="G716" s="513"/>
      <c r="H716" s="513"/>
      <c r="I716" s="513"/>
      <c r="J716" s="513"/>
      <c r="K716" s="513"/>
    </row>
    <row r="717" spans="1:11" customFormat="1" ht="17.25" hidden="1" customHeight="1" x14ac:dyDescent="0.25">
      <c r="A717" s="511">
        <v>3133</v>
      </c>
      <c r="B717" s="512" t="s">
        <v>11</v>
      </c>
      <c r="C717" s="513"/>
      <c r="D717" s="513"/>
      <c r="E717" s="513"/>
      <c r="F717" s="513"/>
      <c r="G717" s="513"/>
      <c r="H717" s="513"/>
      <c r="I717" s="513"/>
      <c r="J717" s="513"/>
      <c r="K717" s="513"/>
    </row>
    <row r="718" spans="1:11" customFormat="1" ht="15" x14ac:dyDescent="0.25">
      <c r="A718" s="516" t="s">
        <v>324</v>
      </c>
      <c r="B718" s="516" t="s">
        <v>325</v>
      </c>
      <c r="C718" s="549">
        <f>SUM(C719,C723,C731,C740,C742,C744)</f>
        <v>1211000</v>
      </c>
      <c r="D718" s="549">
        <f>SUM(D719,D723,D731,D740,D742,D744)</f>
        <v>232000</v>
      </c>
      <c r="E718" s="549">
        <f>SUM(E719,E723,E731,E740,E742,E744)</f>
        <v>2000</v>
      </c>
      <c r="F718" s="549">
        <f>SUM(F719,F723,F731,F740,F742,F744)</f>
        <v>981000</v>
      </c>
      <c r="G718" s="549">
        <f>SUM(G719,G731,G740)</f>
        <v>215000</v>
      </c>
      <c r="H718" s="549">
        <f>SUM(H719,H731,H740)</f>
        <v>0</v>
      </c>
      <c r="I718" s="549">
        <f>SUM(I719,I731,I740)</f>
        <v>0</v>
      </c>
      <c r="J718" s="549">
        <f>SUM(J719,J731,J740)</f>
        <v>0</v>
      </c>
      <c r="K718" s="549">
        <f>SUM(K719,K731,K740)</f>
        <v>0</v>
      </c>
    </row>
    <row r="719" spans="1:11" customFormat="1" ht="15" x14ac:dyDescent="0.25">
      <c r="A719" s="508">
        <v>321</v>
      </c>
      <c r="B719" s="509" t="s">
        <v>12</v>
      </c>
      <c r="C719" s="510">
        <f>SUM(C720:C722)</f>
        <v>80000</v>
      </c>
      <c r="D719" s="510">
        <f t="shared" ref="D719:F719" si="581">SUM(D720:D722)</f>
        <v>75000</v>
      </c>
      <c r="E719" s="510">
        <f t="shared" si="581"/>
        <v>1000</v>
      </c>
      <c r="F719" s="510">
        <f t="shared" si="581"/>
        <v>6000</v>
      </c>
      <c r="G719" s="510">
        <f>SUM(G720:G728)</f>
        <v>0</v>
      </c>
      <c r="H719" s="510">
        <f>SUM(H720:H728)</f>
        <v>0</v>
      </c>
      <c r="I719" s="510">
        <f>SUM(I720:I728)</f>
        <v>0</v>
      </c>
      <c r="J719" s="510">
        <f>SUM(J720:J728)</f>
        <v>0</v>
      </c>
      <c r="K719" s="510">
        <f>SUM(K720:K728)</f>
        <v>0</v>
      </c>
    </row>
    <row r="720" spans="1:11" customFormat="1" ht="15" x14ac:dyDescent="0.25">
      <c r="A720" s="511">
        <v>3211</v>
      </c>
      <c r="B720" s="512" t="s">
        <v>13</v>
      </c>
      <c r="C720" s="513">
        <v>60000</v>
      </c>
      <c r="D720" s="513">
        <v>60000</v>
      </c>
      <c r="E720" s="513"/>
      <c r="F720" s="513">
        <f t="shared" ref="F720:F728" si="582">C720-D720+E720</f>
        <v>0</v>
      </c>
      <c r="G720" s="513"/>
      <c r="H720" s="513"/>
      <c r="I720" s="513"/>
      <c r="J720" s="513"/>
      <c r="K720" s="513"/>
    </row>
    <row r="721" spans="1:11" customFormat="1" ht="15" x14ac:dyDescent="0.25">
      <c r="A721" s="511" t="s">
        <v>151</v>
      </c>
      <c r="B721" s="535" t="s">
        <v>14</v>
      </c>
      <c r="C721" s="513"/>
      <c r="D721" s="513"/>
      <c r="E721" s="513">
        <v>1000</v>
      </c>
      <c r="F721" s="513">
        <f t="shared" si="582"/>
        <v>1000</v>
      </c>
      <c r="G721" s="513"/>
      <c r="H721" s="513"/>
      <c r="I721" s="513"/>
      <c r="J721" s="513"/>
      <c r="K721" s="513"/>
    </row>
    <row r="722" spans="1:11" customFormat="1" ht="15" x14ac:dyDescent="0.25">
      <c r="A722" s="511">
        <v>3213</v>
      </c>
      <c r="B722" s="512" t="s">
        <v>15</v>
      </c>
      <c r="C722" s="513">
        <v>20000</v>
      </c>
      <c r="D722" s="513">
        <v>15000</v>
      </c>
      <c r="E722" s="513"/>
      <c r="F722" s="513">
        <f t="shared" si="582"/>
        <v>5000</v>
      </c>
      <c r="G722" s="513"/>
      <c r="H722" s="513"/>
      <c r="I722" s="513"/>
      <c r="J722" s="513"/>
      <c r="K722" s="513"/>
    </row>
    <row r="723" spans="1:11" customFormat="1" ht="15" x14ac:dyDescent="0.25">
      <c r="A723" s="508">
        <v>322</v>
      </c>
      <c r="B723" s="509" t="s">
        <v>16</v>
      </c>
      <c r="C723" s="510">
        <f>SUM(C724,C728)</f>
        <v>1000</v>
      </c>
      <c r="D723" s="510">
        <f t="shared" ref="D723:F723" si="583">SUM(D724,D728)</f>
        <v>0</v>
      </c>
      <c r="E723" s="510">
        <f t="shared" si="583"/>
        <v>1000</v>
      </c>
      <c r="F723" s="510">
        <f t="shared" si="583"/>
        <v>2000</v>
      </c>
      <c r="G723" s="510"/>
      <c r="H723" s="510"/>
      <c r="I723" s="510"/>
      <c r="J723" s="510"/>
      <c r="K723" s="510"/>
    </row>
    <row r="724" spans="1:11" customFormat="1" ht="15" x14ac:dyDescent="0.25">
      <c r="A724" s="511">
        <v>3221</v>
      </c>
      <c r="B724" s="512" t="s">
        <v>17</v>
      </c>
      <c r="C724" s="513"/>
      <c r="D724" s="513"/>
      <c r="E724" s="513">
        <v>1000</v>
      </c>
      <c r="F724" s="513">
        <f t="shared" si="582"/>
        <v>1000</v>
      </c>
      <c r="G724" s="513"/>
      <c r="H724" s="513"/>
      <c r="I724" s="513"/>
      <c r="J724" s="513"/>
      <c r="K724" s="513"/>
    </row>
    <row r="725" spans="1:11" customFormat="1" ht="15" hidden="1" x14ac:dyDescent="0.25">
      <c r="A725" s="511">
        <v>3222</v>
      </c>
      <c r="B725" s="512" t="s">
        <v>18</v>
      </c>
      <c r="C725" s="513"/>
      <c r="D725" s="513"/>
      <c r="E725" s="513"/>
      <c r="F725" s="513">
        <f t="shared" si="582"/>
        <v>0</v>
      </c>
      <c r="G725" s="513"/>
      <c r="H725" s="513"/>
      <c r="I725" s="513"/>
      <c r="J725" s="513"/>
      <c r="K725" s="513"/>
    </row>
    <row r="726" spans="1:11" customFormat="1" ht="15" hidden="1" x14ac:dyDescent="0.25">
      <c r="A726" s="511">
        <v>3223</v>
      </c>
      <c r="B726" s="512" t="s">
        <v>19</v>
      </c>
      <c r="C726" s="513"/>
      <c r="D726" s="513"/>
      <c r="E726" s="513"/>
      <c r="F726" s="513">
        <f t="shared" si="582"/>
        <v>0</v>
      </c>
      <c r="G726" s="513"/>
      <c r="H726" s="513"/>
      <c r="I726" s="513"/>
      <c r="J726" s="513"/>
      <c r="K726" s="513"/>
    </row>
    <row r="727" spans="1:11" customFormat="1" ht="25.5" hidden="1" x14ac:dyDescent="0.25">
      <c r="A727" s="511">
        <v>3224</v>
      </c>
      <c r="B727" s="512" t="s">
        <v>20</v>
      </c>
      <c r="C727" s="513"/>
      <c r="D727" s="513"/>
      <c r="E727" s="513"/>
      <c r="F727" s="513">
        <f t="shared" si="582"/>
        <v>0</v>
      </c>
      <c r="G727" s="513"/>
      <c r="H727" s="513"/>
      <c r="I727" s="513"/>
      <c r="J727" s="513"/>
      <c r="K727" s="513"/>
    </row>
    <row r="728" spans="1:11" customFormat="1" ht="14.25" customHeight="1" x14ac:dyDescent="0.25">
      <c r="A728" s="511">
        <v>3225</v>
      </c>
      <c r="B728" s="512" t="s">
        <v>21</v>
      </c>
      <c r="C728" s="513">
        <v>1000</v>
      </c>
      <c r="D728" s="513"/>
      <c r="E728" s="513"/>
      <c r="F728" s="513">
        <f t="shared" si="582"/>
        <v>1000</v>
      </c>
      <c r="G728" s="513"/>
      <c r="H728" s="513"/>
      <c r="I728" s="513"/>
      <c r="J728" s="513"/>
      <c r="K728" s="513"/>
    </row>
    <row r="729" spans="1:11" customFormat="1" ht="15" hidden="1" x14ac:dyDescent="0.25">
      <c r="A729" s="511">
        <v>3227</v>
      </c>
      <c r="B729" s="512" t="s">
        <v>22</v>
      </c>
      <c r="C729" s="513"/>
      <c r="D729" s="513"/>
      <c r="E729" s="513"/>
      <c r="F729" s="513"/>
      <c r="G729" s="513"/>
      <c r="H729" s="513"/>
      <c r="I729" s="513"/>
      <c r="J729" s="513"/>
      <c r="K729" s="513"/>
    </row>
    <row r="730" spans="1:11" customFormat="1" ht="15" hidden="1" x14ac:dyDescent="0.25">
      <c r="A730" s="553"/>
      <c r="B730" s="593"/>
      <c r="C730" s="551"/>
      <c r="D730" s="551"/>
      <c r="E730" s="551"/>
      <c r="F730" s="551"/>
      <c r="G730" s="551"/>
      <c r="H730" s="551"/>
      <c r="I730" s="551"/>
      <c r="J730" s="551"/>
      <c r="K730" s="551"/>
    </row>
    <row r="731" spans="1:11" customFormat="1" ht="14.25" customHeight="1" x14ac:dyDescent="0.25">
      <c r="A731" s="508">
        <v>323</v>
      </c>
      <c r="B731" s="509" t="s">
        <v>23</v>
      </c>
      <c r="C731" s="510">
        <f>SUM(C732:C739)</f>
        <v>1100000</v>
      </c>
      <c r="D731" s="510">
        <f t="shared" ref="D731:F731" si="584">SUM(D732:D739)</f>
        <v>127000</v>
      </c>
      <c r="E731" s="510">
        <f t="shared" si="584"/>
        <v>0</v>
      </c>
      <c r="F731" s="510">
        <f t="shared" si="584"/>
        <v>973000</v>
      </c>
      <c r="G731" s="510">
        <f t="shared" ref="G731:H731" si="585">SUM(G732:G739)</f>
        <v>215000</v>
      </c>
      <c r="H731" s="510">
        <f t="shared" si="585"/>
        <v>0</v>
      </c>
      <c r="I731" s="510">
        <f t="shared" ref="I731:J731" si="586">SUM(I732:I739)</f>
        <v>0</v>
      </c>
      <c r="J731" s="510">
        <f t="shared" si="586"/>
        <v>0</v>
      </c>
      <c r="K731" s="510">
        <f t="shared" ref="K731" si="587">SUM(K732:K739)</f>
        <v>0</v>
      </c>
    </row>
    <row r="732" spans="1:11" customFormat="1" ht="15" hidden="1" x14ac:dyDescent="0.25">
      <c r="A732" s="511">
        <v>3231</v>
      </c>
      <c r="B732" s="512" t="s">
        <v>262</v>
      </c>
      <c r="C732" s="513"/>
      <c r="D732" s="513"/>
      <c r="E732" s="513"/>
      <c r="F732" s="513"/>
      <c r="G732" s="513"/>
      <c r="H732" s="513"/>
      <c r="I732" s="513"/>
      <c r="J732" s="513"/>
      <c r="K732" s="513"/>
    </row>
    <row r="733" spans="1:11" customFormat="1" ht="15" customHeight="1" x14ac:dyDescent="0.25">
      <c r="A733" s="511">
        <v>3232</v>
      </c>
      <c r="B733" s="512" t="s">
        <v>25</v>
      </c>
      <c r="C733" s="513">
        <v>430000</v>
      </c>
      <c r="D733" s="513">
        <v>60000</v>
      </c>
      <c r="E733" s="513"/>
      <c r="F733" s="513">
        <f t="shared" ref="F733:F741" si="588">C733-D733+E733</f>
        <v>370000</v>
      </c>
      <c r="G733" s="513"/>
      <c r="H733" s="513"/>
      <c r="I733" s="513"/>
      <c r="J733" s="513"/>
      <c r="K733" s="513"/>
    </row>
    <row r="734" spans="1:11" customFormat="1" ht="13.5" customHeight="1" x14ac:dyDescent="0.25">
      <c r="A734" s="511">
        <v>3233</v>
      </c>
      <c r="B734" s="512" t="s">
        <v>26</v>
      </c>
      <c r="C734" s="513">
        <v>10000</v>
      </c>
      <c r="D734" s="513"/>
      <c r="E734" s="513"/>
      <c r="F734" s="513">
        <f t="shared" si="588"/>
        <v>10000</v>
      </c>
      <c r="G734" s="513"/>
      <c r="H734" s="513"/>
      <c r="I734" s="513"/>
      <c r="J734" s="513"/>
      <c r="K734" s="513"/>
    </row>
    <row r="735" spans="1:11" customFormat="1" ht="12" customHeight="1" x14ac:dyDescent="0.25">
      <c r="A735" s="511">
        <v>3235</v>
      </c>
      <c r="B735" s="512" t="s">
        <v>28</v>
      </c>
      <c r="C735" s="513">
        <v>10000</v>
      </c>
      <c r="D735" s="513"/>
      <c r="E735" s="513"/>
      <c r="F735" s="513">
        <f t="shared" si="588"/>
        <v>10000</v>
      </c>
      <c r="G735" s="513"/>
      <c r="H735" s="513"/>
      <c r="I735" s="513"/>
      <c r="J735" s="513"/>
      <c r="K735" s="513"/>
    </row>
    <row r="736" spans="1:11" customFormat="1" ht="14.25" hidden="1" customHeight="1" x14ac:dyDescent="0.25">
      <c r="A736" s="511">
        <v>3236</v>
      </c>
      <c r="B736" s="512" t="s">
        <v>29</v>
      </c>
      <c r="C736" s="513"/>
      <c r="D736" s="513"/>
      <c r="E736" s="513"/>
      <c r="F736" s="513"/>
      <c r="G736" s="513"/>
      <c r="H736" s="513"/>
      <c r="I736" s="513"/>
      <c r="J736" s="513"/>
      <c r="K736" s="513"/>
    </row>
    <row r="737" spans="1:11" customFormat="1" ht="15" customHeight="1" x14ac:dyDescent="0.25">
      <c r="A737" s="520">
        <v>3237</v>
      </c>
      <c r="B737" s="521" t="s">
        <v>30</v>
      </c>
      <c r="C737" s="513">
        <v>50000</v>
      </c>
      <c r="D737" s="513">
        <v>15000</v>
      </c>
      <c r="E737" s="513"/>
      <c r="F737" s="513">
        <f t="shared" si="588"/>
        <v>35000</v>
      </c>
      <c r="G737" s="513"/>
      <c r="H737" s="513"/>
      <c r="I737" s="513"/>
      <c r="J737" s="513"/>
      <c r="K737" s="513"/>
    </row>
    <row r="738" spans="1:11" customFormat="1" ht="16.5" customHeight="1" x14ac:dyDescent="0.25">
      <c r="A738" s="520">
        <v>3238</v>
      </c>
      <c r="B738" s="521" t="s">
        <v>70</v>
      </c>
      <c r="C738" s="513">
        <v>600000</v>
      </c>
      <c r="D738" s="513">
        <v>52000</v>
      </c>
      <c r="E738" s="513"/>
      <c r="F738" s="513">
        <f t="shared" si="588"/>
        <v>548000</v>
      </c>
      <c r="G738" s="513"/>
      <c r="H738" s="513"/>
      <c r="I738" s="513"/>
      <c r="J738" s="513"/>
      <c r="K738" s="513"/>
    </row>
    <row r="739" spans="1:11" customFormat="1" ht="16.5" hidden="1" customHeight="1" x14ac:dyDescent="0.25">
      <c r="A739" s="520">
        <v>3239</v>
      </c>
      <c r="B739" s="521" t="s">
        <v>31</v>
      </c>
      <c r="C739" s="513"/>
      <c r="D739" s="513"/>
      <c r="E739" s="513"/>
      <c r="F739" s="513">
        <f t="shared" si="588"/>
        <v>0</v>
      </c>
      <c r="G739" s="513">
        <v>215000</v>
      </c>
      <c r="H739" s="513"/>
      <c r="I739" s="513"/>
      <c r="J739" s="513"/>
      <c r="K739" s="513"/>
    </row>
    <row r="740" spans="1:11" s="6" customFormat="1" ht="22.5" customHeight="1" x14ac:dyDescent="0.25">
      <c r="A740" s="519">
        <v>324</v>
      </c>
      <c r="B740" s="523" t="s">
        <v>32</v>
      </c>
      <c r="C740" s="510">
        <f t="shared" ref="C740:K742" si="589">SUM(C741)</f>
        <v>30000</v>
      </c>
      <c r="D740" s="510">
        <f t="shared" si="589"/>
        <v>30000</v>
      </c>
      <c r="E740" s="510">
        <f t="shared" si="589"/>
        <v>0</v>
      </c>
      <c r="F740" s="510">
        <f t="shared" si="589"/>
        <v>0</v>
      </c>
      <c r="G740" s="510">
        <f t="shared" si="589"/>
        <v>0</v>
      </c>
      <c r="H740" s="510">
        <f t="shared" si="589"/>
        <v>0</v>
      </c>
      <c r="I740" s="510">
        <f t="shared" si="589"/>
        <v>0</v>
      </c>
      <c r="J740" s="510">
        <f t="shared" si="589"/>
        <v>0</v>
      </c>
      <c r="K740" s="510">
        <f t="shared" si="589"/>
        <v>0</v>
      </c>
    </row>
    <row r="741" spans="1:11" customFormat="1" ht="25.5" x14ac:dyDescent="0.25">
      <c r="A741" s="520">
        <v>3241</v>
      </c>
      <c r="B741" s="521" t="s">
        <v>32</v>
      </c>
      <c r="C741" s="513">
        <v>30000</v>
      </c>
      <c r="D741" s="513">
        <v>30000</v>
      </c>
      <c r="E741" s="513"/>
      <c r="F741" s="513">
        <f t="shared" si="588"/>
        <v>0</v>
      </c>
      <c r="G741" s="513"/>
      <c r="H741" s="513"/>
      <c r="I741" s="513"/>
      <c r="J741" s="513"/>
      <c r="K741" s="513"/>
    </row>
    <row r="742" spans="1:11" s="6" customFormat="1" ht="15" hidden="1" x14ac:dyDescent="0.25">
      <c r="A742" s="519">
        <v>329</v>
      </c>
      <c r="B742" s="523" t="s">
        <v>33</v>
      </c>
      <c r="C742" s="510">
        <f t="shared" si="589"/>
        <v>0</v>
      </c>
      <c r="D742" s="510">
        <f t="shared" si="589"/>
        <v>0</v>
      </c>
      <c r="E742" s="510"/>
      <c r="F742" s="510"/>
      <c r="G742" s="510"/>
      <c r="H742" s="510"/>
      <c r="I742" s="510"/>
      <c r="J742" s="510"/>
      <c r="K742" s="510"/>
    </row>
    <row r="743" spans="1:11" customFormat="1" ht="15" hidden="1" x14ac:dyDescent="0.25">
      <c r="A743" s="520">
        <v>3294</v>
      </c>
      <c r="B743" s="521" t="s">
        <v>37</v>
      </c>
      <c r="C743" s="513"/>
      <c r="D743" s="513"/>
      <c r="E743" s="513"/>
      <c r="F743" s="513"/>
      <c r="G743" s="513"/>
      <c r="H743" s="513"/>
      <c r="I743" s="513"/>
      <c r="J743" s="513"/>
      <c r="K743" s="513"/>
    </row>
    <row r="744" spans="1:11" customFormat="1" ht="15" hidden="1" x14ac:dyDescent="0.25">
      <c r="A744" s="519">
        <v>412</v>
      </c>
      <c r="B744" s="523" t="s">
        <v>67</v>
      </c>
      <c r="C744" s="510">
        <f t="shared" ref="C744:D744" si="590">SUM(C745)</f>
        <v>0</v>
      </c>
      <c r="D744" s="510">
        <f t="shared" si="590"/>
        <v>0</v>
      </c>
      <c r="E744" s="510"/>
      <c r="F744" s="510"/>
      <c r="G744" s="510"/>
      <c r="H744" s="510"/>
      <c r="I744" s="510"/>
      <c r="J744" s="510"/>
      <c r="K744" s="510"/>
    </row>
    <row r="745" spans="1:11" customFormat="1" ht="15" hidden="1" x14ac:dyDescent="0.25">
      <c r="A745" s="520">
        <v>4123</v>
      </c>
      <c r="B745" s="521" t="s">
        <v>68</v>
      </c>
      <c r="C745" s="513"/>
      <c r="D745" s="513"/>
      <c r="E745" s="513"/>
      <c r="F745" s="513"/>
      <c r="G745" s="513"/>
      <c r="H745" s="513"/>
      <c r="I745" s="513"/>
      <c r="J745" s="513"/>
      <c r="K745" s="513"/>
    </row>
    <row r="746" spans="1:11" customFormat="1" ht="25.5" x14ac:dyDescent="0.25">
      <c r="A746" s="505" t="s">
        <v>330</v>
      </c>
      <c r="B746" s="517" t="s">
        <v>331</v>
      </c>
      <c r="C746" s="507">
        <f>SUM(C747,C751)</f>
        <v>1336000</v>
      </c>
      <c r="D746" s="507">
        <f t="shared" ref="D746:F746" si="591">SUM(D747,D751)</f>
        <v>930000</v>
      </c>
      <c r="E746" s="507">
        <f t="shared" si="591"/>
        <v>0</v>
      </c>
      <c r="F746" s="507">
        <f t="shared" si="591"/>
        <v>406000</v>
      </c>
      <c r="G746" s="507">
        <f t="shared" ref="G746:H746" si="592">SUM(G747,G751)</f>
        <v>149000</v>
      </c>
      <c r="H746" s="507">
        <f t="shared" si="592"/>
        <v>0</v>
      </c>
      <c r="I746" s="507">
        <f>SUM(I747,I754)</f>
        <v>800000</v>
      </c>
      <c r="J746" s="507">
        <f t="shared" ref="J746" si="593">SUM(J747,J751)</f>
        <v>0</v>
      </c>
      <c r="K746" s="507">
        <f t="shared" ref="K746" si="594">SUM(K747,K751)</f>
        <v>0</v>
      </c>
    </row>
    <row r="747" spans="1:11" customFormat="1" ht="15" x14ac:dyDescent="0.25">
      <c r="A747" s="519">
        <v>422</v>
      </c>
      <c r="B747" s="523" t="s">
        <v>53</v>
      </c>
      <c r="C747" s="510">
        <f>SUM(C748:C751)</f>
        <v>1336000</v>
      </c>
      <c r="D747" s="510">
        <f t="shared" ref="D747:H747" si="595">SUM(D748:D755)</f>
        <v>930000</v>
      </c>
      <c r="E747" s="510">
        <f t="shared" si="595"/>
        <v>0</v>
      </c>
      <c r="F747" s="510">
        <f t="shared" si="595"/>
        <v>406000</v>
      </c>
      <c r="G747" s="510">
        <f t="shared" si="595"/>
        <v>149000</v>
      </c>
      <c r="H747" s="510">
        <f t="shared" si="595"/>
        <v>0</v>
      </c>
      <c r="I747" s="510">
        <f>SUM(I748:I750)</f>
        <v>650000</v>
      </c>
      <c r="J747" s="510">
        <f t="shared" ref="J747:K747" si="596">SUM(J748:J755)</f>
        <v>0</v>
      </c>
      <c r="K747" s="510">
        <f t="shared" si="596"/>
        <v>0</v>
      </c>
    </row>
    <row r="748" spans="1:11" customFormat="1" ht="15" customHeight="1" x14ac:dyDescent="0.25">
      <c r="A748" s="520">
        <v>4221</v>
      </c>
      <c r="B748" s="521" t="s">
        <v>54</v>
      </c>
      <c r="C748" s="513">
        <v>480000</v>
      </c>
      <c r="D748" s="513">
        <v>479000</v>
      </c>
      <c r="E748" s="513"/>
      <c r="F748" s="513">
        <f t="shared" ref="F748:F750" si="597">C748-D748+E748</f>
        <v>1000</v>
      </c>
      <c r="G748" s="513"/>
      <c r="H748" s="513"/>
      <c r="I748" s="513"/>
      <c r="J748" s="513"/>
      <c r="K748" s="513"/>
    </row>
    <row r="749" spans="1:11" customFormat="1" ht="15" x14ac:dyDescent="0.25">
      <c r="A749" s="520">
        <v>4222</v>
      </c>
      <c r="B749" s="521" t="s">
        <v>58</v>
      </c>
      <c r="C749" s="513">
        <v>498000</v>
      </c>
      <c r="D749" s="513">
        <v>393000</v>
      </c>
      <c r="E749" s="513"/>
      <c r="F749" s="513">
        <f t="shared" si="597"/>
        <v>105000</v>
      </c>
      <c r="G749" s="513"/>
      <c r="H749" s="513"/>
      <c r="I749" s="513">
        <v>600000</v>
      </c>
      <c r="J749" s="513"/>
      <c r="K749" s="513"/>
    </row>
    <row r="750" spans="1:11" customFormat="1" ht="15" x14ac:dyDescent="0.25">
      <c r="A750" s="520">
        <v>4223</v>
      </c>
      <c r="B750" s="521" t="s">
        <v>59</v>
      </c>
      <c r="C750" s="513">
        <v>358000</v>
      </c>
      <c r="D750" s="513">
        <v>58000</v>
      </c>
      <c r="E750" s="513"/>
      <c r="F750" s="513">
        <f t="shared" si="597"/>
        <v>300000</v>
      </c>
      <c r="G750" s="513">
        <v>149000</v>
      </c>
      <c r="H750" s="513"/>
      <c r="I750" s="513">
        <v>50000</v>
      </c>
      <c r="J750" s="513"/>
      <c r="K750" s="513"/>
    </row>
    <row r="751" spans="1:11" customFormat="1" ht="25.5" hidden="1" x14ac:dyDescent="0.25">
      <c r="A751" s="520">
        <v>4227</v>
      </c>
      <c r="B751" s="521" t="s">
        <v>60</v>
      </c>
      <c r="C751" s="513"/>
      <c r="D751" s="513"/>
      <c r="E751" s="513"/>
      <c r="F751" s="513"/>
      <c r="G751" s="513"/>
      <c r="H751" s="513"/>
      <c r="I751" s="513"/>
      <c r="J751" s="513"/>
      <c r="K751" s="513"/>
    </row>
    <row r="752" spans="1:11" customFormat="1" ht="15" hidden="1" x14ac:dyDescent="0.25">
      <c r="A752" s="519">
        <v>423</v>
      </c>
      <c r="B752" s="523" t="s">
        <v>61</v>
      </c>
      <c r="C752" s="510">
        <f t="shared" ref="C752:D752" si="598">SUM(C753)</f>
        <v>0</v>
      </c>
      <c r="D752" s="510">
        <f t="shared" si="598"/>
        <v>0</v>
      </c>
      <c r="E752" s="510"/>
      <c r="F752" s="510"/>
      <c r="G752" s="510"/>
      <c r="H752" s="510"/>
      <c r="I752" s="510"/>
      <c r="J752" s="510"/>
      <c r="K752" s="510"/>
    </row>
    <row r="753" spans="1:11" customFormat="1" ht="15" hidden="1" x14ac:dyDescent="0.25">
      <c r="A753" s="520">
        <v>4231</v>
      </c>
      <c r="B753" s="521" t="s">
        <v>62</v>
      </c>
      <c r="C753" s="513"/>
      <c r="D753" s="513"/>
      <c r="E753" s="513"/>
      <c r="F753" s="513"/>
      <c r="G753" s="513"/>
      <c r="H753" s="513"/>
      <c r="I753" s="513"/>
      <c r="J753" s="513"/>
      <c r="K753" s="513"/>
    </row>
    <row r="754" spans="1:11" customFormat="1" ht="15" x14ac:dyDescent="0.25">
      <c r="A754" s="519">
        <v>426</v>
      </c>
      <c r="B754" s="523" t="s">
        <v>73</v>
      </c>
      <c r="C754" s="510">
        <f t="shared" ref="C754:D754" si="599">SUM(C755)</f>
        <v>0</v>
      </c>
      <c r="D754" s="510">
        <f t="shared" si="599"/>
        <v>0</v>
      </c>
      <c r="E754" s="510"/>
      <c r="F754" s="510"/>
      <c r="G754" s="510"/>
      <c r="H754" s="510"/>
      <c r="I754" s="510">
        <f>SUM(I755)</f>
        <v>150000</v>
      </c>
      <c r="J754" s="510"/>
      <c r="K754" s="510"/>
    </row>
    <row r="755" spans="1:11" customFormat="1" ht="15" customHeight="1" x14ac:dyDescent="0.25">
      <c r="A755" s="520">
        <v>4262</v>
      </c>
      <c r="B755" s="521" t="s">
        <v>88</v>
      </c>
      <c r="C755" s="513"/>
      <c r="D755" s="513"/>
      <c r="E755" s="513"/>
      <c r="F755" s="513"/>
      <c r="G755" s="513"/>
      <c r="H755" s="513"/>
      <c r="I755" s="513">
        <v>150000</v>
      </c>
      <c r="J755" s="513"/>
      <c r="K755" s="513"/>
    </row>
    <row r="756" spans="1:11" customFormat="1" ht="25.5" x14ac:dyDescent="0.25">
      <c r="A756" s="540" t="s">
        <v>332</v>
      </c>
      <c r="B756" s="541" t="s">
        <v>333</v>
      </c>
      <c r="C756" s="507">
        <f>SUM(C757)</f>
        <v>90000</v>
      </c>
      <c r="D756" s="507">
        <f t="shared" ref="D756:K756" si="600">SUM(D757)</f>
        <v>20000</v>
      </c>
      <c r="E756" s="507">
        <f t="shared" si="600"/>
        <v>0</v>
      </c>
      <c r="F756" s="507">
        <f t="shared" si="600"/>
        <v>70000</v>
      </c>
      <c r="G756" s="507">
        <f t="shared" si="600"/>
        <v>0</v>
      </c>
      <c r="H756" s="507">
        <f t="shared" si="600"/>
        <v>0</v>
      </c>
      <c r="I756" s="507">
        <f t="shared" si="600"/>
        <v>0</v>
      </c>
      <c r="J756" s="507">
        <f t="shared" si="600"/>
        <v>0</v>
      </c>
      <c r="K756" s="507">
        <f t="shared" si="600"/>
        <v>0</v>
      </c>
    </row>
    <row r="757" spans="1:11" customFormat="1" ht="25.5" x14ac:dyDescent="0.25">
      <c r="A757" s="519">
        <v>451</v>
      </c>
      <c r="B757" s="523" t="s">
        <v>55</v>
      </c>
      <c r="C757" s="510">
        <f t="shared" ref="C757:K757" si="601">SUM(C758)</f>
        <v>90000</v>
      </c>
      <c r="D757" s="510">
        <f t="shared" si="601"/>
        <v>20000</v>
      </c>
      <c r="E757" s="510">
        <f t="shared" si="601"/>
        <v>0</v>
      </c>
      <c r="F757" s="510">
        <f t="shared" si="601"/>
        <v>70000</v>
      </c>
      <c r="G757" s="510">
        <f t="shared" si="601"/>
        <v>0</v>
      </c>
      <c r="H757" s="510">
        <f t="shared" si="601"/>
        <v>0</v>
      </c>
      <c r="I757" s="510">
        <f t="shared" si="601"/>
        <v>0</v>
      </c>
      <c r="J757" s="510">
        <f t="shared" si="601"/>
        <v>0</v>
      </c>
      <c r="K757" s="510">
        <f t="shared" si="601"/>
        <v>0</v>
      </c>
    </row>
    <row r="758" spans="1:11" customFormat="1" ht="25.5" x14ac:dyDescent="0.25">
      <c r="A758" s="520">
        <v>4511</v>
      </c>
      <c r="B758" s="521" t="s">
        <v>55</v>
      </c>
      <c r="C758" s="513">
        <v>90000</v>
      </c>
      <c r="D758" s="513">
        <v>20000</v>
      </c>
      <c r="E758" s="513"/>
      <c r="F758" s="513">
        <f t="shared" ref="F758" si="602">C758-D758+E758</f>
        <v>70000</v>
      </c>
      <c r="G758" s="513"/>
      <c r="H758" s="513"/>
      <c r="I758" s="513"/>
      <c r="J758" s="513"/>
      <c r="K758" s="513"/>
    </row>
    <row r="759" spans="1:11" customFormat="1" ht="31.5" customHeight="1" x14ac:dyDescent="0.25">
      <c r="A759" s="501" t="s">
        <v>86</v>
      </c>
      <c r="B759" s="502" t="s">
        <v>87</v>
      </c>
      <c r="C759" s="503">
        <f t="shared" ref="C759:K759" si="603">SUM(C760)</f>
        <v>13607000</v>
      </c>
      <c r="D759" s="503">
        <f t="shared" si="603"/>
        <v>3181000</v>
      </c>
      <c r="E759" s="503">
        <f t="shared" si="603"/>
        <v>1000</v>
      </c>
      <c r="F759" s="503">
        <f t="shared" si="603"/>
        <v>10427000</v>
      </c>
      <c r="G759" s="503">
        <f t="shared" si="603"/>
        <v>3322000</v>
      </c>
      <c r="H759" s="503">
        <f t="shared" si="603"/>
        <v>0</v>
      </c>
      <c r="I759" s="503">
        <f t="shared" si="603"/>
        <v>40000</v>
      </c>
      <c r="J759" s="503">
        <f t="shared" si="603"/>
        <v>0</v>
      </c>
      <c r="K759" s="503">
        <f t="shared" si="603"/>
        <v>0</v>
      </c>
    </row>
    <row r="760" spans="1:11" customFormat="1" ht="18" customHeight="1" x14ac:dyDescent="0.25">
      <c r="A760" s="710" t="s">
        <v>118</v>
      </c>
      <c r="B760" s="710"/>
      <c r="C760" s="504">
        <f>SUM(C761,C770,C796,C809)</f>
        <v>13607000</v>
      </c>
      <c r="D760" s="504">
        <f t="shared" ref="D760:F760" si="604">SUM(D761,D770,D796,D809)</f>
        <v>3181000</v>
      </c>
      <c r="E760" s="504">
        <f t="shared" si="604"/>
        <v>1000</v>
      </c>
      <c r="F760" s="504">
        <f t="shared" si="604"/>
        <v>10427000</v>
      </c>
      <c r="G760" s="504">
        <f t="shared" ref="G760:H760" si="605">SUM(G761,G770,G796,G809)</f>
        <v>3322000</v>
      </c>
      <c r="H760" s="504">
        <f t="shared" si="605"/>
        <v>0</v>
      </c>
      <c r="I760" s="504">
        <f t="shared" ref="I760:J760" si="606">SUM(I761,I770,I796,I809)</f>
        <v>40000</v>
      </c>
      <c r="J760" s="504">
        <f t="shared" si="606"/>
        <v>0</v>
      </c>
      <c r="K760" s="504">
        <f t="shared" ref="K760" si="607">SUM(K761,K770,K796,K809)</f>
        <v>0</v>
      </c>
    </row>
    <row r="761" spans="1:11" customFormat="1" ht="18" customHeight="1" x14ac:dyDescent="0.25">
      <c r="A761" s="516" t="s">
        <v>322</v>
      </c>
      <c r="B761" s="517" t="s">
        <v>323</v>
      </c>
      <c r="C761" s="518">
        <f>SUM(C762,C764,C766)</f>
        <v>156000</v>
      </c>
      <c r="D761" s="518">
        <f t="shared" ref="D761:F761" si="608">SUM(D762,D764,D766)</f>
        <v>128000</v>
      </c>
      <c r="E761" s="518">
        <f t="shared" si="608"/>
        <v>0</v>
      </c>
      <c r="F761" s="518">
        <f t="shared" si="608"/>
        <v>28000</v>
      </c>
      <c r="G761" s="518">
        <f t="shared" ref="G761:H761" si="609">SUM(G762,G764,G766)</f>
        <v>78000</v>
      </c>
      <c r="H761" s="518">
        <f t="shared" si="609"/>
        <v>0</v>
      </c>
      <c r="I761" s="518">
        <f t="shared" ref="I761:J761" si="610">SUM(I762,I764,I766)</f>
        <v>0</v>
      </c>
      <c r="J761" s="518">
        <f t="shared" si="610"/>
        <v>0</v>
      </c>
      <c r="K761" s="518">
        <f t="shared" ref="K761" si="611">SUM(K762,K764,K766)</f>
        <v>0</v>
      </c>
    </row>
    <row r="762" spans="1:11" customFormat="1" ht="15" x14ac:dyDescent="0.25">
      <c r="A762" s="508">
        <v>311</v>
      </c>
      <c r="B762" s="509" t="s">
        <v>4</v>
      </c>
      <c r="C762" s="510">
        <f t="shared" ref="C762:K762" si="612">SUM(C763:C763)</f>
        <v>110000</v>
      </c>
      <c r="D762" s="510">
        <f t="shared" si="612"/>
        <v>86000</v>
      </c>
      <c r="E762" s="510">
        <f t="shared" si="612"/>
        <v>0</v>
      </c>
      <c r="F762" s="510">
        <f t="shared" si="612"/>
        <v>24000</v>
      </c>
      <c r="G762" s="510">
        <f t="shared" si="612"/>
        <v>55000</v>
      </c>
      <c r="H762" s="510">
        <f t="shared" si="612"/>
        <v>0</v>
      </c>
      <c r="I762" s="510">
        <f t="shared" si="612"/>
        <v>0</v>
      </c>
      <c r="J762" s="510">
        <f t="shared" si="612"/>
        <v>0</v>
      </c>
      <c r="K762" s="510">
        <f t="shared" si="612"/>
        <v>0</v>
      </c>
    </row>
    <row r="763" spans="1:11" customFormat="1" ht="15" x14ac:dyDescent="0.25">
      <c r="A763" s="511">
        <v>3111</v>
      </c>
      <c r="B763" s="512" t="s">
        <v>5</v>
      </c>
      <c r="C763" s="513">
        <v>110000</v>
      </c>
      <c r="D763" s="513">
        <v>86000</v>
      </c>
      <c r="E763" s="513"/>
      <c r="F763" s="513">
        <f t="shared" ref="F763:F765" si="613">C763-D763+E763</f>
        <v>24000</v>
      </c>
      <c r="G763" s="513">
        <v>55000</v>
      </c>
      <c r="H763" s="513"/>
      <c r="I763" s="513"/>
      <c r="J763" s="513"/>
      <c r="K763" s="513"/>
    </row>
    <row r="764" spans="1:11" customFormat="1" ht="15" x14ac:dyDescent="0.25">
      <c r="A764" s="508">
        <v>312</v>
      </c>
      <c r="B764" s="509" t="s">
        <v>7</v>
      </c>
      <c r="C764" s="510">
        <f t="shared" ref="C764:K764" si="614">SUM(C765)</f>
        <v>6000</v>
      </c>
      <c r="D764" s="510">
        <f t="shared" si="614"/>
        <v>6000</v>
      </c>
      <c r="E764" s="510">
        <f t="shared" si="614"/>
        <v>0</v>
      </c>
      <c r="F764" s="510">
        <f t="shared" si="614"/>
        <v>0</v>
      </c>
      <c r="G764" s="510">
        <f t="shared" si="614"/>
        <v>3000</v>
      </c>
      <c r="H764" s="510">
        <f t="shared" si="614"/>
        <v>0</v>
      </c>
      <c r="I764" s="510">
        <f t="shared" si="614"/>
        <v>0</v>
      </c>
      <c r="J764" s="510">
        <f t="shared" si="614"/>
        <v>0</v>
      </c>
      <c r="K764" s="510">
        <f t="shared" si="614"/>
        <v>0</v>
      </c>
    </row>
    <row r="765" spans="1:11" customFormat="1" ht="15" x14ac:dyDescent="0.25">
      <c r="A765" s="511">
        <v>3121</v>
      </c>
      <c r="B765" s="512" t="s">
        <v>7</v>
      </c>
      <c r="C765" s="513">
        <v>6000</v>
      </c>
      <c r="D765" s="513">
        <v>6000</v>
      </c>
      <c r="E765" s="513"/>
      <c r="F765" s="513">
        <f t="shared" si="613"/>
        <v>0</v>
      </c>
      <c r="G765" s="513">
        <v>3000</v>
      </c>
      <c r="H765" s="513"/>
      <c r="I765" s="513"/>
      <c r="J765" s="513"/>
      <c r="K765" s="513"/>
    </row>
    <row r="766" spans="1:11" customFormat="1" ht="15" x14ac:dyDescent="0.25">
      <c r="A766" s="508">
        <v>313</v>
      </c>
      <c r="B766" s="509" t="s">
        <v>8</v>
      </c>
      <c r="C766" s="510">
        <f t="shared" ref="C766:F766" si="615">SUM(C767:C769)</f>
        <v>40000</v>
      </c>
      <c r="D766" s="510">
        <f t="shared" si="615"/>
        <v>36000</v>
      </c>
      <c r="E766" s="510">
        <f t="shared" si="615"/>
        <v>0</v>
      </c>
      <c r="F766" s="510">
        <f t="shared" si="615"/>
        <v>4000</v>
      </c>
      <c r="G766" s="510">
        <f t="shared" ref="G766:H766" si="616">SUM(G767:G769)</f>
        <v>20000</v>
      </c>
      <c r="H766" s="510">
        <f t="shared" si="616"/>
        <v>0</v>
      </c>
      <c r="I766" s="510">
        <f t="shared" ref="I766:J766" si="617">SUM(I767:I769)</f>
        <v>0</v>
      </c>
      <c r="J766" s="510">
        <f t="shared" si="617"/>
        <v>0</v>
      </c>
      <c r="K766" s="510">
        <f t="shared" ref="K766" si="618">SUM(K767:K769)</f>
        <v>0</v>
      </c>
    </row>
    <row r="767" spans="1:11" customFormat="1" ht="15" hidden="1" x14ac:dyDescent="0.25">
      <c r="A767" s="511">
        <v>3131</v>
      </c>
      <c r="B767" s="512" t="s">
        <v>9</v>
      </c>
      <c r="C767" s="513"/>
      <c r="D767" s="513"/>
      <c r="E767" s="513"/>
      <c r="F767" s="513"/>
      <c r="G767" s="513"/>
      <c r="H767" s="513"/>
      <c r="I767" s="513"/>
      <c r="J767" s="513"/>
      <c r="K767" s="513"/>
    </row>
    <row r="768" spans="1:11" customFormat="1" ht="15" x14ac:dyDescent="0.25">
      <c r="A768" s="511">
        <v>3132</v>
      </c>
      <c r="B768" s="512" t="s">
        <v>10</v>
      </c>
      <c r="C768" s="513">
        <v>40000</v>
      </c>
      <c r="D768" s="513">
        <v>36000</v>
      </c>
      <c r="E768" s="513"/>
      <c r="F768" s="513">
        <f t="shared" ref="F768" si="619">C768-D768+E768</f>
        <v>4000</v>
      </c>
      <c r="G768" s="513">
        <v>20000</v>
      </c>
      <c r="H768" s="513"/>
      <c r="I768" s="513"/>
      <c r="J768" s="513"/>
      <c r="K768" s="513"/>
    </row>
    <row r="769" spans="1:11" customFormat="1" ht="15" hidden="1" x14ac:dyDescent="0.25">
      <c r="A769" s="511">
        <v>3133</v>
      </c>
      <c r="B769" s="512" t="s">
        <v>11</v>
      </c>
      <c r="C769" s="513"/>
      <c r="D769" s="513"/>
      <c r="E769" s="513"/>
      <c r="F769" s="513"/>
      <c r="G769" s="513"/>
      <c r="H769" s="513"/>
      <c r="I769" s="513"/>
      <c r="J769" s="513"/>
      <c r="K769" s="513"/>
    </row>
    <row r="770" spans="1:11" customFormat="1" ht="15" x14ac:dyDescent="0.25">
      <c r="A770" s="516" t="s">
        <v>324</v>
      </c>
      <c r="B770" s="516" t="s">
        <v>325</v>
      </c>
      <c r="C770" s="549">
        <f>SUM(C771,C775,C781,C789,C791)</f>
        <v>5640000</v>
      </c>
      <c r="D770" s="549">
        <f t="shared" ref="D770:F770" si="620">SUM(D771,D775,D781,D789,D791)</f>
        <v>954000</v>
      </c>
      <c r="E770" s="549">
        <f t="shared" si="620"/>
        <v>1000</v>
      </c>
      <c r="F770" s="549">
        <f t="shared" si="620"/>
        <v>4687000</v>
      </c>
      <c r="G770" s="549">
        <f t="shared" ref="G770:H770" si="621">SUM(G771,G775,G781,G789,G791)</f>
        <v>686000</v>
      </c>
      <c r="H770" s="549">
        <f t="shared" si="621"/>
        <v>0</v>
      </c>
      <c r="I770" s="549">
        <f t="shared" ref="I770:J770" si="622">SUM(I771,I775,I781,I789,I791)</f>
        <v>0</v>
      </c>
      <c r="J770" s="549">
        <f t="shared" si="622"/>
        <v>0</v>
      </c>
      <c r="K770" s="549">
        <f t="shared" ref="K770" si="623">SUM(K771,K775,K781,K789,K791)</f>
        <v>0</v>
      </c>
    </row>
    <row r="771" spans="1:11" customFormat="1" ht="15" x14ac:dyDescent="0.25">
      <c r="A771" s="508">
        <v>321</v>
      </c>
      <c r="B771" s="509" t="s">
        <v>12</v>
      </c>
      <c r="C771" s="510">
        <f t="shared" ref="C771:F771" si="624">SUM(C772:C774)</f>
        <v>299000</v>
      </c>
      <c r="D771" s="510">
        <f t="shared" si="624"/>
        <v>296000</v>
      </c>
      <c r="E771" s="510">
        <f t="shared" si="624"/>
        <v>0</v>
      </c>
      <c r="F771" s="510">
        <f t="shared" si="624"/>
        <v>3000</v>
      </c>
      <c r="G771" s="510">
        <f t="shared" ref="G771:H771" si="625">SUM(G772:G774)</f>
        <v>120000</v>
      </c>
      <c r="H771" s="510">
        <f t="shared" si="625"/>
        <v>0</v>
      </c>
      <c r="I771" s="510">
        <f t="shared" ref="I771:J771" si="626">SUM(I772:I774)</f>
        <v>0</v>
      </c>
      <c r="J771" s="510">
        <f t="shared" si="626"/>
        <v>0</v>
      </c>
      <c r="K771" s="510">
        <f t="shared" ref="K771" si="627">SUM(K772:K774)</f>
        <v>0</v>
      </c>
    </row>
    <row r="772" spans="1:11" customFormat="1" ht="15" x14ac:dyDescent="0.25">
      <c r="A772" s="511">
        <v>3211</v>
      </c>
      <c r="B772" s="512" t="s">
        <v>13</v>
      </c>
      <c r="C772" s="513">
        <v>30000</v>
      </c>
      <c r="D772" s="513">
        <v>30000</v>
      </c>
      <c r="E772" s="513"/>
      <c r="F772" s="513">
        <f t="shared" ref="F772:F790" si="628">C772-D772+E772</f>
        <v>0</v>
      </c>
      <c r="G772" s="513">
        <v>10000</v>
      </c>
      <c r="H772" s="513"/>
      <c r="I772" s="513"/>
      <c r="J772" s="513"/>
      <c r="K772" s="513"/>
    </row>
    <row r="773" spans="1:11" customFormat="1" ht="15" x14ac:dyDescent="0.25">
      <c r="A773" s="511" t="s">
        <v>151</v>
      </c>
      <c r="B773" s="535" t="s">
        <v>14</v>
      </c>
      <c r="C773" s="513">
        <v>20000</v>
      </c>
      <c r="D773" s="513">
        <v>18000</v>
      </c>
      <c r="E773" s="513"/>
      <c r="F773" s="513">
        <f t="shared" si="628"/>
        <v>2000</v>
      </c>
      <c r="G773" s="513">
        <v>10000</v>
      </c>
      <c r="H773" s="513"/>
      <c r="I773" s="513"/>
      <c r="J773" s="513"/>
      <c r="K773" s="513"/>
    </row>
    <row r="774" spans="1:11" customFormat="1" ht="15" x14ac:dyDescent="0.25">
      <c r="A774" s="511">
        <v>3213</v>
      </c>
      <c r="B774" s="512" t="s">
        <v>15</v>
      </c>
      <c r="C774" s="513">
        <v>249000</v>
      </c>
      <c r="D774" s="513">
        <v>248000</v>
      </c>
      <c r="E774" s="513"/>
      <c r="F774" s="513">
        <f t="shared" si="628"/>
        <v>1000</v>
      </c>
      <c r="G774" s="513">
        <v>100000</v>
      </c>
      <c r="H774" s="513"/>
      <c r="I774" s="513"/>
      <c r="J774" s="513"/>
      <c r="K774" s="513"/>
    </row>
    <row r="775" spans="1:11" customFormat="1" ht="15" x14ac:dyDescent="0.25">
      <c r="A775" s="508">
        <v>322</v>
      </c>
      <c r="B775" s="509" t="s">
        <v>16</v>
      </c>
      <c r="C775" s="510">
        <f t="shared" ref="C775:F775" si="629">SUM(C776:C780)</f>
        <v>389000</v>
      </c>
      <c r="D775" s="510">
        <f t="shared" si="629"/>
        <v>378000</v>
      </c>
      <c r="E775" s="510">
        <f t="shared" si="629"/>
        <v>0</v>
      </c>
      <c r="F775" s="510">
        <f t="shared" si="629"/>
        <v>11000</v>
      </c>
      <c r="G775" s="510">
        <f t="shared" ref="G775:H775" si="630">SUM(G776:G780)</f>
        <v>225000</v>
      </c>
      <c r="H775" s="510">
        <f t="shared" si="630"/>
        <v>0</v>
      </c>
      <c r="I775" s="510">
        <f t="shared" ref="I775:J775" si="631">SUM(I776:I780)</f>
        <v>0</v>
      </c>
      <c r="J775" s="510">
        <f t="shared" si="631"/>
        <v>0</v>
      </c>
      <c r="K775" s="510">
        <f t="shared" ref="K775" si="632">SUM(K776:K780)</f>
        <v>0</v>
      </c>
    </row>
    <row r="776" spans="1:11" customFormat="1" ht="15" x14ac:dyDescent="0.25">
      <c r="A776" s="511">
        <v>3221</v>
      </c>
      <c r="B776" s="512" t="s">
        <v>17</v>
      </c>
      <c r="C776" s="513">
        <v>30000</v>
      </c>
      <c r="D776" s="513">
        <v>25000</v>
      </c>
      <c r="E776" s="513"/>
      <c r="F776" s="513">
        <f t="shared" si="628"/>
        <v>5000</v>
      </c>
      <c r="G776" s="513">
        <v>5000</v>
      </c>
      <c r="H776" s="513"/>
      <c r="I776" s="513"/>
      <c r="J776" s="513"/>
      <c r="K776" s="513"/>
    </row>
    <row r="777" spans="1:11" customFormat="1" ht="15" x14ac:dyDescent="0.25">
      <c r="A777" s="511">
        <v>3222</v>
      </c>
      <c r="B777" s="512" t="s">
        <v>18</v>
      </c>
      <c r="C777" s="513">
        <v>50000</v>
      </c>
      <c r="D777" s="513">
        <v>45000</v>
      </c>
      <c r="E777" s="513"/>
      <c r="F777" s="513">
        <f t="shared" si="628"/>
        <v>5000</v>
      </c>
      <c r="G777" s="513">
        <v>100000</v>
      </c>
      <c r="H777" s="513"/>
      <c r="I777" s="513"/>
      <c r="J777" s="513"/>
      <c r="K777" s="513"/>
    </row>
    <row r="778" spans="1:11" customFormat="1" ht="15" x14ac:dyDescent="0.25">
      <c r="A778" s="511">
        <v>3223</v>
      </c>
      <c r="B778" s="535" t="s">
        <v>19</v>
      </c>
      <c r="C778" s="513">
        <v>249000</v>
      </c>
      <c r="D778" s="513">
        <v>249000</v>
      </c>
      <c r="E778" s="513"/>
      <c r="F778" s="513">
        <f t="shared" si="628"/>
        <v>0</v>
      </c>
      <c r="G778" s="513">
        <v>100000</v>
      </c>
      <c r="H778" s="513"/>
      <c r="I778" s="513"/>
      <c r="J778" s="513"/>
      <c r="K778" s="513"/>
    </row>
    <row r="779" spans="1:11" customFormat="1" ht="15" x14ac:dyDescent="0.25">
      <c r="A779" s="511">
        <v>3224</v>
      </c>
      <c r="B779" s="535" t="s">
        <v>112</v>
      </c>
      <c r="C779" s="513">
        <v>30000</v>
      </c>
      <c r="D779" s="513">
        <v>30000</v>
      </c>
      <c r="E779" s="513"/>
      <c r="F779" s="513">
        <f t="shared" si="628"/>
        <v>0</v>
      </c>
      <c r="G779" s="513">
        <v>10000</v>
      </c>
      <c r="H779" s="513"/>
      <c r="I779" s="513"/>
      <c r="J779" s="513"/>
      <c r="K779" s="513"/>
    </row>
    <row r="780" spans="1:11" customFormat="1" ht="15" x14ac:dyDescent="0.25">
      <c r="A780" s="511">
        <v>3225</v>
      </c>
      <c r="B780" s="535" t="s">
        <v>21</v>
      </c>
      <c r="C780" s="513">
        <v>30000</v>
      </c>
      <c r="D780" s="513">
        <v>29000</v>
      </c>
      <c r="E780" s="513"/>
      <c r="F780" s="513">
        <f t="shared" si="628"/>
        <v>1000</v>
      </c>
      <c r="G780" s="513">
        <v>10000</v>
      </c>
      <c r="H780" s="513"/>
      <c r="I780" s="513"/>
      <c r="J780" s="513"/>
      <c r="K780" s="513"/>
    </row>
    <row r="781" spans="1:11" customFormat="1" ht="15" x14ac:dyDescent="0.25">
      <c r="A781" s="508">
        <v>323</v>
      </c>
      <c r="B781" s="509" t="s">
        <v>23</v>
      </c>
      <c r="C781" s="510">
        <f t="shared" ref="C781:F781" si="633">SUM(C782:C788)</f>
        <v>4932000</v>
      </c>
      <c r="D781" s="510">
        <f t="shared" si="633"/>
        <v>260000</v>
      </c>
      <c r="E781" s="510">
        <f t="shared" si="633"/>
        <v>1000</v>
      </c>
      <c r="F781" s="510">
        <f t="shared" si="633"/>
        <v>4673000</v>
      </c>
      <c r="G781" s="510">
        <f t="shared" ref="G781:H781" si="634">SUM(G782:G788)</f>
        <v>330000</v>
      </c>
      <c r="H781" s="510">
        <f t="shared" si="634"/>
        <v>0</v>
      </c>
      <c r="I781" s="510">
        <f t="shared" ref="I781:J781" si="635">SUM(I782:I788)</f>
        <v>0</v>
      </c>
      <c r="J781" s="510">
        <f t="shared" si="635"/>
        <v>0</v>
      </c>
      <c r="K781" s="510">
        <f t="shared" ref="K781" si="636">SUM(K782:K788)</f>
        <v>0</v>
      </c>
    </row>
    <row r="782" spans="1:11" customFormat="1" ht="15" x14ac:dyDescent="0.25">
      <c r="A782" s="511">
        <v>3232</v>
      </c>
      <c r="B782" s="521" t="s">
        <v>25</v>
      </c>
      <c r="C782" s="513">
        <v>1990000</v>
      </c>
      <c r="D782" s="513"/>
      <c r="E782" s="513"/>
      <c r="F782" s="513">
        <f t="shared" si="628"/>
        <v>1990000</v>
      </c>
      <c r="G782" s="513">
        <v>229000</v>
      </c>
      <c r="H782" s="513"/>
      <c r="I782" s="513"/>
      <c r="J782" s="513"/>
      <c r="K782" s="513"/>
    </row>
    <row r="783" spans="1:11" customFormat="1" ht="15" x14ac:dyDescent="0.25">
      <c r="A783" s="511">
        <v>3233</v>
      </c>
      <c r="B783" s="521" t="s">
        <v>26</v>
      </c>
      <c r="C783" s="513">
        <v>7000</v>
      </c>
      <c r="D783" s="513"/>
      <c r="E783" s="513">
        <v>1000</v>
      </c>
      <c r="F783" s="513">
        <f t="shared" si="628"/>
        <v>8000</v>
      </c>
      <c r="G783" s="513">
        <v>1000</v>
      </c>
      <c r="H783" s="513"/>
      <c r="I783" s="513"/>
      <c r="J783" s="513"/>
      <c r="K783" s="513"/>
    </row>
    <row r="784" spans="1:11" customFormat="1" ht="15" x14ac:dyDescent="0.25">
      <c r="A784" s="511">
        <v>3235</v>
      </c>
      <c r="B784" s="512" t="s">
        <v>28</v>
      </c>
      <c r="C784" s="513">
        <v>70000</v>
      </c>
      <c r="D784" s="513">
        <v>50000</v>
      </c>
      <c r="E784" s="513"/>
      <c r="F784" s="513">
        <f t="shared" si="628"/>
        <v>20000</v>
      </c>
      <c r="G784" s="513">
        <v>10000</v>
      </c>
      <c r="H784" s="513"/>
      <c r="I784" s="513"/>
      <c r="J784" s="513"/>
      <c r="K784" s="513"/>
    </row>
    <row r="785" spans="1:11" customFormat="1" ht="15" hidden="1" x14ac:dyDescent="0.25">
      <c r="A785" s="511">
        <v>3236</v>
      </c>
      <c r="B785" s="512" t="s">
        <v>282</v>
      </c>
      <c r="C785" s="513"/>
      <c r="D785" s="513"/>
      <c r="E785" s="513"/>
      <c r="F785" s="513">
        <f t="shared" si="628"/>
        <v>0</v>
      </c>
      <c r="G785" s="513"/>
      <c r="H785" s="513"/>
      <c r="I785" s="513"/>
      <c r="J785" s="513"/>
      <c r="K785" s="513"/>
    </row>
    <row r="786" spans="1:11" customFormat="1" ht="15" x14ac:dyDescent="0.25">
      <c r="A786" s="511">
        <v>3237</v>
      </c>
      <c r="B786" s="512" t="s">
        <v>30</v>
      </c>
      <c r="C786" s="513">
        <v>135000</v>
      </c>
      <c r="D786" s="513">
        <v>70000</v>
      </c>
      <c r="E786" s="513"/>
      <c r="F786" s="513">
        <f t="shared" si="628"/>
        <v>65000</v>
      </c>
      <c r="G786" s="513">
        <v>20000</v>
      </c>
      <c r="H786" s="513"/>
      <c r="I786" s="513"/>
      <c r="J786" s="513"/>
      <c r="K786" s="513"/>
    </row>
    <row r="787" spans="1:11" customFormat="1" ht="15" x14ac:dyDescent="0.25">
      <c r="A787" s="511">
        <v>3238</v>
      </c>
      <c r="B787" s="512" t="s">
        <v>70</v>
      </c>
      <c r="C787" s="513">
        <v>2590000</v>
      </c>
      <c r="D787" s="513"/>
      <c r="E787" s="513"/>
      <c r="F787" s="513">
        <f t="shared" si="628"/>
        <v>2590000</v>
      </c>
      <c r="G787" s="513">
        <v>0</v>
      </c>
      <c r="H787" s="513"/>
      <c r="I787" s="513"/>
      <c r="J787" s="513"/>
      <c r="K787" s="513"/>
    </row>
    <row r="788" spans="1:11" customFormat="1" ht="15" x14ac:dyDescent="0.25">
      <c r="A788" s="511">
        <v>3239</v>
      </c>
      <c r="B788" s="512" t="s">
        <v>31</v>
      </c>
      <c r="C788" s="513">
        <v>140000</v>
      </c>
      <c r="D788" s="513">
        <v>140000</v>
      </c>
      <c r="E788" s="513"/>
      <c r="F788" s="513">
        <f t="shared" si="628"/>
        <v>0</v>
      </c>
      <c r="G788" s="513">
        <v>70000</v>
      </c>
      <c r="H788" s="513"/>
      <c r="I788" s="513"/>
      <c r="J788" s="513"/>
      <c r="K788" s="513"/>
    </row>
    <row r="789" spans="1:11" s="6" customFormat="1" ht="25.5" x14ac:dyDescent="0.25">
      <c r="A789" s="519">
        <v>324</v>
      </c>
      <c r="B789" s="523" t="s">
        <v>32</v>
      </c>
      <c r="C789" s="510">
        <f t="shared" ref="C789:K789" si="637">SUM(C790)</f>
        <v>5000</v>
      </c>
      <c r="D789" s="510">
        <f t="shared" si="637"/>
        <v>5000</v>
      </c>
      <c r="E789" s="510">
        <f t="shared" si="637"/>
        <v>0</v>
      </c>
      <c r="F789" s="510">
        <f t="shared" si="637"/>
        <v>0</v>
      </c>
      <c r="G789" s="510">
        <f t="shared" si="637"/>
        <v>3000</v>
      </c>
      <c r="H789" s="510">
        <f t="shared" si="637"/>
        <v>0</v>
      </c>
      <c r="I789" s="510">
        <f t="shared" si="637"/>
        <v>0</v>
      </c>
      <c r="J789" s="510">
        <f t="shared" si="637"/>
        <v>0</v>
      </c>
      <c r="K789" s="510">
        <f t="shared" si="637"/>
        <v>0</v>
      </c>
    </row>
    <row r="790" spans="1:11" customFormat="1" ht="25.5" x14ac:dyDescent="0.25">
      <c r="A790" s="520">
        <v>3241</v>
      </c>
      <c r="B790" s="521" t="s">
        <v>32</v>
      </c>
      <c r="C790" s="513">
        <v>5000</v>
      </c>
      <c r="D790" s="513">
        <v>5000</v>
      </c>
      <c r="E790" s="513"/>
      <c r="F790" s="513">
        <f t="shared" si="628"/>
        <v>0</v>
      </c>
      <c r="G790" s="513">
        <v>3000</v>
      </c>
      <c r="H790" s="513"/>
      <c r="I790" s="513"/>
      <c r="J790" s="513"/>
      <c r="K790" s="513"/>
    </row>
    <row r="791" spans="1:11" s="6" customFormat="1" ht="15" x14ac:dyDescent="0.25">
      <c r="A791" s="529" t="s">
        <v>170</v>
      </c>
      <c r="B791" s="529" t="s">
        <v>33</v>
      </c>
      <c r="C791" s="579">
        <f t="shared" ref="C791:F791" si="638">SUM(C792:C793)</f>
        <v>15000</v>
      </c>
      <c r="D791" s="579">
        <f t="shared" si="638"/>
        <v>15000</v>
      </c>
      <c r="E791" s="579">
        <f t="shared" si="638"/>
        <v>0</v>
      </c>
      <c r="F791" s="579">
        <f t="shared" si="638"/>
        <v>0</v>
      </c>
      <c r="G791" s="579">
        <f t="shared" ref="G791:H791" si="639">SUM(G792:G793)</f>
        <v>8000</v>
      </c>
      <c r="H791" s="579">
        <f t="shared" si="639"/>
        <v>0</v>
      </c>
      <c r="I791" s="579">
        <f t="shared" ref="I791:J791" si="640">SUM(I792:I793)</f>
        <v>0</v>
      </c>
      <c r="J791" s="579">
        <f t="shared" si="640"/>
        <v>0</v>
      </c>
      <c r="K791" s="579">
        <f t="shared" ref="K791" si="641">SUM(K792:K793)</f>
        <v>0</v>
      </c>
    </row>
    <row r="792" spans="1:11" customFormat="1" ht="15" hidden="1" x14ac:dyDescent="0.25">
      <c r="A792" s="520" t="s">
        <v>172</v>
      </c>
      <c r="B792" s="521" t="s">
        <v>36</v>
      </c>
      <c r="C792" s="513"/>
      <c r="D792" s="513"/>
      <c r="E792" s="513"/>
      <c r="F792" s="513"/>
      <c r="G792" s="513"/>
      <c r="H792" s="513"/>
      <c r="I792" s="513"/>
      <c r="J792" s="513"/>
      <c r="K792" s="513"/>
    </row>
    <row r="793" spans="1:11" customFormat="1" ht="15" x14ac:dyDescent="0.25">
      <c r="A793" s="511" t="s">
        <v>173</v>
      </c>
      <c r="B793" s="535" t="s">
        <v>33</v>
      </c>
      <c r="C793" s="543">
        <v>15000</v>
      </c>
      <c r="D793" s="543">
        <v>15000</v>
      </c>
      <c r="E793" s="543"/>
      <c r="F793" s="513">
        <f t="shared" ref="F793" si="642">C793-D793+E793</f>
        <v>0</v>
      </c>
      <c r="G793" s="543">
        <v>8000</v>
      </c>
      <c r="H793" s="543"/>
      <c r="I793" s="543"/>
      <c r="J793" s="543"/>
      <c r="K793" s="543"/>
    </row>
    <row r="794" spans="1:11" customFormat="1" ht="15" hidden="1" x14ac:dyDescent="0.25">
      <c r="A794" s="519">
        <v>412</v>
      </c>
      <c r="B794" s="523" t="s">
        <v>67</v>
      </c>
      <c r="C794" s="510">
        <f t="shared" ref="C794:D794" si="643">SUM(C795)</f>
        <v>0</v>
      </c>
      <c r="D794" s="510">
        <f t="shared" si="643"/>
        <v>0</v>
      </c>
      <c r="E794" s="510"/>
      <c r="F794" s="510"/>
      <c r="G794" s="510"/>
      <c r="H794" s="510"/>
      <c r="I794" s="510"/>
      <c r="J794" s="510"/>
      <c r="K794" s="510"/>
    </row>
    <row r="795" spans="1:11" customFormat="1" ht="15" hidden="1" x14ac:dyDescent="0.25">
      <c r="A795" s="520">
        <v>4123</v>
      </c>
      <c r="B795" s="521" t="s">
        <v>68</v>
      </c>
      <c r="C795" s="513"/>
      <c r="D795" s="513"/>
      <c r="E795" s="513"/>
      <c r="F795" s="513"/>
      <c r="G795" s="513"/>
      <c r="H795" s="513"/>
      <c r="I795" s="513"/>
      <c r="J795" s="513"/>
      <c r="K795" s="513"/>
    </row>
    <row r="796" spans="1:11" customFormat="1" ht="25.5" x14ac:dyDescent="0.25">
      <c r="A796" s="505" t="s">
        <v>330</v>
      </c>
      <c r="B796" s="517" t="s">
        <v>331</v>
      </c>
      <c r="C796" s="507">
        <f>SUM(C797,C802,C807)</f>
        <v>7612000</v>
      </c>
      <c r="D796" s="507">
        <f t="shared" ref="D796:F796" si="644">SUM(D797,D802,D807)</f>
        <v>2019000</v>
      </c>
      <c r="E796" s="507">
        <f t="shared" si="644"/>
        <v>0</v>
      </c>
      <c r="F796" s="507">
        <f t="shared" si="644"/>
        <v>5593000</v>
      </c>
      <c r="G796" s="507">
        <f t="shared" ref="G796:H796" si="645">SUM(G797,G802,G807)</f>
        <v>2558000</v>
      </c>
      <c r="H796" s="507">
        <f t="shared" si="645"/>
        <v>0</v>
      </c>
      <c r="I796" s="507">
        <f t="shared" ref="I796:J796" si="646">SUM(I797,I802,I807)</f>
        <v>40000</v>
      </c>
      <c r="J796" s="507">
        <f t="shared" si="646"/>
        <v>0</v>
      </c>
      <c r="K796" s="507">
        <f t="shared" ref="K796" si="647">SUM(K797,K802,K807)</f>
        <v>0</v>
      </c>
    </row>
    <row r="797" spans="1:11" customFormat="1" ht="15" x14ac:dyDescent="0.25">
      <c r="A797" s="519">
        <v>422</v>
      </c>
      <c r="B797" s="523" t="s">
        <v>53</v>
      </c>
      <c r="C797" s="510">
        <f t="shared" ref="C797:F797" si="648">SUM(C798:C801)</f>
        <v>4640000</v>
      </c>
      <c r="D797" s="510">
        <f t="shared" si="648"/>
        <v>299000</v>
      </c>
      <c r="E797" s="510">
        <f t="shared" si="648"/>
        <v>0</v>
      </c>
      <c r="F797" s="510">
        <f t="shared" si="648"/>
        <v>4341000</v>
      </c>
      <c r="G797" s="510">
        <f t="shared" ref="G797:H797" si="649">SUM(G798:G801)</f>
        <v>568000</v>
      </c>
      <c r="H797" s="510">
        <f t="shared" si="649"/>
        <v>0</v>
      </c>
      <c r="I797" s="510">
        <f t="shared" ref="I797:J797" si="650">SUM(I798:I801)</f>
        <v>40000</v>
      </c>
      <c r="J797" s="510">
        <f t="shared" si="650"/>
        <v>0</v>
      </c>
      <c r="K797" s="510">
        <f t="shared" ref="K797" si="651">SUM(K798:K801)</f>
        <v>0</v>
      </c>
    </row>
    <row r="798" spans="1:11" customFormat="1" ht="15" x14ac:dyDescent="0.25">
      <c r="A798" s="520">
        <v>4221</v>
      </c>
      <c r="B798" s="521" t="s">
        <v>54</v>
      </c>
      <c r="C798" s="513">
        <v>1158000</v>
      </c>
      <c r="D798" s="513"/>
      <c r="E798" s="513"/>
      <c r="F798" s="513">
        <f t="shared" ref="F798:F803" si="652">C798-D798+E798</f>
        <v>1158000</v>
      </c>
      <c r="G798" s="513">
        <v>134000</v>
      </c>
      <c r="H798" s="513"/>
      <c r="I798" s="513"/>
      <c r="J798" s="513"/>
      <c r="K798" s="513"/>
    </row>
    <row r="799" spans="1:11" customFormat="1" ht="15" x14ac:dyDescent="0.25">
      <c r="A799" s="520">
        <v>4222</v>
      </c>
      <c r="B799" s="521" t="s">
        <v>58</v>
      </c>
      <c r="C799" s="513">
        <v>2594000</v>
      </c>
      <c r="D799" s="513"/>
      <c r="E799" s="513"/>
      <c r="F799" s="513">
        <f t="shared" si="652"/>
        <v>2594000</v>
      </c>
      <c r="G799" s="513">
        <v>0</v>
      </c>
      <c r="H799" s="513"/>
      <c r="I799" s="513">
        <v>10000</v>
      </c>
      <c r="J799" s="513"/>
      <c r="K799" s="513"/>
    </row>
    <row r="800" spans="1:11" customFormat="1" ht="15" x14ac:dyDescent="0.25">
      <c r="A800" s="520">
        <v>4223</v>
      </c>
      <c r="B800" s="521" t="s">
        <v>59</v>
      </c>
      <c r="C800" s="513">
        <v>589000</v>
      </c>
      <c r="D800" s="513"/>
      <c r="E800" s="513"/>
      <c r="F800" s="513">
        <f t="shared" si="652"/>
        <v>589000</v>
      </c>
      <c r="G800" s="513">
        <v>299000</v>
      </c>
      <c r="H800" s="513"/>
      <c r="I800" s="513">
        <v>30000</v>
      </c>
      <c r="J800" s="513"/>
      <c r="K800" s="513"/>
    </row>
    <row r="801" spans="1:11" customFormat="1" ht="25.5" x14ac:dyDescent="0.25">
      <c r="A801" s="520">
        <v>4227</v>
      </c>
      <c r="B801" s="521" t="s">
        <v>60</v>
      </c>
      <c r="C801" s="513">
        <v>299000</v>
      </c>
      <c r="D801" s="513">
        <v>299000</v>
      </c>
      <c r="E801" s="513"/>
      <c r="F801" s="513">
        <f t="shared" si="652"/>
        <v>0</v>
      </c>
      <c r="G801" s="513">
        <v>135000</v>
      </c>
      <c r="H801" s="513"/>
      <c r="I801" s="513"/>
      <c r="J801" s="513"/>
      <c r="K801" s="513"/>
    </row>
    <row r="802" spans="1:11" customFormat="1" ht="15" x14ac:dyDescent="0.25">
      <c r="A802" s="519">
        <v>423</v>
      </c>
      <c r="B802" s="523" t="s">
        <v>61</v>
      </c>
      <c r="C802" s="510">
        <f t="shared" ref="C802:F802" si="653">SUM(C803:C804)</f>
        <v>1990000</v>
      </c>
      <c r="D802" s="510">
        <f t="shared" si="653"/>
        <v>820000</v>
      </c>
      <c r="E802" s="510">
        <f t="shared" si="653"/>
        <v>0</v>
      </c>
      <c r="F802" s="510">
        <f t="shared" si="653"/>
        <v>1170000</v>
      </c>
      <c r="G802" s="510">
        <f t="shared" ref="G802:H802" si="654">SUM(G803:G804)</f>
        <v>0</v>
      </c>
      <c r="H802" s="510">
        <f t="shared" si="654"/>
        <v>0</v>
      </c>
      <c r="I802" s="510">
        <f t="shared" ref="I802:J802" si="655">SUM(I803:I804)</f>
        <v>0</v>
      </c>
      <c r="J802" s="510">
        <f t="shared" si="655"/>
        <v>0</v>
      </c>
      <c r="K802" s="510">
        <f t="shared" ref="K802" si="656">SUM(K803:K804)</f>
        <v>0</v>
      </c>
    </row>
    <row r="803" spans="1:11" customFormat="1" ht="15" x14ac:dyDescent="0.25">
      <c r="A803" s="520">
        <v>4231</v>
      </c>
      <c r="B803" s="521" t="s">
        <v>62</v>
      </c>
      <c r="C803" s="513">
        <v>1990000</v>
      </c>
      <c r="D803" s="513">
        <v>820000</v>
      </c>
      <c r="E803" s="513"/>
      <c r="F803" s="513">
        <f t="shared" si="652"/>
        <v>1170000</v>
      </c>
      <c r="G803" s="513">
        <v>0</v>
      </c>
      <c r="H803" s="513"/>
      <c r="I803" s="513"/>
      <c r="J803" s="513"/>
      <c r="K803" s="513"/>
    </row>
    <row r="804" spans="1:11" customFormat="1" ht="25.5" hidden="1" x14ac:dyDescent="0.25">
      <c r="A804" s="520">
        <v>4233</v>
      </c>
      <c r="B804" s="521" t="s">
        <v>227</v>
      </c>
      <c r="C804" s="513"/>
      <c r="D804" s="513"/>
      <c r="E804" s="513"/>
      <c r="F804" s="513"/>
      <c r="G804" s="513"/>
      <c r="H804" s="513"/>
      <c r="I804" s="513"/>
      <c r="J804" s="513"/>
      <c r="K804" s="513"/>
    </row>
    <row r="805" spans="1:11" customFormat="1" ht="15" hidden="1" x14ac:dyDescent="0.25">
      <c r="A805" s="519">
        <v>425</v>
      </c>
      <c r="B805" s="578" t="s">
        <v>313</v>
      </c>
      <c r="C805" s="510">
        <f t="shared" ref="C805:D805" si="657">SUM(C806)</f>
        <v>0</v>
      </c>
      <c r="D805" s="510">
        <f t="shared" si="657"/>
        <v>0</v>
      </c>
      <c r="E805" s="510"/>
      <c r="F805" s="510"/>
      <c r="G805" s="510"/>
      <c r="H805" s="510"/>
      <c r="I805" s="510"/>
      <c r="J805" s="510"/>
      <c r="K805" s="510"/>
    </row>
    <row r="806" spans="1:11" customFormat="1" ht="15" hidden="1" x14ac:dyDescent="0.25">
      <c r="A806" s="520">
        <v>4252</v>
      </c>
      <c r="B806" s="521" t="s">
        <v>63</v>
      </c>
      <c r="C806" s="513"/>
      <c r="D806" s="513"/>
      <c r="E806" s="513"/>
      <c r="F806" s="513"/>
      <c r="G806" s="513"/>
      <c r="H806" s="513"/>
      <c r="I806" s="513"/>
      <c r="J806" s="513"/>
      <c r="K806" s="513"/>
    </row>
    <row r="807" spans="1:11" customFormat="1" ht="15" x14ac:dyDescent="0.25">
      <c r="A807" s="519">
        <v>426</v>
      </c>
      <c r="B807" s="523" t="s">
        <v>73</v>
      </c>
      <c r="C807" s="510">
        <f t="shared" ref="C807:K807" si="658">SUM(C808)</f>
        <v>982000</v>
      </c>
      <c r="D807" s="510">
        <f t="shared" si="658"/>
        <v>900000</v>
      </c>
      <c r="E807" s="510">
        <f t="shared" si="658"/>
        <v>0</v>
      </c>
      <c r="F807" s="510">
        <f t="shared" si="658"/>
        <v>82000</v>
      </c>
      <c r="G807" s="510">
        <f t="shared" si="658"/>
        <v>1990000</v>
      </c>
      <c r="H807" s="510">
        <f t="shared" si="658"/>
        <v>0</v>
      </c>
      <c r="I807" s="510">
        <f t="shared" si="658"/>
        <v>0</v>
      </c>
      <c r="J807" s="510">
        <f t="shared" si="658"/>
        <v>0</v>
      </c>
      <c r="K807" s="510">
        <f t="shared" si="658"/>
        <v>0</v>
      </c>
    </row>
    <row r="808" spans="1:11" customFormat="1" ht="15" x14ac:dyDescent="0.25">
      <c r="A808" s="520">
        <v>4262</v>
      </c>
      <c r="B808" s="521" t="s">
        <v>88</v>
      </c>
      <c r="C808" s="513">
        <v>982000</v>
      </c>
      <c r="D808" s="513">
        <v>900000</v>
      </c>
      <c r="E808" s="513"/>
      <c r="F808" s="513">
        <f t="shared" ref="F808" si="659">C808-D808+E808</f>
        <v>82000</v>
      </c>
      <c r="G808" s="513">
        <v>1990000</v>
      </c>
      <c r="H808" s="513"/>
      <c r="I808" s="513"/>
      <c r="J808" s="513"/>
      <c r="K808" s="513"/>
    </row>
    <row r="809" spans="1:11" customFormat="1" ht="25.5" x14ac:dyDescent="0.25">
      <c r="A809" s="540" t="s">
        <v>332</v>
      </c>
      <c r="B809" s="541" t="s">
        <v>333</v>
      </c>
      <c r="C809" s="507">
        <f>SUM(C810)</f>
        <v>199000</v>
      </c>
      <c r="D809" s="507">
        <f t="shared" ref="D809:K809" si="660">SUM(D810)</f>
        <v>80000</v>
      </c>
      <c r="E809" s="507">
        <f t="shared" si="660"/>
        <v>0</v>
      </c>
      <c r="F809" s="507">
        <f t="shared" si="660"/>
        <v>119000</v>
      </c>
      <c r="G809" s="507">
        <f t="shared" si="660"/>
        <v>0</v>
      </c>
      <c r="H809" s="507">
        <f t="shared" si="660"/>
        <v>0</v>
      </c>
      <c r="I809" s="507">
        <f t="shared" si="660"/>
        <v>0</v>
      </c>
      <c r="J809" s="507">
        <f t="shared" si="660"/>
        <v>0</v>
      </c>
      <c r="K809" s="507">
        <f t="shared" si="660"/>
        <v>0</v>
      </c>
    </row>
    <row r="810" spans="1:11" customFormat="1" ht="25.5" x14ac:dyDescent="0.25">
      <c r="A810" s="519">
        <v>451</v>
      </c>
      <c r="B810" s="523" t="s">
        <v>55</v>
      </c>
      <c r="C810" s="510">
        <f t="shared" ref="C810:K810" si="661">SUM(C811:C811)</f>
        <v>199000</v>
      </c>
      <c r="D810" s="510">
        <f t="shared" si="661"/>
        <v>80000</v>
      </c>
      <c r="E810" s="510">
        <f t="shared" si="661"/>
        <v>0</v>
      </c>
      <c r="F810" s="510">
        <f t="shared" si="661"/>
        <v>119000</v>
      </c>
      <c r="G810" s="510">
        <f t="shared" si="661"/>
        <v>0</v>
      </c>
      <c r="H810" s="510">
        <f t="shared" si="661"/>
        <v>0</v>
      </c>
      <c r="I810" s="510">
        <f t="shared" si="661"/>
        <v>0</v>
      </c>
      <c r="J810" s="510">
        <f t="shared" si="661"/>
        <v>0</v>
      </c>
      <c r="K810" s="510">
        <f t="shared" si="661"/>
        <v>0</v>
      </c>
    </row>
    <row r="811" spans="1:11" customFormat="1" ht="25.5" x14ac:dyDescent="0.25">
      <c r="A811" s="520">
        <v>4511</v>
      </c>
      <c r="B811" s="521" t="s">
        <v>55</v>
      </c>
      <c r="C811" s="513">
        <v>199000</v>
      </c>
      <c r="D811" s="513">
        <v>80000</v>
      </c>
      <c r="E811" s="513"/>
      <c r="F811" s="513">
        <f t="shared" ref="F811" si="662">C811-D811+E811</f>
        <v>119000</v>
      </c>
      <c r="G811" s="513"/>
      <c r="H811" s="513"/>
      <c r="I811" s="513"/>
      <c r="J811" s="513"/>
      <c r="K811" s="513"/>
    </row>
    <row r="812" spans="1:11" customFormat="1" ht="24.95" customHeight="1" x14ac:dyDescent="0.25">
      <c r="A812" s="501" t="s">
        <v>81</v>
      </c>
      <c r="B812" s="502" t="s">
        <v>82</v>
      </c>
      <c r="C812" s="503">
        <f t="shared" ref="C812:K812" si="663">SUM(C813)</f>
        <v>3604000</v>
      </c>
      <c r="D812" s="503">
        <f t="shared" si="663"/>
        <v>1727000</v>
      </c>
      <c r="E812" s="503">
        <f t="shared" si="663"/>
        <v>737000</v>
      </c>
      <c r="F812" s="503">
        <f t="shared" si="663"/>
        <v>2614000</v>
      </c>
      <c r="G812" s="503">
        <f t="shared" si="663"/>
        <v>1620000</v>
      </c>
      <c r="H812" s="503">
        <f t="shared" si="663"/>
        <v>0</v>
      </c>
      <c r="I812" s="503">
        <f t="shared" si="663"/>
        <v>1500000</v>
      </c>
      <c r="J812" s="503">
        <f t="shared" si="663"/>
        <v>0</v>
      </c>
      <c r="K812" s="503">
        <f t="shared" si="663"/>
        <v>0</v>
      </c>
    </row>
    <row r="813" spans="1:11" customFormat="1" ht="18" customHeight="1" x14ac:dyDescent="0.25">
      <c r="A813" s="710" t="s">
        <v>118</v>
      </c>
      <c r="B813" s="710"/>
      <c r="C813" s="504">
        <f>SUM(C814,C823,C850,C853,C856,C869)</f>
        <v>3604000</v>
      </c>
      <c r="D813" s="504">
        <f t="shared" ref="D813:F813" si="664">SUM(D814,D823,D850,D853,D856,D869)</f>
        <v>1727000</v>
      </c>
      <c r="E813" s="504">
        <f t="shared" si="664"/>
        <v>737000</v>
      </c>
      <c r="F813" s="504">
        <f t="shared" si="664"/>
        <v>2614000</v>
      </c>
      <c r="G813" s="504">
        <f t="shared" ref="G813:H813" si="665">SUM(G814,G823,G850,G853,G856,G869)</f>
        <v>1620000</v>
      </c>
      <c r="H813" s="504">
        <f t="shared" si="665"/>
        <v>0</v>
      </c>
      <c r="I813" s="504">
        <f t="shared" ref="I813:J813" si="666">SUM(I814,I823,I850,I853,I856,I869)</f>
        <v>1500000</v>
      </c>
      <c r="J813" s="504">
        <f t="shared" si="666"/>
        <v>0</v>
      </c>
      <c r="K813" s="504">
        <f t="shared" ref="K813" si="667">SUM(K814,K823,K850,K853,K856,K869)</f>
        <v>0</v>
      </c>
    </row>
    <row r="814" spans="1:11" customFormat="1" ht="18" customHeight="1" x14ac:dyDescent="0.25">
      <c r="A814" s="516" t="s">
        <v>322</v>
      </c>
      <c r="B814" s="517" t="s">
        <v>323</v>
      </c>
      <c r="C814" s="518">
        <f>SUM(C815,C819)</f>
        <v>141000</v>
      </c>
      <c r="D814" s="518">
        <f t="shared" ref="D814:F814" si="668">SUM(D815,D819)</f>
        <v>102000</v>
      </c>
      <c r="E814" s="518">
        <f t="shared" si="668"/>
        <v>0</v>
      </c>
      <c r="F814" s="518">
        <f t="shared" si="668"/>
        <v>39000</v>
      </c>
      <c r="G814" s="518">
        <f t="shared" ref="G814:H814" si="669">SUM(G815,G819)</f>
        <v>70000</v>
      </c>
      <c r="H814" s="518">
        <f t="shared" si="669"/>
        <v>0</v>
      </c>
      <c r="I814" s="518">
        <f t="shared" ref="I814:J814" si="670">SUM(I815,I819)</f>
        <v>0</v>
      </c>
      <c r="J814" s="518">
        <f t="shared" si="670"/>
        <v>0</v>
      </c>
      <c r="K814" s="518">
        <f t="shared" ref="K814" si="671">SUM(K815,K819)</f>
        <v>0</v>
      </c>
    </row>
    <row r="815" spans="1:11" customFormat="1" ht="15" x14ac:dyDescent="0.25">
      <c r="A815" s="508">
        <v>311</v>
      </c>
      <c r="B815" s="509" t="s">
        <v>4</v>
      </c>
      <c r="C815" s="510">
        <f t="shared" ref="C815:K815" si="672">SUM(C816:C816)</f>
        <v>133000</v>
      </c>
      <c r="D815" s="510">
        <f t="shared" si="672"/>
        <v>98000</v>
      </c>
      <c r="E815" s="510">
        <f t="shared" si="672"/>
        <v>0</v>
      </c>
      <c r="F815" s="510">
        <f t="shared" si="672"/>
        <v>35000</v>
      </c>
      <c r="G815" s="510">
        <f t="shared" si="672"/>
        <v>66000</v>
      </c>
      <c r="H815" s="510">
        <f t="shared" si="672"/>
        <v>0</v>
      </c>
      <c r="I815" s="510">
        <f t="shared" si="672"/>
        <v>0</v>
      </c>
      <c r="J815" s="510">
        <f t="shared" si="672"/>
        <v>0</v>
      </c>
      <c r="K815" s="510">
        <f t="shared" si="672"/>
        <v>0</v>
      </c>
    </row>
    <row r="816" spans="1:11" customFormat="1" ht="15" x14ac:dyDescent="0.25">
      <c r="A816" s="511">
        <v>3111</v>
      </c>
      <c r="B816" s="512" t="s">
        <v>5</v>
      </c>
      <c r="C816" s="513">
        <v>133000</v>
      </c>
      <c r="D816" s="513">
        <v>98000</v>
      </c>
      <c r="E816" s="513"/>
      <c r="F816" s="513">
        <f t="shared" ref="F816" si="673">C816-D816+E816</f>
        <v>35000</v>
      </c>
      <c r="G816" s="513">
        <v>66000</v>
      </c>
      <c r="H816" s="513"/>
      <c r="I816" s="513"/>
      <c r="J816" s="513"/>
      <c r="K816" s="513"/>
    </row>
    <row r="817" spans="1:11" customFormat="1" ht="15" hidden="1" x14ac:dyDescent="0.25">
      <c r="A817" s="508">
        <v>312</v>
      </c>
      <c r="B817" s="509" t="s">
        <v>7</v>
      </c>
      <c r="C817" s="510">
        <f t="shared" ref="C817:D817" si="674">SUM(C818:C818)</f>
        <v>0</v>
      </c>
      <c r="D817" s="510">
        <f t="shared" si="674"/>
        <v>0</v>
      </c>
      <c r="E817" s="510"/>
      <c r="F817" s="510"/>
      <c r="G817" s="510"/>
      <c r="H817" s="510"/>
      <c r="I817" s="510"/>
      <c r="J817" s="510"/>
      <c r="K817" s="510"/>
    </row>
    <row r="818" spans="1:11" customFormat="1" ht="15" hidden="1" x14ac:dyDescent="0.25">
      <c r="A818" s="511">
        <v>3121</v>
      </c>
      <c r="B818" s="512" t="s">
        <v>7</v>
      </c>
      <c r="C818" s="513"/>
      <c r="D818" s="513"/>
      <c r="E818" s="513"/>
      <c r="F818" s="513"/>
      <c r="G818" s="513"/>
      <c r="H818" s="513"/>
      <c r="I818" s="513"/>
      <c r="J818" s="513"/>
      <c r="K818" s="513"/>
    </row>
    <row r="819" spans="1:11" customFormat="1" ht="15" x14ac:dyDescent="0.25">
      <c r="A819" s="508">
        <v>313</v>
      </c>
      <c r="B819" s="509" t="s">
        <v>8</v>
      </c>
      <c r="C819" s="510">
        <f t="shared" ref="C819:F819" si="675">SUM(C820:C822)</f>
        <v>8000</v>
      </c>
      <c r="D819" s="510">
        <f t="shared" si="675"/>
        <v>4000</v>
      </c>
      <c r="E819" s="510">
        <f t="shared" si="675"/>
        <v>0</v>
      </c>
      <c r="F819" s="510">
        <f t="shared" si="675"/>
        <v>4000</v>
      </c>
      <c r="G819" s="510">
        <f t="shared" ref="G819:H819" si="676">SUM(G820:G822)</f>
        <v>4000</v>
      </c>
      <c r="H819" s="510">
        <f t="shared" si="676"/>
        <v>0</v>
      </c>
      <c r="I819" s="510">
        <f t="shared" ref="I819:J819" si="677">SUM(I820:I822)</f>
        <v>0</v>
      </c>
      <c r="J819" s="510">
        <f t="shared" si="677"/>
        <v>0</v>
      </c>
      <c r="K819" s="510">
        <f t="shared" ref="K819" si="678">SUM(K820:K822)</f>
        <v>0</v>
      </c>
    </row>
    <row r="820" spans="1:11" customFormat="1" ht="15" hidden="1" x14ac:dyDescent="0.25">
      <c r="A820" s="511">
        <v>3131</v>
      </c>
      <c r="B820" s="512" t="s">
        <v>9</v>
      </c>
      <c r="C820" s="513"/>
      <c r="D820" s="513"/>
      <c r="E820" s="513"/>
      <c r="F820" s="513"/>
      <c r="G820" s="513"/>
      <c r="H820" s="513"/>
      <c r="I820" s="513"/>
      <c r="J820" s="513"/>
      <c r="K820" s="513"/>
    </row>
    <row r="821" spans="1:11" customFormat="1" ht="15" x14ac:dyDescent="0.25">
      <c r="A821" s="511">
        <v>3132</v>
      </c>
      <c r="B821" s="512" t="s">
        <v>10</v>
      </c>
      <c r="C821" s="513">
        <v>8000</v>
      </c>
      <c r="D821" s="513">
        <v>4000</v>
      </c>
      <c r="E821" s="513"/>
      <c r="F821" s="513">
        <f t="shared" ref="F821" si="679">C821-D821+E821</f>
        <v>4000</v>
      </c>
      <c r="G821" s="513">
        <v>4000</v>
      </c>
      <c r="H821" s="513"/>
      <c r="I821" s="513"/>
      <c r="J821" s="513"/>
      <c r="K821" s="513"/>
    </row>
    <row r="822" spans="1:11" customFormat="1" ht="15" hidden="1" x14ac:dyDescent="0.25">
      <c r="A822" s="511">
        <v>3133</v>
      </c>
      <c r="B822" s="512" t="s">
        <v>11</v>
      </c>
      <c r="C822" s="513"/>
      <c r="D822" s="513"/>
      <c r="E822" s="513"/>
      <c r="F822" s="513"/>
      <c r="G822" s="513"/>
      <c r="H822" s="513"/>
      <c r="I822" s="513"/>
      <c r="J822" s="513"/>
      <c r="K822" s="513"/>
    </row>
    <row r="823" spans="1:11" customFormat="1" ht="15" x14ac:dyDescent="0.25">
      <c r="A823" s="516" t="s">
        <v>324</v>
      </c>
      <c r="B823" s="516" t="s">
        <v>325</v>
      </c>
      <c r="C823" s="549">
        <f>SUM(C824,C829,C835,C845,C847)</f>
        <v>613000</v>
      </c>
      <c r="D823" s="549">
        <f t="shared" ref="D823:H823" si="680">SUM(D824,D829,D835,D845,D847)</f>
        <v>208000</v>
      </c>
      <c r="E823" s="549">
        <f t="shared" si="680"/>
        <v>344000</v>
      </c>
      <c r="F823" s="549">
        <f t="shared" si="680"/>
        <v>749000</v>
      </c>
      <c r="G823" s="549">
        <f t="shared" si="680"/>
        <v>447000</v>
      </c>
      <c r="H823" s="549">
        <f t="shared" si="680"/>
        <v>0</v>
      </c>
      <c r="I823" s="549">
        <f t="shared" ref="I823:J823" si="681">SUM(I824,I829,I835,I845)</f>
        <v>500000</v>
      </c>
      <c r="J823" s="549">
        <f t="shared" si="681"/>
        <v>0</v>
      </c>
      <c r="K823" s="549">
        <f t="shared" ref="K823" si="682">SUM(K824,K829,K835,K845)</f>
        <v>0</v>
      </c>
    </row>
    <row r="824" spans="1:11" customFormat="1" ht="15" x14ac:dyDescent="0.25">
      <c r="A824" s="508">
        <v>321</v>
      </c>
      <c r="B824" s="509" t="s">
        <v>12</v>
      </c>
      <c r="C824" s="510">
        <f t="shared" ref="C824:F824" si="683">SUM(C825:C828)</f>
        <v>57000</v>
      </c>
      <c r="D824" s="510">
        <f t="shared" si="683"/>
        <v>48000</v>
      </c>
      <c r="E824" s="510">
        <f t="shared" si="683"/>
        <v>0</v>
      </c>
      <c r="F824" s="510">
        <f t="shared" si="683"/>
        <v>9000</v>
      </c>
      <c r="G824" s="510">
        <f t="shared" ref="G824:H824" si="684">SUM(G825:G828)</f>
        <v>29000</v>
      </c>
      <c r="H824" s="510">
        <f t="shared" si="684"/>
        <v>0</v>
      </c>
      <c r="I824" s="510">
        <f t="shared" ref="I824:J824" si="685">SUM(I825:I828)</f>
        <v>50000</v>
      </c>
      <c r="J824" s="510">
        <f t="shared" si="685"/>
        <v>0</v>
      </c>
      <c r="K824" s="510">
        <f t="shared" ref="K824" si="686">SUM(K825:K828)</f>
        <v>0</v>
      </c>
    </row>
    <row r="825" spans="1:11" customFormat="1" ht="15" x14ac:dyDescent="0.25">
      <c r="A825" s="511">
        <v>3211</v>
      </c>
      <c r="B825" s="512" t="s">
        <v>13</v>
      </c>
      <c r="C825" s="513">
        <v>13000</v>
      </c>
      <c r="D825" s="513">
        <v>9000</v>
      </c>
      <c r="E825" s="513"/>
      <c r="F825" s="513">
        <f t="shared" ref="F825:F827" si="687">C825-D825+E825</f>
        <v>4000</v>
      </c>
      <c r="G825" s="513">
        <v>8000</v>
      </c>
      <c r="H825" s="513"/>
      <c r="I825" s="513">
        <v>30000</v>
      </c>
      <c r="J825" s="513"/>
      <c r="K825" s="513"/>
    </row>
    <row r="826" spans="1:11" customFormat="1" ht="25.5" x14ac:dyDescent="0.25">
      <c r="A826" s="511">
        <v>3212</v>
      </c>
      <c r="B826" s="512" t="s">
        <v>14</v>
      </c>
      <c r="C826" s="513">
        <v>40000</v>
      </c>
      <c r="D826" s="513">
        <v>39000</v>
      </c>
      <c r="E826" s="513"/>
      <c r="F826" s="513">
        <f t="shared" si="687"/>
        <v>1000</v>
      </c>
      <c r="G826" s="513">
        <v>18000</v>
      </c>
      <c r="H826" s="513"/>
      <c r="I826" s="513">
        <v>10000</v>
      </c>
      <c r="J826" s="513"/>
      <c r="K826" s="513"/>
    </row>
    <row r="827" spans="1:11" customFormat="1" ht="15" x14ac:dyDescent="0.25">
      <c r="A827" s="511">
        <v>3213</v>
      </c>
      <c r="B827" s="512" t="s">
        <v>15</v>
      </c>
      <c r="C827" s="513">
        <v>4000</v>
      </c>
      <c r="D827" s="513"/>
      <c r="E827" s="513"/>
      <c r="F827" s="513">
        <f t="shared" si="687"/>
        <v>4000</v>
      </c>
      <c r="G827" s="513">
        <v>3000</v>
      </c>
      <c r="H827" s="513"/>
      <c r="I827" s="513">
        <v>10000</v>
      </c>
      <c r="J827" s="513"/>
      <c r="K827" s="513"/>
    </row>
    <row r="828" spans="1:11" customFormat="1" ht="15" hidden="1" x14ac:dyDescent="0.25">
      <c r="A828" s="511">
        <v>3214</v>
      </c>
      <c r="B828" s="512" t="s">
        <v>121</v>
      </c>
      <c r="C828" s="513"/>
      <c r="D828" s="513"/>
      <c r="E828" s="513"/>
      <c r="F828" s="513"/>
      <c r="G828" s="513"/>
      <c r="H828" s="513"/>
      <c r="I828" s="513"/>
      <c r="J828" s="513"/>
      <c r="K828" s="513"/>
    </row>
    <row r="829" spans="1:11" customFormat="1" ht="15" x14ac:dyDescent="0.25">
      <c r="A829" s="508">
        <v>322</v>
      </c>
      <c r="B829" s="509" t="s">
        <v>16</v>
      </c>
      <c r="C829" s="510">
        <f t="shared" ref="C829:F829" si="688">SUM(C830:C834)</f>
        <v>74000</v>
      </c>
      <c r="D829" s="510">
        <f t="shared" si="688"/>
        <v>0</v>
      </c>
      <c r="E829" s="510">
        <f t="shared" si="688"/>
        <v>104000</v>
      </c>
      <c r="F829" s="510">
        <f t="shared" si="688"/>
        <v>178000</v>
      </c>
      <c r="G829" s="510">
        <f t="shared" ref="G829:H829" si="689">SUM(G830:G834)</f>
        <v>23000</v>
      </c>
      <c r="H829" s="510">
        <f t="shared" si="689"/>
        <v>0</v>
      </c>
      <c r="I829" s="510">
        <f t="shared" ref="I829:J829" si="690">SUM(I830:I834)</f>
        <v>100000</v>
      </c>
      <c r="J829" s="510">
        <f t="shared" si="690"/>
        <v>0</v>
      </c>
      <c r="K829" s="510">
        <f t="shared" ref="K829" si="691">SUM(K830:K834)</f>
        <v>0</v>
      </c>
    </row>
    <row r="830" spans="1:11" customFormat="1" ht="15" x14ac:dyDescent="0.25">
      <c r="A830" s="511">
        <v>3221</v>
      </c>
      <c r="B830" s="512" t="s">
        <v>17</v>
      </c>
      <c r="C830" s="513">
        <v>2000</v>
      </c>
      <c r="D830" s="513"/>
      <c r="E830" s="513">
        <v>1000</v>
      </c>
      <c r="F830" s="513">
        <f t="shared" ref="F830:F848" si="692">C830-D830+E830</f>
        <v>3000</v>
      </c>
      <c r="G830" s="513">
        <v>2000</v>
      </c>
      <c r="H830" s="513"/>
      <c r="I830" s="513">
        <v>10000</v>
      </c>
      <c r="J830" s="513"/>
      <c r="K830" s="513"/>
    </row>
    <row r="831" spans="1:11" customFormat="1" ht="15" x14ac:dyDescent="0.25">
      <c r="A831" s="511">
        <v>3222</v>
      </c>
      <c r="B831" s="594" t="s">
        <v>18</v>
      </c>
      <c r="C831" s="513"/>
      <c r="D831" s="513"/>
      <c r="E831" s="513">
        <v>3000</v>
      </c>
      <c r="F831" s="513">
        <f t="shared" si="692"/>
        <v>3000</v>
      </c>
      <c r="G831" s="513"/>
      <c r="H831" s="513"/>
      <c r="I831" s="513"/>
      <c r="J831" s="513"/>
      <c r="K831" s="513"/>
    </row>
    <row r="832" spans="1:11" customFormat="1" ht="15" x14ac:dyDescent="0.25">
      <c r="A832" s="511">
        <v>3223</v>
      </c>
      <c r="B832" s="512" t="s">
        <v>19</v>
      </c>
      <c r="C832" s="513">
        <v>60000</v>
      </c>
      <c r="D832" s="513"/>
      <c r="E832" s="513">
        <v>100000</v>
      </c>
      <c r="F832" s="513">
        <f t="shared" si="692"/>
        <v>160000</v>
      </c>
      <c r="G832" s="513">
        <v>13000</v>
      </c>
      <c r="H832" s="513"/>
      <c r="I832" s="513">
        <v>80000</v>
      </c>
      <c r="J832" s="513"/>
      <c r="K832" s="513"/>
    </row>
    <row r="833" spans="1:11" customFormat="1" ht="15" hidden="1" x14ac:dyDescent="0.25">
      <c r="A833" s="511">
        <v>3224</v>
      </c>
      <c r="B833" s="535" t="s">
        <v>112</v>
      </c>
      <c r="C833" s="513"/>
      <c r="D833" s="513"/>
      <c r="E833" s="513"/>
      <c r="F833" s="513">
        <f t="shared" si="692"/>
        <v>0</v>
      </c>
      <c r="G833" s="513"/>
      <c r="H833" s="513"/>
      <c r="I833" s="513"/>
      <c r="J833" s="513"/>
      <c r="K833" s="513"/>
    </row>
    <row r="834" spans="1:11" customFormat="1" ht="15" x14ac:dyDescent="0.25">
      <c r="A834" s="511">
        <v>3225</v>
      </c>
      <c r="B834" s="512" t="s">
        <v>21</v>
      </c>
      <c r="C834" s="513">
        <v>12000</v>
      </c>
      <c r="D834" s="513"/>
      <c r="E834" s="513"/>
      <c r="F834" s="513">
        <f t="shared" si="692"/>
        <v>12000</v>
      </c>
      <c r="G834" s="513">
        <v>8000</v>
      </c>
      <c r="H834" s="513"/>
      <c r="I834" s="513">
        <v>10000</v>
      </c>
      <c r="J834" s="513"/>
      <c r="K834" s="513"/>
    </row>
    <row r="835" spans="1:11" customFormat="1" ht="15" x14ac:dyDescent="0.25">
      <c r="A835" s="508">
        <v>323</v>
      </c>
      <c r="B835" s="509" t="s">
        <v>23</v>
      </c>
      <c r="C835" s="510">
        <f t="shared" ref="C835:F835" si="693">SUM(C836:C844)</f>
        <v>469000</v>
      </c>
      <c r="D835" s="510">
        <f t="shared" si="693"/>
        <v>150000</v>
      </c>
      <c r="E835" s="510">
        <f t="shared" si="693"/>
        <v>238000</v>
      </c>
      <c r="F835" s="510">
        <f t="shared" si="693"/>
        <v>557000</v>
      </c>
      <c r="G835" s="510">
        <f t="shared" ref="G835:H835" si="694">SUM(G836:G844)</f>
        <v>315000</v>
      </c>
      <c r="H835" s="510">
        <f t="shared" si="694"/>
        <v>0</v>
      </c>
      <c r="I835" s="510">
        <f t="shared" ref="I835:J835" si="695">SUM(I836:I844)</f>
        <v>350000</v>
      </c>
      <c r="J835" s="510">
        <f t="shared" si="695"/>
        <v>0</v>
      </c>
      <c r="K835" s="510">
        <f t="shared" ref="K835" si="696">SUM(K836:K844)</f>
        <v>0</v>
      </c>
    </row>
    <row r="836" spans="1:11" customFormat="1" ht="15" x14ac:dyDescent="0.25">
      <c r="A836" s="511">
        <v>3231</v>
      </c>
      <c r="B836" s="512" t="s">
        <v>24</v>
      </c>
      <c r="C836" s="513">
        <v>54000</v>
      </c>
      <c r="D836" s="513">
        <v>52000</v>
      </c>
      <c r="E836" s="513"/>
      <c r="F836" s="513">
        <f t="shared" si="692"/>
        <v>2000</v>
      </c>
      <c r="G836" s="513">
        <v>28000</v>
      </c>
      <c r="H836" s="513"/>
      <c r="I836" s="513">
        <v>10000</v>
      </c>
      <c r="J836" s="513"/>
      <c r="K836" s="513"/>
    </row>
    <row r="837" spans="1:11" customFormat="1" ht="15" x14ac:dyDescent="0.25">
      <c r="A837" s="511">
        <v>3232</v>
      </c>
      <c r="B837" s="512" t="s">
        <v>25</v>
      </c>
      <c r="C837" s="513">
        <v>193000</v>
      </c>
      <c r="D837" s="513"/>
      <c r="E837" s="513">
        <v>7000</v>
      </c>
      <c r="F837" s="513">
        <f t="shared" si="692"/>
        <v>200000</v>
      </c>
      <c r="G837" s="513">
        <v>40000</v>
      </c>
      <c r="H837" s="513"/>
      <c r="I837" s="513">
        <v>10000</v>
      </c>
      <c r="J837" s="513"/>
      <c r="K837" s="513"/>
    </row>
    <row r="838" spans="1:11" customFormat="1" ht="15" x14ac:dyDescent="0.25">
      <c r="A838" s="511">
        <v>3233</v>
      </c>
      <c r="B838" s="512" t="s">
        <v>26</v>
      </c>
      <c r="C838" s="513">
        <v>9000</v>
      </c>
      <c r="D838" s="513"/>
      <c r="E838" s="513">
        <v>11000</v>
      </c>
      <c r="F838" s="513">
        <f t="shared" si="692"/>
        <v>20000</v>
      </c>
      <c r="G838" s="513">
        <v>6000</v>
      </c>
      <c r="H838" s="513"/>
      <c r="I838" s="513">
        <v>30000</v>
      </c>
      <c r="J838" s="513"/>
      <c r="K838" s="513"/>
    </row>
    <row r="839" spans="1:11" customFormat="1" ht="15" x14ac:dyDescent="0.25">
      <c r="A839" s="511">
        <v>3234</v>
      </c>
      <c r="B839" s="512" t="s">
        <v>27</v>
      </c>
      <c r="C839" s="513">
        <v>14000</v>
      </c>
      <c r="D839" s="513"/>
      <c r="E839" s="513">
        <v>70000</v>
      </c>
      <c r="F839" s="513">
        <f t="shared" si="692"/>
        <v>84000</v>
      </c>
      <c r="G839" s="513">
        <v>10000</v>
      </c>
      <c r="H839" s="513"/>
      <c r="I839" s="513"/>
      <c r="J839" s="513"/>
      <c r="K839" s="513"/>
    </row>
    <row r="840" spans="1:11" customFormat="1" ht="15" customHeight="1" x14ac:dyDescent="0.25">
      <c r="A840" s="511">
        <v>3235</v>
      </c>
      <c r="B840" s="512" t="s">
        <v>28</v>
      </c>
      <c r="C840" s="513">
        <v>10000</v>
      </c>
      <c r="D840" s="513"/>
      <c r="E840" s="513"/>
      <c r="F840" s="513">
        <f t="shared" si="692"/>
        <v>10000</v>
      </c>
      <c r="G840" s="513"/>
      <c r="H840" s="513"/>
      <c r="I840" s="513"/>
      <c r="J840" s="513"/>
      <c r="K840" s="513"/>
    </row>
    <row r="841" spans="1:11" customFormat="1" ht="15" x14ac:dyDescent="0.25">
      <c r="A841" s="511">
        <v>3236</v>
      </c>
      <c r="B841" s="512" t="s">
        <v>29</v>
      </c>
      <c r="C841" s="513">
        <v>7000</v>
      </c>
      <c r="D841" s="513">
        <v>5000</v>
      </c>
      <c r="E841" s="513"/>
      <c r="F841" s="513">
        <f t="shared" si="692"/>
        <v>2000</v>
      </c>
      <c r="G841" s="513">
        <v>4000</v>
      </c>
      <c r="H841" s="513"/>
      <c r="I841" s="513"/>
      <c r="J841" s="513"/>
      <c r="K841" s="513"/>
    </row>
    <row r="842" spans="1:11" customFormat="1" ht="15" x14ac:dyDescent="0.25">
      <c r="A842" s="511">
        <v>3237</v>
      </c>
      <c r="B842" s="512" t="s">
        <v>30</v>
      </c>
      <c r="C842" s="513">
        <v>152000</v>
      </c>
      <c r="D842" s="513">
        <v>93000</v>
      </c>
      <c r="E842" s="513"/>
      <c r="F842" s="513">
        <f t="shared" si="692"/>
        <v>59000</v>
      </c>
      <c r="G842" s="513">
        <v>25000</v>
      </c>
      <c r="H842" s="513"/>
      <c r="I842" s="513">
        <v>100000</v>
      </c>
      <c r="J842" s="513"/>
      <c r="K842" s="513"/>
    </row>
    <row r="843" spans="1:11" customFormat="1" ht="15" x14ac:dyDescent="0.25">
      <c r="A843" s="511">
        <v>3238</v>
      </c>
      <c r="B843" s="512" t="s">
        <v>70</v>
      </c>
      <c r="C843" s="513">
        <v>10000</v>
      </c>
      <c r="D843" s="513"/>
      <c r="E843" s="513">
        <v>150000</v>
      </c>
      <c r="F843" s="513">
        <f t="shared" si="692"/>
        <v>160000</v>
      </c>
      <c r="G843" s="513">
        <v>120000</v>
      </c>
      <c r="H843" s="513"/>
      <c r="I843" s="522">
        <f>800000-600000</f>
        <v>200000</v>
      </c>
      <c r="J843" s="513"/>
      <c r="K843" s="513"/>
    </row>
    <row r="844" spans="1:11" customFormat="1" ht="15" x14ac:dyDescent="0.25">
      <c r="A844" s="511">
        <v>3239</v>
      </c>
      <c r="B844" s="512" t="s">
        <v>31</v>
      </c>
      <c r="C844" s="513">
        <v>20000</v>
      </c>
      <c r="D844" s="513"/>
      <c r="E844" s="513"/>
      <c r="F844" s="513">
        <f t="shared" si="692"/>
        <v>20000</v>
      </c>
      <c r="G844" s="513">
        <v>82000</v>
      </c>
      <c r="H844" s="513"/>
      <c r="I844" s="513"/>
      <c r="J844" s="513"/>
      <c r="K844" s="513"/>
    </row>
    <row r="845" spans="1:11" customFormat="1" ht="25.5" customHeight="1" x14ac:dyDescent="0.25">
      <c r="A845" s="519" t="s">
        <v>168</v>
      </c>
      <c r="B845" s="523" t="s">
        <v>32</v>
      </c>
      <c r="C845" s="510">
        <f>SUM(C846)</f>
        <v>10000</v>
      </c>
      <c r="D845" s="510">
        <f t="shared" ref="D845:F845" si="697">SUM(D846)</f>
        <v>10000</v>
      </c>
      <c r="E845" s="510">
        <f t="shared" si="697"/>
        <v>0</v>
      </c>
      <c r="F845" s="510">
        <f t="shared" si="697"/>
        <v>0</v>
      </c>
      <c r="G845" s="510">
        <f t="shared" ref="G845:H845" si="698">SUM(G846:G848)</f>
        <v>80000</v>
      </c>
      <c r="H845" s="510">
        <f t="shared" si="698"/>
        <v>0</v>
      </c>
      <c r="I845" s="510">
        <f t="shared" ref="I845:J845" si="699">SUM(I846:I848)</f>
        <v>0</v>
      </c>
      <c r="J845" s="510">
        <f t="shared" si="699"/>
        <v>0</v>
      </c>
      <c r="K845" s="510">
        <f t="shared" ref="K845" si="700">SUM(K846:K848)</f>
        <v>0</v>
      </c>
    </row>
    <row r="846" spans="1:11" customFormat="1" ht="25.5" x14ac:dyDescent="0.25">
      <c r="A846" s="520" t="s">
        <v>169</v>
      </c>
      <c r="B846" s="521" t="s">
        <v>32</v>
      </c>
      <c r="C846" s="513">
        <v>10000</v>
      </c>
      <c r="D846" s="513">
        <v>10000</v>
      </c>
      <c r="E846" s="513"/>
      <c r="F846" s="513">
        <f t="shared" si="692"/>
        <v>0</v>
      </c>
      <c r="G846" s="513">
        <v>80000</v>
      </c>
      <c r="H846" s="513"/>
      <c r="I846" s="513"/>
      <c r="J846" s="513"/>
      <c r="K846" s="513"/>
    </row>
    <row r="847" spans="1:11" customFormat="1" ht="15" x14ac:dyDescent="0.25">
      <c r="A847" s="529" t="s">
        <v>170</v>
      </c>
      <c r="B847" s="529" t="s">
        <v>33</v>
      </c>
      <c r="C847" s="579">
        <f>SUM(C848)</f>
        <v>3000</v>
      </c>
      <c r="D847" s="579">
        <f t="shared" ref="D847:F847" si="701">SUM(D848)</f>
        <v>0</v>
      </c>
      <c r="E847" s="579">
        <f t="shared" si="701"/>
        <v>2000</v>
      </c>
      <c r="F847" s="579">
        <f t="shared" si="701"/>
        <v>5000</v>
      </c>
      <c r="G847" s="579"/>
      <c r="H847" s="579"/>
      <c r="I847" s="579"/>
      <c r="J847" s="579"/>
      <c r="K847" s="579"/>
    </row>
    <row r="848" spans="1:11" customFormat="1" ht="15.75" customHeight="1" x14ac:dyDescent="0.25">
      <c r="A848" s="520" t="s">
        <v>172</v>
      </c>
      <c r="B848" s="521" t="s">
        <v>36</v>
      </c>
      <c r="C848" s="513">
        <v>3000</v>
      </c>
      <c r="D848" s="513"/>
      <c r="E848" s="513">
        <v>2000</v>
      </c>
      <c r="F848" s="513">
        <f t="shared" si="692"/>
        <v>5000</v>
      </c>
      <c r="G848" s="513"/>
      <c r="H848" s="513"/>
      <c r="I848" s="513"/>
      <c r="J848" s="513"/>
      <c r="K848" s="513"/>
    </row>
    <row r="849" spans="1:11" customFormat="1" ht="1.5" hidden="1" customHeight="1" x14ac:dyDescent="0.25">
      <c r="A849" s="520">
        <v>3299</v>
      </c>
      <c r="B849" s="521" t="s">
        <v>33</v>
      </c>
      <c r="C849" s="513"/>
      <c r="D849" s="513"/>
      <c r="E849" s="513"/>
      <c r="F849" s="513"/>
      <c r="G849" s="513"/>
      <c r="H849" s="513"/>
      <c r="I849" s="513"/>
      <c r="J849" s="513"/>
      <c r="K849" s="513"/>
    </row>
    <row r="850" spans="1:11" customFormat="1" ht="25.5" hidden="1" x14ac:dyDescent="0.25">
      <c r="A850" s="536">
        <v>36</v>
      </c>
      <c r="B850" s="537" t="s">
        <v>341</v>
      </c>
      <c r="C850" s="576">
        <f>SUM(C851)</f>
        <v>0</v>
      </c>
      <c r="D850" s="576">
        <f t="shared" ref="D850:K850" si="702">SUM(D851)</f>
        <v>0</v>
      </c>
      <c r="E850" s="576">
        <f t="shared" si="702"/>
        <v>0</v>
      </c>
      <c r="F850" s="576">
        <f t="shared" si="702"/>
        <v>0</v>
      </c>
      <c r="G850" s="576">
        <f t="shared" si="702"/>
        <v>709000</v>
      </c>
      <c r="H850" s="576">
        <f t="shared" si="702"/>
        <v>0</v>
      </c>
      <c r="I850" s="576">
        <f t="shared" si="702"/>
        <v>0</v>
      </c>
      <c r="J850" s="576">
        <f t="shared" si="702"/>
        <v>0</v>
      </c>
      <c r="K850" s="576">
        <f t="shared" si="702"/>
        <v>0</v>
      </c>
    </row>
    <row r="851" spans="1:11" customFormat="1" ht="25.5" hidden="1" x14ac:dyDescent="0.25">
      <c r="A851" s="508">
        <v>369</v>
      </c>
      <c r="B851" s="509" t="s">
        <v>242</v>
      </c>
      <c r="C851" s="579">
        <f t="shared" ref="C851:K851" si="703">SUM(C852)</f>
        <v>0</v>
      </c>
      <c r="D851" s="579">
        <f t="shared" si="703"/>
        <v>0</v>
      </c>
      <c r="E851" s="579">
        <f t="shared" si="703"/>
        <v>0</v>
      </c>
      <c r="F851" s="579">
        <f t="shared" si="703"/>
        <v>0</v>
      </c>
      <c r="G851" s="579">
        <f t="shared" si="703"/>
        <v>709000</v>
      </c>
      <c r="H851" s="579">
        <f t="shared" si="703"/>
        <v>0</v>
      </c>
      <c r="I851" s="579">
        <f t="shared" si="703"/>
        <v>0</v>
      </c>
      <c r="J851" s="579">
        <f t="shared" si="703"/>
        <v>0</v>
      </c>
      <c r="K851" s="579">
        <f t="shared" si="703"/>
        <v>0</v>
      </c>
    </row>
    <row r="852" spans="1:11" customFormat="1" ht="38.25" hidden="1" x14ac:dyDescent="0.25">
      <c r="A852" s="520">
        <v>3693</v>
      </c>
      <c r="B852" s="521" t="s">
        <v>374</v>
      </c>
      <c r="C852" s="513"/>
      <c r="D852" s="513"/>
      <c r="E852" s="513"/>
      <c r="F852" s="513">
        <f t="shared" ref="F852" si="704">C852-D852+E852</f>
        <v>0</v>
      </c>
      <c r="G852" s="513">
        <v>709000</v>
      </c>
      <c r="H852" s="513"/>
      <c r="I852" s="513"/>
      <c r="J852" s="513"/>
      <c r="K852" s="513"/>
    </row>
    <row r="853" spans="1:11" customFormat="1" ht="15" x14ac:dyDescent="0.25">
      <c r="A853" s="505">
        <v>38</v>
      </c>
      <c r="B853" s="517" t="s">
        <v>321</v>
      </c>
      <c r="C853" s="549">
        <f>SUM(C854)</f>
        <v>337000</v>
      </c>
      <c r="D853" s="549">
        <f t="shared" ref="D853:K853" si="705">SUM(D854)</f>
        <v>225000</v>
      </c>
      <c r="E853" s="549">
        <f t="shared" si="705"/>
        <v>0</v>
      </c>
      <c r="F853" s="549">
        <f t="shared" si="705"/>
        <v>112000</v>
      </c>
      <c r="G853" s="549">
        <f t="shared" si="705"/>
        <v>31000</v>
      </c>
      <c r="H853" s="549">
        <f t="shared" si="705"/>
        <v>0</v>
      </c>
      <c r="I853" s="549">
        <f t="shared" si="705"/>
        <v>0</v>
      </c>
      <c r="J853" s="549">
        <f t="shared" si="705"/>
        <v>0</v>
      </c>
      <c r="K853" s="549">
        <f t="shared" si="705"/>
        <v>0</v>
      </c>
    </row>
    <row r="854" spans="1:11" customFormat="1" ht="15" x14ac:dyDescent="0.25">
      <c r="A854" s="508">
        <v>381</v>
      </c>
      <c r="B854" s="509" t="s">
        <v>46</v>
      </c>
      <c r="C854" s="510">
        <f t="shared" ref="C854:K854" si="706">SUM(C855)</f>
        <v>337000</v>
      </c>
      <c r="D854" s="510">
        <f t="shared" si="706"/>
        <v>225000</v>
      </c>
      <c r="E854" s="510">
        <f t="shared" si="706"/>
        <v>0</v>
      </c>
      <c r="F854" s="510">
        <f t="shared" si="706"/>
        <v>112000</v>
      </c>
      <c r="G854" s="510">
        <f t="shared" si="706"/>
        <v>31000</v>
      </c>
      <c r="H854" s="510">
        <f t="shared" si="706"/>
        <v>0</v>
      </c>
      <c r="I854" s="510">
        <f t="shared" si="706"/>
        <v>0</v>
      </c>
      <c r="J854" s="510">
        <f t="shared" si="706"/>
        <v>0</v>
      </c>
      <c r="K854" s="510">
        <f t="shared" si="706"/>
        <v>0</v>
      </c>
    </row>
    <row r="855" spans="1:11" customFormat="1" ht="15" x14ac:dyDescent="0.25">
      <c r="A855" s="511">
        <v>3813</v>
      </c>
      <c r="B855" s="535" t="s">
        <v>119</v>
      </c>
      <c r="C855" s="513">
        <v>337000</v>
      </c>
      <c r="D855" s="513">
        <v>225000</v>
      </c>
      <c r="E855" s="513"/>
      <c r="F855" s="513">
        <f t="shared" ref="F855" si="707">C855-D855+E855</f>
        <v>112000</v>
      </c>
      <c r="G855" s="513">
        <v>31000</v>
      </c>
      <c r="H855" s="513"/>
      <c r="I855" s="513"/>
      <c r="J855" s="513"/>
      <c r="K855" s="513"/>
    </row>
    <row r="856" spans="1:11" customFormat="1" ht="25.5" x14ac:dyDescent="0.25">
      <c r="A856" s="505" t="s">
        <v>330</v>
      </c>
      <c r="B856" s="517" t="s">
        <v>331</v>
      </c>
      <c r="C856" s="507">
        <f>SUM(C857,C860,C867)</f>
        <v>1513000</v>
      </c>
      <c r="D856" s="507">
        <f t="shared" ref="D856:F856" si="708">SUM(D857,D860,D867)</f>
        <v>592000</v>
      </c>
      <c r="E856" s="507">
        <f t="shared" si="708"/>
        <v>393000</v>
      </c>
      <c r="F856" s="507">
        <f t="shared" si="708"/>
        <v>1314000</v>
      </c>
      <c r="G856" s="507">
        <f t="shared" ref="G856:H856" si="709">SUM(G857,G860,G867)</f>
        <v>230000</v>
      </c>
      <c r="H856" s="507">
        <f t="shared" si="709"/>
        <v>0</v>
      </c>
      <c r="I856" s="507">
        <f t="shared" ref="I856:J856" si="710">SUM(I857,I860,I867)</f>
        <v>500000</v>
      </c>
      <c r="J856" s="507">
        <f t="shared" si="710"/>
        <v>0</v>
      </c>
      <c r="K856" s="507">
        <f t="shared" ref="K856" si="711">SUM(K857,K860,K867)</f>
        <v>0</v>
      </c>
    </row>
    <row r="857" spans="1:11" customFormat="1" ht="15" x14ac:dyDescent="0.25">
      <c r="A857" s="519">
        <v>421</v>
      </c>
      <c r="B857" s="523" t="s">
        <v>51</v>
      </c>
      <c r="C857" s="510">
        <f t="shared" ref="C857:F857" si="712">SUM(C859)</f>
        <v>18000</v>
      </c>
      <c r="D857" s="510">
        <f t="shared" si="712"/>
        <v>0</v>
      </c>
      <c r="E857" s="510">
        <f t="shared" si="712"/>
        <v>382000</v>
      </c>
      <c r="F857" s="510">
        <f t="shared" si="712"/>
        <v>400000</v>
      </c>
      <c r="G857" s="510">
        <f t="shared" ref="G857:H857" si="713">SUM(G859)</f>
        <v>68000</v>
      </c>
      <c r="H857" s="510">
        <f t="shared" si="713"/>
        <v>0</v>
      </c>
      <c r="I857" s="510">
        <f t="shared" ref="I857:J857" si="714">SUM(I859)</f>
        <v>0</v>
      </c>
      <c r="J857" s="510">
        <f t="shared" si="714"/>
        <v>0</v>
      </c>
      <c r="K857" s="510">
        <f t="shared" ref="K857" si="715">SUM(K859)</f>
        <v>0</v>
      </c>
    </row>
    <row r="858" spans="1:11" customFormat="1" ht="15" hidden="1" x14ac:dyDescent="0.25">
      <c r="A858" s="520">
        <v>4211</v>
      </c>
      <c r="B858" s="521" t="s">
        <v>224</v>
      </c>
      <c r="C858" s="513"/>
      <c r="D858" s="513"/>
      <c r="E858" s="513"/>
      <c r="F858" s="513"/>
      <c r="G858" s="513"/>
      <c r="H858" s="513"/>
      <c r="I858" s="513"/>
      <c r="J858" s="513"/>
      <c r="K858" s="513"/>
    </row>
    <row r="859" spans="1:11" customFormat="1" ht="15" x14ac:dyDescent="0.25">
      <c r="A859" s="520">
        <v>4212</v>
      </c>
      <c r="B859" s="521" t="s">
        <v>52</v>
      </c>
      <c r="C859" s="513">
        <v>18000</v>
      </c>
      <c r="D859" s="513"/>
      <c r="E859" s="513">
        <v>382000</v>
      </c>
      <c r="F859" s="513">
        <f t="shared" ref="F859:F866" si="716">C859-D859+E859</f>
        <v>400000</v>
      </c>
      <c r="G859" s="513">
        <v>68000</v>
      </c>
      <c r="H859" s="513"/>
      <c r="I859" s="513"/>
      <c r="J859" s="513"/>
      <c r="K859" s="513"/>
    </row>
    <row r="860" spans="1:11" customFormat="1" ht="15" x14ac:dyDescent="0.25">
      <c r="A860" s="519">
        <v>422</v>
      </c>
      <c r="B860" s="523" t="s">
        <v>53</v>
      </c>
      <c r="C860" s="510">
        <f t="shared" ref="C860:F860" si="717">SUM(C861:C866)</f>
        <v>1489000</v>
      </c>
      <c r="D860" s="510">
        <f t="shared" si="717"/>
        <v>586000</v>
      </c>
      <c r="E860" s="510">
        <f t="shared" si="717"/>
        <v>11000</v>
      </c>
      <c r="F860" s="510">
        <f t="shared" si="717"/>
        <v>914000</v>
      </c>
      <c r="G860" s="510">
        <f t="shared" ref="G860:H860" si="718">SUM(G861:G866)</f>
        <v>156000</v>
      </c>
      <c r="H860" s="510">
        <f t="shared" si="718"/>
        <v>0</v>
      </c>
      <c r="I860" s="510">
        <f t="shared" ref="I860:J860" si="719">SUM(I861:I866)</f>
        <v>500000</v>
      </c>
      <c r="J860" s="510">
        <f t="shared" si="719"/>
        <v>0</v>
      </c>
      <c r="K860" s="510">
        <f t="shared" ref="K860" si="720">SUM(K861:K866)</f>
        <v>0</v>
      </c>
    </row>
    <row r="861" spans="1:11" customFormat="1" ht="15" x14ac:dyDescent="0.25">
      <c r="A861" s="520">
        <v>4221</v>
      </c>
      <c r="B861" s="521" t="s">
        <v>54</v>
      </c>
      <c r="C861" s="513">
        <v>1079000</v>
      </c>
      <c r="D861" s="513">
        <v>300000</v>
      </c>
      <c r="E861" s="513"/>
      <c r="F861" s="513">
        <f t="shared" si="716"/>
        <v>779000</v>
      </c>
      <c r="G861" s="513">
        <v>28000</v>
      </c>
      <c r="H861" s="513"/>
      <c r="I861" s="513">
        <v>250000</v>
      </c>
      <c r="J861" s="513"/>
      <c r="K861" s="513"/>
    </row>
    <row r="862" spans="1:11" customFormat="1" ht="15" x14ac:dyDescent="0.25">
      <c r="A862" s="520">
        <v>4222</v>
      </c>
      <c r="B862" s="521" t="s">
        <v>58</v>
      </c>
      <c r="C862" s="513">
        <v>109000</v>
      </c>
      <c r="D862" s="513">
        <v>100000</v>
      </c>
      <c r="E862" s="513"/>
      <c r="F862" s="513">
        <f t="shared" si="716"/>
        <v>9000</v>
      </c>
      <c r="G862" s="513">
        <v>57000</v>
      </c>
      <c r="H862" s="513"/>
      <c r="I862" s="513">
        <v>50000</v>
      </c>
      <c r="J862" s="513"/>
      <c r="K862" s="513"/>
    </row>
    <row r="863" spans="1:11" customFormat="1" ht="15" x14ac:dyDescent="0.25">
      <c r="A863" s="520">
        <v>4223</v>
      </c>
      <c r="B863" s="521" t="s">
        <v>59</v>
      </c>
      <c r="C863" s="513">
        <v>160000</v>
      </c>
      <c r="D863" s="513">
        <v>150000</v>
      </c>
      <c r="E863" s="513"/>
      <c r="F863" s="513">
        <f t="shared" si="716"/>
        <v>10000</v>
      </c>
      <c r="G863" s="513">
        <v>53000</v>
      </c>
      <c r="H863" s="513"/>
      <c r="I863" s="513">
        <v>50000</v>
      </c>
      <c r="J863" s="513"/>
      <c r="K863" s="513"/>
    </row>
    <row r="864" spans="1:11" customFormat="1" ht="15" x14ac:dyDescent="0.25">
      <c r="A864" s="520">
        <v>4224</v>
      </c>
      <c r="B864" s="521" t="s">
        <v>285</v>
      </c>
      <c r="C864" s="513">
        <v>6000</v>
      </c>
      <c r="D864" s="513">
        <v>6000</v>
      </c>
      <c r="E864" s="513"/>
      <c r="F864" s="513">
        <f t="shared" si="716"/>
        <v>0</v>
      </c>
      <c r="G864" s="513">
        <v>4000</v>
      </c>
      <c r="H864" s="513"/>
      <c r="I864" s="513"/>
      <c r="J864" s="513"/>
      <c r="K864" s="513"/>
    </row>
    <row r="865" spans="1:11" customFormat="1" ht="14.25" customHeight="1" x14ac:dyDescent="0.25">
      <c r="A865" s="520">
        <v>4225</v>
      </c>
      <c r="B865" s="521" t="s">
        <v>105</v>
      </c>
      <c r="C865" s="513">
        <v>30000</v>
      </c>
      <c r="D865" s="513">
        <v>30000</v>
      </c>
      <c r="E865" s="513"/>
      <c r="F865" s="513">
        <f t="shared" si="716"/>
        <v>0</v>
      </c>
      <c r="G865" s="513">
        <v>14000</v>
      </c>
      <c r="H865" s="513"/>
      <c r="I865" s="513">
        <v>150000</v>
      </c>
      <c r="J865" s="513"/>
      <c r="K865" s="513"/>
    </row>
    <row r="866" spans="1:11" customFormat="1" ht="15" customHeight="1" x14ac:dyDescent="0.25">
      <c r="A866" s="520" t="s">
        <v>180</v>
      </c>
      <c r="B866" s="521" t="s">
        <v>60</v>
      </c>
      <c r="C866" s="513">
        <v>105000</v>
      </c>
      <c r="D866" s="513"/>
      <c r="E866" s="513">
        <v>11000</v>
      </c>
      <c r="F866" s="513">
        <f t="shared" si="716"/>
        <v>116000</v>
      </c>
      <c r="G866" s="513"/>
      <c r="H866" s="513"/>
      <c r="I866" s="513"/>
      <c r="J866" s="513"/>
      <c r="K866" s="513"/>
    </row>
    <row r="867" spans="1:11" customFormat="1" ht="15" x14ac:dyDescent="0.25">
      <c r="A867" s="519">
        <v>423</v>
      </c>
      <c r="B867" s="523" t="s">
        <v>61</v>
      </c>
      <c r="C867" s="510">
        <f t="shared" ref="C867:K867" si="721">SUM(C868:C868)</f>
        <v>6000</v>
      </c>
      <c r="D867" s="510">
        <f t="shared" si="721"/>
        <v>6000</v>
      </c>
      <c r="E867" s="510">
        <f t="shared" si="721"/>
        <v>0</v>
      </c>
      <c r="F867" s="510">
        <f t="shared" si="721"/>
        <v>0</v>
      </c>
      <c r="G867" s="510">
        <f t="shared" si="721"/>
        <v>6000</v>
      </c>
      <c r="H867" s="510">
        <f t="shared" si="721"/>
        <v>0</v>
      </c>
      <c r="I867" s="510">
        <f t="shared" si="721"/>
        <v>0</v>
      </c>
      <c r="J867" s="510">
        <f t="shared" si="721"/>
        <v>0</v>
      </c>
      <c r="K867" s="510">
        <f t="shared" si="721"/>
        <v>0</v>
      </c>
    </row>
    <row r="868" spans="1:11" customFormat="1" ht="15" x14ac:dyDescent="0.25">
      <c r="A868" s="520">
        <v>4231</v>
      </c>
      <c r="B868" s="521" t="s">
        <v>62</v>
      </c>
      <c r="C868" s="513">
        <v>6000</v>
      </c>
      <c r="D868" s="513">
        <v>6000</v>
      </c>
      <c r="E868" s="513"/>
      <c r="F868" s="513">
        <f t="shared" ref="F868" si="722">C868-D868+E868</f>
        <v>0</v>
      </c>
      <c r="G868" s="513">
        <v>6000</v>
      </c>
      <c r="H868" s="513"/>
      <c r="I868" s="513"/>
      <c r="J868" s="513"/>
      <c r="K868" s="513"/>
    </row>
    <row r="869" spans="1:11" customFormat="1" ht="25.5" x14ac:dyDescent="0.25">
      <c r="A869" s="540" t="s">
        <v>332</v>
      </c>
      <c r="B869" s="541" t="s">
        <v>333</v>
      </c>
      <c r="C869" s="507">
        <f>SUM(C870)</f>
        <v>1000000</v>
      </c>
      <c r="D869" s="507">
        <f t="shared" ref="D869:K869" si="723">SUM(D870)</f>
        <v>600000</v>
      </c>
      <c r="E869" s="507">
        <f t="shared" si="723"/>
        <v>0</v>
      </c>
      <c r="F869" s="507">
        <f t="shared" si="723"/>
        <v>400000</v>
      </c>
      <c r="G869" s="507">
        <f t="shared" si="723"/>
        <v>133000</v>
      </c>
      <c r="H869" s="507">
        <f t="shared" si="723"/>
        <v>0</v>
      </c>
      <c r="I869" s="507">
        <f t="shared" si="723"/>
        <v>500000</v>
      </c>
      <c r="J869" s="507">
        <f t="shared" si="723"/>
        <v>0</v>
      </c>
      <c r="K869" s="507">
        <f t="shared" si="723"/>
        <v>0</v>
      </c>
    </row>
    <row r="870" spans="1:11" customFormat="1" ht="25.5" x14ac:dyDescent="0.25">
      <c r="A870" s="519">
        <v>451</v>
      </c>
      <c r="B870" s="523" t="s">
        <v>55</v>
      </c>
      <c r="C870" s="510">
        <f t="shared" ref="C870:K870" si="724">SUM(C871)</f>
        <v>1000000</v>
      </c>
      <c r="D870" s="510">
        <f t="shared" si="724"/>
        <v>600000</v>
      </c>
      <c r="E870" s="510">
        <f t="shared" si="724"/>
        <v>0</v>
      </c>
      <c r="F870" s="510">
        <f t="shared" si="724"/>
        <v>400000</v>
      </c>
      <c r="G870" s="510">
        <f t="shared" si="724"/>
        <v>133000</v>
      </c>
      <c r="H870" s="510">
        <f t="shared" si="724"/>
        <v>0</v>
      </c>
      <c r="I870" s="510">
        <f t="shared" si="724"/>
        <v>500000</v>
      </c>
      <c r="J870" s="510">
        <f t="shared" si="724"/>
        <v>0</v>
      </c>
      <c r="K870" s="510">
        <f t="shared" si="724"/>
        <v>0</v>
      </c>
    </row>
    <row r="871" spans="1:11" customFormat="1" ht="12.75" customHeight="1" x14ac:dyDescent="0.25">
      <c r="A871" s="520">
        <v>4511</v>
      </c>
      <c r="B871" s="521" t="s">
        <v>55</v>
      </c>
      <c r="C871" s="513">
        <v>1000000</v>
      </c>
      <c r="D871" s="513">
        <v>600000</v>
      </c>
      <c r="E871" s="513"/>
      <c r="F871" s="513">
        <f t="shared" ref="F871" si="725">C871-D871+E871</f>
        <v>400000</v>
      </c>
      <c r="G871" s="513">
        <v>133000</v>
      </c>
      <c r="H871" s="513"/>
      <c r="I871" s="513">
        <v>500000</v>
      </c>
      <c r="J871" s="513"/>
      <c r="K871" s="513"/>
    </row>
    <row r="872" spans="1:11" customFormat="1" ht="46.5" hidden="1" customHeight="1" x14ac:dyDescent="0.25">
      <c r="A872" s="501" t="s">
        <v>263</v>
      </c>
      <c r="B872" s="502" t="s">
        <v>264</v>
      </c>
      <c r="C872" s="503">
        <f t="shared" ref="C872:D872" si="726">SUM(C873)</f>
        <v>0</v>
      </c>
      <c r="D872" s="503">
        <f t="shared" si="726"/>
        <v>0</v>
      </c>
      <c r="E872" s="503"/>
      <c r="F872" s="503"/>
      <c r="G872" s="503"/>
      <c r="H872" s="503"/>
      <c r="I872" s="503"/>
      <c r="J872" s="503"/>
      <c r="K872" s="503"/>
    </row>
    <row r="873" spans="1:11" customFormat="1" ht="15" hidden="1" customHeight="1" x14ac:dyDescent="0.25">
      <c r="A873" s="710" t="s">
        <v>118</v>
      </c>
      <c r="B873" s="710"/>
      <c r="C873" s="504">
        <f t="shared" ref="C873:D873" si="727">SUM(C874,C877)</f>
        <v>0</v>
      </c>
      <c r="D873" s="504">
        <f t="shared" si="727"/>
        <v>0</v>
      </c>
      <c r="E873" s="504"/>
      <c r="F873" s="504"/>
      <c r="G873" s="504"/>
      <c r="H873" s="504"/>
      <c r="I873" s="504"/>
      <c r="J873" s="504"/>
      <c r="K873" s="504"/>
    </row>
    <row r="874" spans="1:11" customFormat="1" ht="15" hidden="1" x14ac:dyDescent="0.25">
      <c r="A874" s="508">
        <v>323</v>
      </c>
      <c r="B874" s="509" t="s">
        <v>23</v>
      </c>
      <c r="C874" s="510">
        <f t="shared" ref="C874:D874" si="728">SUM(C875:C876)</f>
        <v>0</v>
      </c>
      <c r="D874" s="510">
        <f t="shared" si="728"/>
        <v>0</v>
      </c>
      <c r="E874" s="510"/>
      <c r="F874" s="510"/>
      <c r="G874" s="510"/>
      <c r="H874" s="510"/>
      <c r="I874" s="510"/>
      <c r="J874" s="510"/>
      <c r="K874" s="510"/>
    </row>
    <row r="875" spans="1:11" customFormat="1" ht="15" hidden="1" x14ac:dyDescent="0.25">
      <c r="A875" s="511">
        <v>3231</v>
      </c>
      <c r="B875" s="512" t="s">
        <v>24</v>
      </c>
      <c r="C875" s="513"/>
      <c r="D875" s="513"/>
      <c r="E875" s="513"/>
      <c r="F875" s="513"/>
      <c r="G875" s="513"/>
      <c r="H875" s="513"/>
      <c r="I875" s="513"/>
      <c r="J875" s="513"/>
      <c r="K875" s="513"/>
    </row>
    <row r="876" spans="1:11" customFormat="1" ht="15" hidden="1" x14ac:dyDescent="0.25">
      <c r="A876" s="520">
        <v>3235</v>
      </c>
      <c r="B876" s="521" t="s">
        <v>28</v>
      </c>
      <c r="C876" s="513"/>
      <c r="D876" s="513"/>
      <c r="E876" s="513"/>
      <c r="F876" s="513"/>
      <c r="G876" s="513"/>
      <c r="H876" s="513"/>
      <c r="I876" s="513"/>
      <c r="J876" s="513"/>
      <c r="K876" s="513"/>
    </row>
    <row r="877" spans="1:11" customFormat="1" ht="15" hidden="1" x14ac:dyDescent="0.25">
      <c r="A877" s="508">
        <v>329</v>
      </c>
      <c r="B877" s="509" t="s">
        <v>33</v>
      </c>
      <c r="C877" s="510">
        <f t="shared" ref="C877:D877" si="729">SUM(C878)</f>
        <v>0</v>
      </c>
      <c r="D877" s="510">
        <f t="shared" si="729"/>
        <v>0</v>
      </c>
      <c r="E877" s="510"/>
      <c r="F877" s="510"/>
      <c r="G877" s="510"/>
      <c r="H877" s="510"/>
      <c r="I877" s="510"/>
      <c r="J877" s="510"/>
      <c r="K877" s="510"/>
    </row>
    <row r="878" spans="1:11" customFormat="1" ht="15" hidden="1" x14ac:dyDescent="0.25">
      <c r="A878" s="520">
        <v>3299</v>
      </c>
      <c r="B878" s="521" t="s">
        <v>33</v>
      </c>
      <c r="C878" s="513"/>
      <c r="D878" s="513"/>
      <c r="E878" s="513"/>
      <c r="F878" s="513"/>
      <c r="G878" s="513"/>
      <c r="H878" s="513"/>
      <c r="I878" s="513"/>
      <c r="J878" s="513"/>
      <c r="K878" s="513"/>
    </row>
    <row r="879" spans="1:11" customFormat="1" ht="64.5" hidden="1" customHeight="1" x14ac:dyDescent="0.25">
      <c r="A879" s="501" t="s">
        <v>265</v>
      </c>
      <c r="B879" s="502" t="s">
        <v>266</v>
      </c>
      <c r="C879" s="503">
        <f t="shared" ref="C879:D879" si="730">SUM(C880)</f>
        <v>0</v>
      </c>
      <c r="D879" s="503">
        <f t="shared" si="730"/>
        <v>0</v>
      </c>
      <c r="E879" s="503"/>
      <c r="F879" s="503"/>
      <c r="G879" s="503"/>
      <c r="H879" s="503"/>
      <c r="I879" s="503"/>
      <c r="J879" s="503"/>
      <c r="K879" s="503"/>
    </row>
    <row r="880" spans="1:11" customFormat="1" ht="18" hidden="1" customHeight="1" x14ac:dyDescent="0.25">
      <c r="A880" s="710" t="s">
        <v>118</v>
      </c>
      <c r="B880" s="710"/>
      <c r="C880" s="504">
        <f t="shared" ref="C880:D880" si="731">SUM(C881,C884,C888,C892,C899,C907,C909,C914)</f>
        <v>0</v>
      </c>
      <c r="D880" s="504">
        <f t="shared" si="731"/>
        <v>0</v>
      </c>
      <c r="E880" s="504"/>
      <c r="F880" s="504"/>
      <c r="G880" s="504"/>
      <c r="H880" s="504"/>
      <c r="I880" s="504"/>
      <c r="J880" s="504"/>
      <c r="K880" s="504"/>
    </row>
    <row r="881" spans="1:11" customFormat="1" ht="15" hidden="1" x14ac:dyDescent="0.25">
      <c r="A881" s="508">
        <v>311</v>
      </c>
      <c r="B881" s="509" t="s">
        <v>4</v>
      </c>
      <c r="C881" s="510">
        <f t="shared" ref="C881:D881" si="732">SUM(C882:C883)</f>
        <v>0</v>
      </c>
      <c r="D881" s="510">
        <f t="shared" si="732"/>
        <v>0</v>
      </c>
      <c r="E881" s="510"/>
      <c r="F881" s="510"/>
      <c r="G881" s="510"/>
      <c r="H881" s="510"/>
      <c r="I881" s="510"/>
      <c r="J881" s="510"/>
      <c r="K881" s="510"/>
    </row>
    <row r="882" spans="1:11" customFormat="1" ht="15" hidden="1" x14ac:dyDescent="0.25">
      <c r="A882" s="511">
        <v>3111</v>
      </c>
      <c r="B882" s="512" t="s">
        <v>5</v>
      </c>
      <c r="C882" s="513"/>
      <c r="D882" s="513"/>
      <c r="E882" s="513"/>
      <c r="F882" s="513"/>
      <c r="G882" s="513"/>
      <c r="H882" s="513"/>
      <c r="I882" s="513"/>
      <c r="J882" s="513"/>
      <c r="K882" s="513"/>
    </row>
    <row r="883" spans="1:11" customFormat="1" ht="15" hidden="1" x14ac:dyDescent="0.25">
      <c r="A883" s="511">
        <v>3113</v>
      </c>
      <c r="B883" s="512" t="s">
        <v>6</v>
      </c>
      <c r="C883" s="513"/>
      <c r="D883" s="513"/>
      <c r="E883" s="513"/>
      <c r="F883" s="513"/>
      <c r="G883" s="513"/>
      <c r="H883" s="513"/>
      <c r="I883" s="513"/>
      <c r="J883" s="513"/>
      <c r="K883" s="513"/>
    </row>
    <row r="884" spans="1:11" customFormat="1" ht="15" hidden="1" x14ac:dyDescent="0.25">
      <c r="A884" s="508">
        <v>313</v>
      </c>
      <c r="B884" s="509" t="s">
        <v>8</v>
      </c>
      <c r="C884" s="510">
        <f t="shared" ref="C884:D884" si="733">SUM(C885:C887)</f>
        <v>0</v>
      </c>
      <c r="D884" s="510">
        <f t="shared" si="733"/>
        <v>0</v>
      </c>
      <c r="E884" s="510"/>
      <c r="F884" s="510"/>
      <c r="G884" s="510"/>
      <c r="H884" s="510"/>
      <c r="I884" s="510"/>
      <c r="J884" s="510"/>
      <c r="K884" s="510"/>
    </row>
    <row r="885" spans="1:11" customFormat="1" ht="15" hidden="1" x14ac:dyDescent="0.25">
      <c r="A885" s="511">
        <v>3131</v>
      </c>
      <c r="B885" s="512" t="s">
        <v>9</v>
      </c>
      <c r="C885" s="513"/>
      <c r="D885" s="513"/>
      <c r="E885" s="513"/>
      <c r="F885" s="513"/>
      <c r="G885" s="513"/>
      <c r="H885" s="513"/>
      <c r="I885" s="513"/>
      <c r="J885" s="513"/>
      <c r="K885" s="513"/>
    </row>
    <row r="886" spans="1:11" customFormat="1" ht="15" hidden="1" x14ac:dyDescent="0.25">
      <c r="A886" s="511">
        <v>3132</v>
      </c>
      <c r="B886" s="512" t="s">
        <v>10</v>
      </c>
      <c r="C886" s="513"/>
      <c r="D886" s="513"/>
      <c r="E886" s="513"/>
      <c r="F886" s="513"/>
      <c r="G886" s="513"/>
      <c r="H886" s="513"/>
      <c r="I886" s="513"/>
      <c r="J886" s="513"/>
      <c r="K886" s="513"/>
    </row>
    <row r="887" spans="1:11" customFormat="1" ht="15" hidden="1" x14ac:dyDescent="0.25">
      <c r="A887" s="511">
        <v>3133</v>
      </c>
      <c r="B887" s="512" t="s">
        <v>11</v>
      </c>
      <c r="C887" s="513"/>
      <c r="D887" s="513"/>
      <c r="E887" s="513"/>
      <c r="F887" s="513"/>
      <c r="G887" s="513"/>
      <c r="H887" s="513"/>
      <c r="I887" s="513"/>
      <c r="J887" s="513"/>
      <c r="K887" s="513"/>
    </row>
    <row r="888" spans="1:11" customFormat="1" ht="13.5" hidden="1" customHeight="1" x14ac:dyDescent="0.25">
      <c r="A888" s="508">
        <v>321</v>
      </c>
      <c r="B888" s="509" t="s">
        <v>12</v>
      </c>
      <c r="C888" s="510">
        <f t="shared" ref="C888:D888" si="734">SUM(C889:C891)</f>
        <v>0</v>
      </c>
      <c r="D888" s="510">
        <f t="shared" si="734"/>
        <v>0</v>
      </c>
      <c r="E888" s="510"/>
      <c r="F888" s="510"/>
      <c r="G888" s="510"/>
      <c r="H888" s="510"/>
      <c r="I888" s="510"/>
      <c r="J888" s="510"/>
      <c r="K888" s="510"/>
    </row>
    <row r="889" spans="1:11" customFormat="1" ht="15" hidden="1" x14ac:dyDescent="0.25">
      <c r="A889" s="511">
        <v>3211</v>
      </c>
      <c r="B889" s="512" t="s">
        <v>13</v>
      </c>
      <c r="C889" s="513"/>
      <c r="D889" s="513"/>
      <c r="E889" s="513"/>
      <c r="F889" s="513"/>
      <c r="G889" s="513"/>
      <c r="H889" s="513"/>
      <c r="I889" s="513"/>
      <c r="J889" s="513"/>
      <c r="K889" s="513"/>
    </row>
    <row r="890" spans="1:11" customFormat="1" ht="25.5" hidden="1" x14ac:dyDescent="0.25">
      <c r="A890" s="511">
        <v>3212</v>
      </c>
      <c r="B890" s="512" t="s">
        <v>14</v>
      </c>
      <c r="C890" s="513"/>
      <c r="D890" s="513"/>
      <c r="E890" s="513"/>
      <c r="F890" s="513"/>
      <c r="G890" s="513"/>
      <c r="H890" s="513"/>
      <c r="I890" s="513"/>
      <c r="J890" s="513"/>
      <c r="K890" s="513"/>
    </row>
    <row r="891" spans="1:11" customFormat="1" ht="15" hidden="1" x14ac:dyDescent="0.25">
      <c r="A891" s="511">
        <v>3213</v>
      </c>
      <c r="B891" s="512" t="s">
        <v>15</v>
      </c>
      <c r="C891" s="513"/>
      <c r="D891" s="513"/>
      <c r="E891" s="513"/>
      <c r="F891" s="513"/>
      <c r="G891" s="513"/>
      <c r="H891" s="513"/>
      <c r="I891" s="513"/>
      <c r="J891" s="513"/>
      <c r="K891" s="513"/>
    </row>
    <row r="892" spans="1:11" customFormat="1" ht="15" hidden="1" x14ac:dyDescent="0.25">
      <c r="A892" s="508">
        <v>322</v>
      </c>
      <c r="B892" s="509" t="s">
        <v>16</v>
      </c>
      <c r="C892" s="510">
        <f t="shared" ref="C892:D892" si="735">SUM(C893:C898)</f>
        <v>0</v>
      </c>
      <c r="D892" s="510">
        <f t="shared" si="735"/>
        <v>0</v>
      </c>
      <c r="E892" s="510"/>
      <c r="F892" s="510"/>
      <c r="G892" s="510"/>
      <c r="H892" s="510"/>
      <c r="I892" s="510"/>
      <c r="J892" s="510"/>
      <c r="K892" s="510"/>
    </row>
    <row r="893" spans="1:11" customFormat="1" ht="15" hidden="1" x14ac:dyDescent="0.25">
      <c r="A893" s="511">
        <v>3221</v>
      </c>
      <c r="B893" s="512" t="s">
        <v>17</v>
      </c>
      <c r="C893" s="513"/>
      <c r="D893" s="513"/>
      <c r="E893" s="513"/>
      <c r="F893" s="513"/>
      <c r="G893" s="513"/>
      <c r="H893" s="513"/>
      <c r="I893" s="513"/>
      <c r="J893" s="513"/>
      <c r="K893" s="513"/>
    </row>
    <row r="894" spans="1:11" customFormat="1" ht="15" hidden="1" x14ac:dyDescent="0.25">
      <c r="A894" s="511">
        <v>3222</v>
      </c>
      <c r="B894" s="512" t="s">
        <v>18</v>
      </c>
      <c r="C894" s="513"/>
      <c r="D894" s="513"/>
      <c r="E894" s="513"/>
      <c r="F894" s="513"/>
      <c r="G894" s="513"/>
      <c r="H894" s="513"/>
      <c r="I894" s="513"/>
      <c r="J894" s="513"/>
      <c r="K894" s="513"/>
    </row>
    <row r="895" spans="1:11" customFormat="1" ht="15" hidden="1" x14ac:dyDescent="0.25">
      <c r="A895" s="511">
        <v>3223</v>
      </c>
      <c r="B895" s="512" t="s">
        <v>19</v>
      </c>
      <c r="C895" s="513"/>
      <c r="D895" s="513"/>
      <c r="E895" s="513"/>
      <c r="F895" s="513"/>
      <c r="G895" s="513"/>
      <c r="H895" s="513"/>
      <c r="I895" s="513"/>
      <c r="J895" s="513"/>
      <c r="K895" s="513"/>
    </row>
    <row r="896" spans="1:11" customFormat="1" ht="24.75" hidden="1" customHeight="1" x14ac:dyDescent="0.25">
      <c r="A896" s="511">
        <v>3224</v>
      </c>
      <c r="B896" s="512" t="s">
        <v>112</v>
      </c>
      <c r="C896" s="513"/>
      <c r="D896" s="513"/>
      <c r="E896" s="513"/>
      <c r="F896" s="513"/>
      <c r="G896" s="513"/>
      <c r="H896" s="513"/>
      <c r="I896" s="513"/>
      <c r="J896" s="513"/>
      <c r="K896" s="513"/>
    </row>
    <row r="897" spans="1:11" customFormat="1" ht="13.5" hidden="1" customHeight="1" x14ac:dyDescent="0.25">
      <c r="A897" s="511">
        <v>3225</v>
      </c>
      <c r="B897" s="512" t="s">
        <v>21</v>
      </c>
      <c r="C897" s="513"/>
      <c r="D897" s="513"/>
      <c r="E897" s="513"/>
      <c r="F897" s="513"/>
      <c r="G897" s="513"/>
      <c r="H897" s="513"/>
      <c r="I897" s="513"/>
      <c r="J897" s="513"/>
      <c r="K897" s="513"/>
    </row>
    <row r="898" spans="1:11" customFormat="1" ht="15" hidden="1" x14ac:dyDescent="0.25">
      <c r="A898" s="511">
        <v>3227</v>
      </c>
      <c r="B898" s="512" t="s">
        <v>22</v>
      </c>
      <c r="C898" s="513"/>
      <c r="D898" s="513"/>
      <c r="E898" s="513"/>
      <c r="F898" s="513"/>
      <c r="G898" s="513"/>
      <c r="H898" s="513"/>
      <c r="I898" s="513"/>
      <c r="J898" s="513"/>
      <c r="K898" s="513"/>
    </row>
    <row r="899" spans="1:11" customFormat="1" ht="15" hidden="1" x14ac:dyDescent="0.25">
      <c r="A899" s="508">
        <v>323</v>
      </c>
      <c r="B899" s="509" t="s">
        <v>23</v>
      </c>
      <c r="C899" s="510">
        <f t="shared" ref="C899:D899" si="736">SUM(C900:C906)</f>
        <v>0</v>
      </c>
      <c r="D899" s="510">
        <f t="shared" si="736"/>
        <v>0</v>
      </c>
      <c r="E899" s="510"/>
      <c r="F899" s="510"/>
      <c r="G899" s="510"/>
      <c r="H899" s="510"/>
      <c r="I899" s="510"/>
      <c r="J899" s="510"/>
      <c r="K899" s="510"/>
    </row>
    <row r="900" spans="1:11" customFormat="1" ht="15" hidden="1" x14ac:dyDescent="0.25">
      <c r="A900" s="511">
        <v>3231</v>
      </c>
      <c r="B900" s="512" t="s">
        <v>24</v>
      </c>
      <c r="C900" s="510"/>
      <c r="D900" s="510"/>
      <c r="E900" s="510"/>
      <c r="F900" s="510"/>
      <c r="G900" s="510"/>
      <c r="H900" s="510"/>
      <c r="I900" s="510"/>
      <c r="J900" s="510"/>
      <c r="K900" s="510"/>
    </row>
    <row r="901" spans="1:11" customFormat="1" ht="14.25" hidden="1" customHeight="1" x14ac:dyDescent="0.25">
      <c r="A901" s="511">
        <v>3232</v>
      </c>
      <c r="B901" s="512" t="s">
        <v>25</v>
      </c>
      <c r="C901" s="513"/>
      <c r="D901" s="513"/>
      <c r="E901" s="513"/>
      <c r="F901" s="513"/>
      <c r="G901" s="513"/>
      <c r="H901" s="513"/>
      <c r="I901" s="513"/>
      <c r="J901" s="513"/>
      <c r="K901" s="513"/>
    </row>
    <row r="902" spans="1:11" customFormat="1" ht="14.25" hidden="1" customHeight="1" x14ac:dyDescent="0.25">
      <c r="A902" s="511">
        <v>3234</v>
      </c>
      <c r="B902" s="512" t="s">
        <v>27</v>
      </c>
      <c r="C902" s="513"/>
      <c r="D902" s="513"/>
      <c r="E902" s="513"/>
      <c r="F902" s="513"/>
      <c r="G902" s="513"/>
      <c r="H902" s="513"/>
      <c r="I902" s="513"/>
      <c r="J902" s="513"/>
      <c r="K902" s="513"/>
    </row>
    <row r="903" spans="1:11" customFormat="1" ht="15" hidden="1" x14ac:dyDescent="0.25">
      <c r="A903" s="511">
        <v>3235</v>
      </c>
      <c r="B903" s="512" t="s">
        <v>28</v>
      </c>
      <c r="C903" s="513"/>
      <c r="D903" s="513"/>
      <c r="E903" s="513"/>
      <c r="F903" s="513"/>
      <c r="G903" s="513"/>
      <c r="H903" s="513"/>
      <c r="I903" s="513"/>
      <c r="J903" s="513"/>
      <c r="K903" s="513"/>
    </row>
    <row r="904" spans="1:11" customFormat="1" ht="15" hidden="1" x14ac:dyDescent="0.25">
      <c r="A904" s="511">
        <v>3236</v>
      </c>
      <c r="B904" s="512" t="s">
        <v>29</v>
      </c>
      <c r="C904" s="513"/>
      <c r="D904" s="513"/>
      <c r="E904" s="513"/>
      <c r="F904" s="513"/>
      <c r="G904" s="513"/>
      <c r="H904" s="513"/>
      <c r="I904" s="513"/>
      <c r="J904" s="513"/>
      <c r="K904" s="513"/>
    </row>
    <row r="905" spans="1:11" customFormat="1" ht="15" hidden="1" x14ac:dyDescent="0.25">
      <c r="A905" s="511">
        <v>3237</v>
      </c>
      <c r="B905" s="512" t="s">
        <v>30</v>
      </c>
      <c r="C905" s="513"/>
      <c r="D905" s="513"/>
      <c r="E905" s="513"/>
      <c r="F905" s="513"/>
      <c r="G905" s="513"/>
      <c r="H905" s="513"/>
      <c r="I905" s="513"/>
      <c r="J905" s="513"/>
      <c r="K905" s="513"/>
    </row>
    <row r="906" spans="1:11" customFormat="1" ht="15" hidden="1" x14ac:dyDescent="0.25">
      <c r="A906" s="511">
        <v>3239</v>
      </c>
      <c r="B906" s="512" t="s">
        <v>31</v>
      </c>
      <c r="C906" s="513"/>
      <c r="D906" s="513"/>
      <c r="E906" s="513"/>
      <c r="F906" s="513"/>
      <c r="G906" s="513"/>
      <c r="H906" s="513"/>
      <c r="I906" s="513"/>
      <c r="J906" s="513"/>
      <c r="K906" s="513"/>
    </row>
    <row r="907" spans="1:11" customFormat="1" ht="15" hidden="1" x14ac:dyDescent="0.25">
      <c r="A907" s="519">
        <v>412</v>
      </c>
      <c r="B907" s="523" t="s">
        <v>67</v>
      </c>
      <c r="C907" s="510">
        <f t="shared" ref="C907:D907" si="737">SUM(C908)</f>
        <v>0</v>
      </c>
      <c r="D907" s="510">
        <f t="shared" si="737"/>
        <v>0</v>
      </c>
      <c r="E907" s="510"/>
      <c r="F907" s="510"/>
      <c r="G907" s="510"/>
      <c r="H907" s="510"/>
      <c r="I907" s="510"/>
      <c r="J907" s="510"/>
      <c r="K907" s="510"/>
    </row>
    <row r="908" spans="1:11" customFormat="1" ht="15" hidden="1" x14ac:dyDescent="0.25">
      <c r="A908" s="520">
        <v>4123</v>
      </c>
      <c r="B908" s="521" t="s">
        <v>68</v>
      </c>
      <c r="C908" s="513"/>
      <c r="D908" s="513"/>
      <c r="E908" s="513"/>
      <c r="F908" s="513"/>
      <c r="G908" s="513"/>
      <c r="H908" s="513"/>
      <c r="I908" s="513"/>
      <c r="J908" s="513"/>
      <c r="K908" s="513"/>
    </row>
    <row r="909" spans="1:11" customFormat="1" ht="15" hidden="1" x14ac:dyDescent="0.25">
      <c r="A909" s="519">
        <v>422</v>
      </c>
      <c r="B909" s="523" t="s">
        <v>53</v>
      </c>
      <c r="C909" s="510">
        <f t="shared" ref="C909:D909" si="738">SUM(C910:C913)</f>
        <v>0</v>
      </c>
      <c r="D909" s="510">
        <f t="shared" si="738"/>
        <v>0</v>
      </c>
      <c r="E909" s="510"/>
      <c r="F909" s="510"/>
      <c r="G909" s="510"/>
      <c r="H909" s="510"/>
      <c r="I909" s="510"/>
      <c r="J909" s="510"/>
      <c r="K909" s="510"/>
    </row>
    <row r="910" spans="1:11" customFormat="1" ht="15" hidden="1" x14ac:dyDescent="0.25">
      <c r="A910" s="520">
        <v>4221</v>
      </c>
      <c r="B910" s="521" t="s">
        <v>54</v>
      </c>
      <c r="C910" s="513"/>
      <c r="D910" s="513"/>
      <c r="E910" s="513"/>
      <c r="F910" s="513"/>
      <c r="G910" s="513"/>
      <c r="H910" s="513"/>
      <c r="I910" s="513"/>
      <c r="J910" s="513"/>
      <c r="K910" s="513"/>
    </row>
    <row r="911" spans="1:11" customFormat="1" ht="15" hidden="1" x14ac:dyDescent="0.25">
      <c r="A911" s="520">
        <v>4222</v>
      </c>
      <c r="B911" s="521" t="s">
        <v>58</v>
      </c>
      <c r="C911" s="513"/>
      <c r="D911" s="513"/>
      <c r="E911" s="513"/>
      <c r="F911" s="513"/>
      <c r="G911" s="513"/>
      <c r="H911" s="513"/>
      <c r="I911" s="513"/>
      <c r="J911" s="513"/>
      <c r="K911" s="513"/>
    </row>
    <row r="912" spans="1:11" customFormat="1" ht="15" hidden="1" x14ac:dyDescent="0.25">
      <c r="A912" s="520">
        <v>4223</v>
      </c>
      <c r="B912" s="521" t="s">
        <v>59</v>
      </c>
      <c r="C912" s="513"/>
      <c r="D912" s="513"/>
      <c r="E912" s="513"/>
      <c r="F912" s="513"/>
      <c r="G912" s="513"/>
      <c r="H912" s="513"/>
      <c r="I912" s="513"/>
      <c r="J912" s="513"/>
      <c r="K912" s="513"/>
    </row>
    <row r="913" spans="1:11" customFormat="1" ht="25.5" hidden="1" x14ac:dyDescent="0.25">
      <c r="A913" s="520">
        <v>4227</v>
      </c>
      <c r="B913" s="521" t="s">
        <v>60</v>
      </c>
      <c r="C913" s="513"/>
      <c r="D913" s="513"/>
      <c r="E913" s="513"/>
      <c r="F913" s="513"/>
      <c r="G913" s="513"/>
      <c r="H913" s="513"/>
      <c r="I913" s="513"/>
      <c r="J913" s="513"/>
      <c r="K913" s="513"/>
    </row>
    <row r="914" spans="1:11" s="6" customFormat="1" ht="25.5" hidden="1" x14ac:dyDescent="0.25">
      <c r="A914" s="519">
        <v>451</v>
      </c>
      <c r="B914" s="523" t="s">
        <v>55</v>
      </c>
      <c r="C914" s="510">
        <f t="shared" ref="C914:D914" si="739">SUM(C915)</f>
        <v>0</v>
      </c>
      <c r="D914" s="510">
        <f t="shared" si="739"/>
        <v>0</v>
      </c>
      <c r="E914" s="510"/>
      <c r="F914" s="510"/>
      <c r="G914" s="510"/>
      <c r="H914" s="510"/>
      <c r="I914" s="510"/>
      <c r="J914" s="510"/>
      <c r="K914" s="510"/>
    </row>
    <row r="915" spans="1:11" customFormat="1" ht="25.5" hidden="1" x14ac:dyDescent="0.25">
      <c r="A915" s="520">
        <v>4511</v>
      </c>
      <c r="B915" s="521" t="s">
        <v>55</v>
      </c>
      <c r="C915" s="513"/>
      <c r="D915" s="513"/>
      <c r="E915" s="513"/>
      <c r="F915" s="513"/>
      <c r="G915" s="513"/>
      <c r="H915" s="513"/>
      <c r="I915" s="513"/>
      <c r="J915" s="513"/>
      <c r="K915" s="513"/>
    </row>
    <row r="916" spans="1:11" customFormat="1" ht="23.25" customHeight="1" x14ac:dyDescent="0.25">
      <c r="A916" s="501" t="s">
        <v>317</v>
      </c>
      <c r="B916" s="502" t="s">
        <v>297</v>
      </c>
      <c r="C916" s="503">
        <f t="shared" ref="C916:K917" si="740">SUM(C917)</f>
        <v>1247000</v>
      </c>
      <c r="D916" s="503">
        <f t="shared" si="740"/>
        <v>0</v>
      </c>
      <c r="E916" s="503">
        <f t="shared" si="740"/>
        <v>0</v>
      </c>
      <c r="F916" s="503">
        <f t="shared" si="740"/>
        <v>1247000</v>
      </c>
      <c r="G916" s="503">
        <f t="shared" si="740"/>
        <v>1247000</v>
      </c>
      <c r="H916" s="503">
        <f t="shared" si="740"/>
        <v>1247000</v>
      </c>
      <c r="I916" s="503">
        <f t="shared" si="740"/>
        <v>1247000</v>
      </c>
      <c r="J916" s="503">
        <f t="shared" si="740"/>
        <v>1247000</v>
      </c>
      <c r="K916" s="503">
        <f t="shared" si="740"/>
        <v>1247000</v>
      </c>
    </row>
    <row r="917" spans="1:11" customFormat="1" ht="20.25" customHeight="1" x14ac:dyDescent="0.25">
      <c r="A917" s="711" t="s">
        <v>118</v>
      </c>
      <c r="B917" s="711"/>
      <c r="C917" s="595">
        <f>SUM(C918)</f>
        <v>1247000</v>
      </c>
      <c r="D917" s="595">
        <f t="shared" si="740"/>
        <v>0</v>
      </c>
      <c r="E917" s="595">
        <f t="shared" si="740"/>
        <v>0</v>
      </c>
      <c r="F917" s="595">
        <f t="shared" si="740"/>
        <v>1247000</v>
      </c>
      <c r="G917" s="595">
        <f>SUM(G918)</f>
        <v>1247000</v>
      </c>
      <c r="H917" s="595">
        <f>SUM(H918)</f>
        <v>1247000</v>
      </c>
      <c r="I917" s="595">
        <f t="shared" si="740"/>
        <v>1247000</v>
      </c>
      <c r="J917" s="595">
        <f t="shared" si="740"/>
        <v>1247000</v>
      </c>
      <c r="K917" s="595">
        <f t="shared" si="740"/>
        <v>1247000</v>
      </c>
    </row>
    <row r="918" spans="1:11" customFormat="1" ht="20.25" customHeight="1" x14ac:dyDescent="0.25">
      <c r="A918" s="516" t="s">
        <v>324</v>
      </c>
      <c r="B918" s="516" t="s">
        <v>325</v>
      </c>
      <c r="C918" s="549">
        <f>SUM(C919,C922,C925)</f>
        <v>1247000</v>
      </c>
      <c r="D918" s="549">
        <f t="shared" ref="D918:F918" si="741">SUM(D919,D922,D925)</f>
        <v>0</v>
      </c>
      <c r="E918" s="549">
        <f t="shared" si="741"/>
        <v>0</v>
      </c>
      <c r="F918" s="549">
        <f t="shared" si="741"/>
        <v>1247000</v>
      </c>
      <c r="G918" s="549">
        <f>SUM(G919,G922,G925)</f>
        <v>1247000</v>
      </c>
      <c r="H918" s="549">
        <f>SUM(H919,H922,H925)</f>
        <v>1247000</v>
      </c>
      <c r="I918" s="549">
        <f t="shared" ref="I918:K918" si="742">SUM(I919,I922,I925)</f>
        <v>1247000</v>
      </c>
      <c r="J918" s="549">
        <f t="shared" si="742"/>
        <v>1247000</v>
      </c>
      <c r="K918" s="549">
        <f t="shared" si="742"/>
        <v>1247000</v>
      </c>
    </row>
    <row r="919" spans="1:11" customFormat="1" ht="15" x14ac:dyDescent="0.25">
      <c r="A919" s="508">
        <v>322</v>
      </c>
      <c r="B919" s="509" t="s">
        <v>16</v>
      </c>
      <c r="C919" s="510">
        <f t="shared" ref="C919:F919" si="743">SUM(C920:C921)</f>
        <v>292000</v>
      </c>
      <c r="D919" s="510">
        <f t="shared" si="743"/>
        <v>0</v>
      </c>
      <c r="E919" s="510">
        <f t="shared" si="743"/>
        <v>0</v>
      </c>
      <c r="F919" s="510">
        <f t="shared" si="743"/>
        <v>292000</v>
      </c>
      <c r="G919" s="510">
        <f t="shared" ref="G919:H919" si="744">SUM(G920:G921)</f>
        <v>292000</v>
      </c>
      <c r="H919" s="510">
        <f t="shared" si="744"/>
        <v>292000</v>
      </c>
      <c r="I919" s="510">
        <f t="shared" ref="I919:K919" si="745">SUM(I920:I921)</f>
        <v>292000</v>
      </c>
      <c r="J919" s="510">
        <f t="shared" si="745"/>
        <v>292000</v>
      </c>
      <c r="K919" s="510">
        <f t="shared" si="745"/>
        <v>292000</v>
      </c>
    </row>
    <row r="920" spans="1:11" customFormat="1" ht="15" x14ac:dyDescent="0.25">
      <c r="A920" s="511">
        <v>3223</v>
      </c>
      <c r="B920" s="512" t="s">
        <v>19</v>
      </c>
      <c r="C920" s="513">
        <v>27000</v>
      </c>
      <c r="D920" s="513"/>
      <c r="E920" s="513"/>
      <c r="F920" s="513">
        <f t="shared" ref="F920:F926" si="746">C920-D920+E920</f>
        <v>27000</v>
      </c>
      <c r="G920" s="513">
        <v>27000</v>
      </c>
      <c r="H920" s="513">
        <v>27000</v>
      </c>
      <c r="I920" s="513">
        <v>27000</v>
      </c>
      <c r="J920" s="513">
        <v>27000</v>
      </c>
      <c r="K920" s="513">
        <v>27000</v>
      </c>
    </row>
    <row r="921" spans="1:11" customFormat="1" ht="15" x14ac:dyDescent="0.25">
      <c r="A921" s="511">
        <v>3224</v>
      </c>
      <c r="B921" s="535" t="s">
        <v>112</v>
      </c>
      <c r="C921" s="513">
        <v>265000</v>
      </c>
      <c r="D921" s="513"/>
      <c r="E921" s="513"/>
      <c r="F921" s="513">
        <f t="shared" si="746"/>
        <v>265000</v>
      </c>
      <c r="G921" s="513">
        <v>265000</v>
      </c>
      <c r="H921" s="513">
        <v>265000</v>
      </c>
      <c r="I921" s="513">
        <v>265000</v>
      </c>
      <c r="J921" s="513">
        <v>265000</v>
      </c>
      <c r="K921" s="513">
        <v>265000</v>
      </c>
    </row>
    <row r="922" spans="1:11" customFormat="1" ht="15" x14ac:dyDescent="0.25">
      <c r="A922" s="508">
        <v>323</v>
      </c>
      <c r="B922" s="509" t="s">
        <v>23</v>
      </c>
      <c r="C922" s="510">
        <f t="shared" ref="C922:F922" si="747">SUM(C923:C924)</f>
        <v>557000</v>
      </c>
      <c r="D922" s="510">
        <f t="shared" si="747"/>
        <v>0</v>
      </c>
      <c r="E922" s="510">
        <f t="shared" si="747"/>
        <v>0</v>
      </c>
      <c r="F922" s="510">
        <f t="shared" si="747"/>
        <v>557000</v>
      </c>
      <c r="G922" s="510">
        <f t="shared" ref="G922:H922" si="748">SUM(G923:G924)</f>
        <v>557000</v>
      </c>
      <c r="H922" s="510">
        <f t="shared" si="748"/>
        <v>557000</v>
      </c>
      <c r="I922" s="510">
        <f t="shared" ref="I922:K922" si="749">SUM(I923:I924)</f>
        <v>557000</v>
      </c>
      <c r="J922" s="510">
        <f t="shared" si="749"/>
        <v>557000</v>
      </c>
      <c r="K922" s="510">
        <f t="shared" si="749"/>
        <v>557000</v>
      </c>
    </row>
    <row r="923" spans="1:11" customFormat="1" ht="15" x14ac:dyDescent="0.25">
      <c r="A923" s="511">
        <v>3232</v>
      </c>
      <c r="B923" s="512" t="s">
        <v>25</v>
      </c>
      <c r="C923" s="513">
        <v>530000</v>
      </c>
      <c r="D923" s="513"/>
      <c r="E923" s="513"/>
      <c r="F923" s="513">
        <f t="shared" si="746"/>
        <v>530000</v>
      </c>
      <c r="G923" s="513">
        <v>530000</v>
      </c>
      <c r="H923" s="513">
        <v>530000</v>
      </c>
      <c r="I923" s="513">
        <v>530000</v>
      </c>
      <c r="J923" s="513">
        <v>530000</v>
      </c>
      <c r="K923" s="513">
        <v>530000</v>
      </c>
    </row>
    <row r="924" spans="1:11" customFormat="1" ht="15" x14ac:dyDescent="0.25">
      <c r="A924" s="520">
        <v>3239</v>
      </c>
      <c r="B924" s="521" t="s">
        <v>31</v>
      </c>
      <c r="C924" s="513">
        <v>27000</v>
      </c>
      <c r="D924" s="513"/>
      <c r="E924" s="513"/>
      <c r="F924" s="513">
        <f t="shared" si="746"/>
        <v>27000</v>
      </c>
      <c r="G924" s="513">
        <v>27000</v>
      </c>
      <c r="H924" s="513">
        <v>27000</v>
      </c>
      <c r="I924" s="513">
        <v>27000</v>
      </c>
      <c r="J924" s="513">
        <v>27000</v>
      </c>
      <c r="K924" s="513">
        <v>27000</v>
      </c>
    </row>
    <row r="925" spans="1:11" customFormat="1" ht="25.5" x14ac:dyDescent="0.25">
      <c r="A925" s="508">
        <v>324</v>
      </c>
      <c r="B925" s="509" t="s">
        <v>32</v>
      </c>
      <c r="C925" s="510">
        <f t="shared" ref="C925:K925" si="750">SUM(C926)</f>
        <v>398000</v>
      </c>
      <c r="D925" s="510">
        <f t="shared" si="750"/>
        <v>0</v>
      </c>
      <c r="E925" s="510">
        <f t="shared" si="750"/>
        <v>0</v>
      </c>
      <c r="F925" s="510">
        <f t="shared" si="750"/>
        <v>398000</v>
      </c>
      <c r="G925" s="510">
        <f t="shared" si="750"/>
        <v>398000</v>
      </c>
      <c r="H925" s="510">
        <f t="shared" si="750"/>
        <v>398000</v>
      </c>
      <c r="I925" s="510">
        <f t="shared" si="750"/>
        <v>398000</v>
      </c>
      <c r="J925" s="510">
        <f t="shared" si="750"/>
        <v>398000</v>
      </c>
      <c r="K925" s="510">
        <f t="shared" si="750"/>
        <v>398000</v>
      </c>
    </row>
    <row r="926" spans="1:11" customFormat="1" ht="25.5" x14ac:dyDescent="0.25">
      <c r="A926" s="511">
        <v>3241</v>
      </c>
      <c r="B926" s="512" t="s">
        <v>32</v>
      </c>
      <c r="C926" s="513">
        <v>398000</v>
      </c>
      <c r="D926" s="513"/>
      <c r="E926" s="513"/>
      <c r="F926" s="513">
        <f t="shared" si="746"/>
        <v>398000</v>
      </c>
      <c r="G926" s="513">
        <v>398000</v>
      </c>
      <c r="H926" s="513">
        <v>398000</v>
      </c>
      <c r="I926" s="513">
        <v>398000</v>
      </c>
      <c r="J926" s="513">
        <v>398000</v>
      </c>
      <c r="K926" s="513">
        <v>398000</v>
      </c>
    </row>
    <row r="927" spans="1:11" customFormat="1" ht="34.5" customHeight="1" x14ac:dyDescent="0.25">
      <c r="A927" s="501" t="s">
        <v>267</v>
      </c>
      <c r="B927" s="502" t="s">
        <v>268</v>
      </c>
      <c r="C927" s="503">
        <f t="shared" ref="C927:K927" si="751">SUM(C928)</f>
        <v>147000</v>
      </c>
      <c r="D927" s="503">
        <f t="shared" si="751"/>
        <v>53000</v>
      </c>
      <c r="E927" s="503">
        <f t="shared" si="751"/>
        <v>0</v>
      </c>
      <c r="F927" s="503">
        <f t="shared" si="751"/>
        <v>94000</v>
      </c>
      <c r="G927" s="503">
        <f t="shared" si="751"/>
        <v>147000</v>
      </c>
      <c r="H927" s="503">
        <f t="shared" si="751"/>
        <v>147000</v>
      </c>
      <c r="I927" s="503">
        <f t="shared" si="751"/>
        <v>147000</v>
      </c>
      <c r="J927" s="503">
        <f t="shared" si="751"/>
        <v>147000</v>
      </c>
      <c r="K927" s="503">
        <f t="shared" si="751"/>
        <v>147000</v>
      </c>
    </row>
    <row r="928" spans="1:11" customFormat="1" ht="18" customHeight="1" x14ac:dyDescent="0.25">
      <c r="A928" s="710" t="s">
        <v>118</v>
      </c>
      <c r="B928" s="710"/>
      <c r="C928" s="504">
        <f>SUM(C929,C936)</f>
        <v>147000</v>
      </c>
      <c r="D928" s="504">
        <f t="shared" ref="D928:F928" si="752">SUM(D929,D936)</f>
        <v>53000</v>
      </c>
      <c r="E928" s="504">
        <f t="shared" si="752"/>
        <v>0</v>
      </c>
      <c r="F928" s="504">
        <f t="shared" si="752"/>
        <v>94000</v>
      </c>
      <c r="G928" s="504">
        <f>SUM(G929,G936)</f>
        <v>147000</v>
      </c>
      <c r="H928" s="504">
        <f>SUM(H929,H936)</f>
        <v>147000</v>
      </c>
      <c r="I928" s="504">
        <f t="shared" ref="I928:J928" si="753">SUM(I929,I936)</f>
        <v>147000</v>
      </c>
      <c r="J928" s="504">
        <f t="shared" si="753"/>
        <v>147000</v>
      </c>
      <c r="K928" s="504">
        <f t="shared" ref="K928" si="754">SUM(K929,K936)</f>
        <v>147000</v>
      </c>
    </row>
    <row r="929" spans="1:11" customFormat="1" ht="18" customHeight="1" x14ac:dyDescent="0.25">
      <c r="A929" s="516" t="s">
        <v>322</v>
      </c>
      <c r="B929" s="517" t="s">
        <v>323</v>
      </c>
      <c r="C929" s="518">
        <f>SUM(C930)</f>
        <v>27000</v>
      </c>
      <c r="D929" s="518">
        <f t="shared" ref="D929:K929" si="755">SUM(D930)</f>
        <v>0</v>
      </c>
      <c r="E929" s="518">
        <f t="shared" si="755"/>
        <v>0</v>
      </c>
      <c r="F929" s="518">
        <f t="shared" si="755"/>
        <v>27000</v>
      </c>
      <c r="G929" s="518">
        <f>SUM(G930)</f>
        <v>27000</v>
      </c>
      <c r="H929" s="518">
        <f>SUM(H930)</f>
        <v>27000</v>
      </c>
      <c r="I929" s="518">
        <f t="shared" si="755"/>
        <v>27000</v>
      </c>
      <c r="J929" s="518">
        <f t="shared" si="755"/>
        <v>27000</v>
      </c>
      <c r="K929" s="518">
        <f t="shared" si="755"/>
        <v>27000</v>
      </c>
    </row>
    <row r="930" spans="1:11" customFormat="1" ht="15" x14ac:dyDescent="0.25">
      <c r="A930" s="508">
        <v>311</v>
      </c>
      <c r="B930" s="509" t="s">
        <v>4</v>
      </c>
      <c r="C930" s="510">
        <f t="shared" ref="C930" si="756">SUM(C931:C932)</f>
        <v>27000</v>
      </c>
      <c r="D930" s="510">
        <f t="shared" ref="D930:F930" si="757">SUM(D931:D932)</f>
        <v>0</v>
      </c>
      <c r="E930" s="510">
        <f t="shared" si="757"/>
        <v>0</v>
      </c>
      <c r="F930" s="510">
        <f t="shared" si="757"/>
        <v>27000</v>
      </c>
      <c r="G930" s="510">
        <f t="shared" ref="G930:H930" si="758">SUM(G931:G932)</f>
        <v>27000</v>
      </c>
      <c r="H930" s="510">
        <f t="shared" si="758"/>
        <v>27000</v>
      </c>
      <c r="I930" s="510">
        <f t="shared" ref="I930:J930" si="759">SUM(I931:I932)</f>
        <v>27000</v>
      </c>
      <c r="J930" s="510">
        <f t="shared" si="759"/>
        <v>27000</v>
      </c>
      <c r="K930" s="510">
        <f t="shared" ref="K930" si="760">SUM(K931:K932)</f>
        <v>27000</v>
      </c>
    </row>
    <row r="931" spans="1:11" customFormat="1" ht="13.5" customHeight="1" x14ac:dyDescent="0.25">
      <c r="A931" s="511">
        <v>3111</v>
      </c>
      <c r="B931" s="512" t="s">
        <v>5</v>
      </c>
      <c r="C931" s="513">
        <v>27000</v>
      </c>
      <c r="D931" s="513"/>
      <c r="E931" s="513"/>
      <c r="F931" s="513">
        <f t="shared" ref="F931" si="761">C931-D931+E931</f>
        <v>27000</v>
      </c>
      <c r="G931" s="513">
        <v>27000</v>
      </c>
      <c r="H931" s="513">
        <v>27000</v>
      </c>
      <c r="I931" s="513">
        <v>27000</v>
      </c>
      <c r="J931" s="513">
        <v>27000</v>
      </c>
      <c r="K931" s="513">
        <v>27000</v>
      </c>
    </row>
    <row r="932" spans="1:11" customFormat="1" ht="15" hidden="1" x14ac:dyDescent="0.25">
      <c r="A932" s="511">
        <v>3113</v>
      </c>
      <c r="B932" s="512" t="s">
        <v>6</v>
      </c>
      <c r="C932" s="513"/>
      <c r="D932" s="513"/>
      <c r="E932" s="513"/>
      <c r="F932" s="513"/>
      <c r="G932" s="513"/>
      <c r="H932" s="513"/>
      <c r="I932" s="513"/>
      <c r="J932" s="513"/>
      <c r="K932" s="513"/>
    </row>
    <row r="933" spans="1:11" customFormat="1" ht="15" hidden="1" x14ac:dyDescent="0.25">
      <c r="A933" s="508">
        <v>313</v>
      </c>
      <c r="B933" s="509" t="s">
        <v>8</v>
      </c>
      <c r="C933" s="510">
        <f t="shared" ref="C933:D933" si="762">SUM(C934:C935)</f>
        <v>0</v>
      </c>
      <c r="D933" s="510">
        <f t="shared" si="762"/>
        <v>0</v>
      </c>
      <c r="E933" s="510"/>
      <c r="F933" s="510"/>
      <c r="G933" s="510">
        <f t="shared" ref="G933:H933" si="763">SUM(G934:G935)</f>
        <v>0</v>
      </c>
      <c r="H933" s="510">
        <f t="shared" si="763"/>
        <v>0</v>
      </c>
      <c r="I933" s="510"/>
      <c r="J933" s="510"/>
      <c r="K933" s="510"/>
    </row>
    <row r="934" spans="1:11" customFormat="1" ht="15" hidden="1" x14ac:dyDescent="0.25">
      <c r="A934" s="511">
        <v>3131</v>
      </c>
      <c r="B934" s="512" t="s">
        <v>9</v>
      </c>
      <c r="C934" s="513"/>
      <c r="D934" s="513"/>
      <c r="E934" s="513"/>
      <c r="F934" s="513"/>
      <c r="G934" s="513"/>
      <c r="H934" s="513"/>
      <c r="I934" s="513"/>
      <c r="J934" s="513"/>
      <c r="K934" s="513"/>
    </row>
    <row r="935" spans="1:11" customFormat="1" ht="15" hidden="1" x14ac:dyDescent="0.25">
      <c r="A935" s="511">
        <v>3132</v>
      </c>
      <c r="B935" s="512" t="s">
        <v>10</v>
      </c>
      <c r="C935" s="513"/>
      <c r="D935" s="513"/>
      <c r="E935" s="513"/>
      <c r="F935" s="513"/>
      <c r="G935" s="513"/>
      <c r="H935" s="513"/>
      <c r="I935" s="513"/>
      <c r="J935" s="513"/>
      <c r="K935" s="513"/>
    </row>
    <row r="936" spans="1:11" customFormat="1" ht="15" x14ac:dyDescent="0.25">
      <c r="A936" s="516" t="s">
        <v>324</v>
      </c>
      <c r="B936" s="516" t="s">
        <v>325</v>
      </c>
      <c r="C936" s="549">
        <f>SUM(C937,C941,C945,C951,C953)</f>
        <v>120000</v>
      </c>
      <c r="D936" s="549">
        <f t="shared" ref="D936:F936" si="764">SUM(D937,D941,D945,D951,D953)</f>
        <v>53000</v>
      </c>
      <c r="E936" s="549">
        <f t="shared" si="764"/>
        <v>0</v>
      </c>
      <c r="F936" s="549">
        <f t="shared" si="764"/>
        <v>67000</v>
      </c>
      <c r="G936" s="549">
        <f>SUM(G937,G941,G945,G951,G953)</f>
        <v>120000</v>
      </c>
      <c r="H936" s="549">
        <f>SUM(H937,H941,H945,H951,H953)</f>
        <v>120000</v>
      </c>
      <c r="I936" s="549">
        <f t="shared" ref="I936:K936" si="765">SUM(I937,I941,I945,I951,I953)</f>
        <v>120000</v>
      </c>
      <c r="J936" s="549">
        <f t="shared" si="765"/>
        <v>120000</v>
      </c>
      <c r="K936" s="549">
        <f t="shared" si="765"/>
        <v>120000</v>
      </c>
    </row>
    <row r="937" spans="1:11" customFormat="1" ht="15" x14ac:dyDescent="0.25">
      <c r="A937" s="508">
        <v>321</v>
      </c>
      <c r="B937" s="509" t="s">
        <v>12</v>
      </c>
      <c r="C937" s="510">
        <f t="shared" ref="C937:F937" si="766">SUM(C938:C940)</f>
        <v>21000</v>
      </c>
      <c r="D937" s="510">
        <f t="shared" si="766"/>
        <v>10000</v>
      </c>
      <c r="E937" s="510">
        <f t="shared" si="766"/>
        <v>0</v>
      </c>
      <c r="F937" s="510">
        <f t="shared" si="766"/>
        <v>11000</v>
      </c>
      <c r="G937" s="510">
        <f t="shared" ref="G937:H937" si="767">SUM(G938:G940)</f>
        <v>21000</v>
      </c>
      <c r="H937" s="510">
        <f t="shared" si="767"/>
        <v>21000</v>
      </c>
      <c r="I937" s="510">
        <f t="shared" ref="I937:K937" si="768">SUM(I938:I940)</f>
        <v>21000</v>
      </c>
      <c r="J937" s="510">
        <f t="shared" si="768"/>
        <v>21000</v>
      </c>
      <c r="K937" s="510">
        <f t="shared" si="768"/>
        <v>21000</v>
      </c>
    </row>
    <row r="938" spans="1:11" customFormat="1" ht="15" x14ac:dyDescent="0.25">
      <c r="A938" s="511">
        <v>3211</v>
      </c>
      <c r="B938" s="512" t="s">
        <v>13</v>
      </c>
      <c r="C938" s="513">
        <v>20000</v>
      </c>
      <c r="D938" s="513">
        <v>10000</v>
      </c>
      <c r="E938" s="513"/>
      <c r="F938" s="513">
        <f t="shared" ref="F938:F939" si="769">C938-D938+E938</f>
        <v>10000</v>
      </c>
      <c r="G938" s="513">
        <v>20000</v>
      </c>
      <c r="H938" s="513">
        <v>20000</v>
      </c>
      <c r="I938" s="513">
        <v>20000</v>
      </c>
      <c r="J938" s="513">
        <v>20000</v>
      </c>
      <c r="K938" s="513">
        <v>20000</v>
      </c>
    </row>
    <row r="939" spans="1:11" customFormat="1" ht="25.5" x14ac:dyDescent="0.25">
      <c r="A939" s="511">
        <v>3212</v>
      </c>
      <c r="B939" s="512" t="s">
        <v>14</v>
      </c>
      <c r="C939" s="513">
        <v>1000</v>
      </c>
      <c r="D939" s="513"/>
      <c r="E939" s="513"/>
      <c r="F939" s="513">
        <f t="shared" si="769"/>
        <v>1000</v>
      </c>
      <c r="G939" s="513">
        <v>1000</v>
      </c>
      <c r="H939" s="513">
        <v>1000</v>
      </c>
      <c r="I939" s="513">
        <v>1000</v>
      </c>
      <c r="J939" s="513">
        <v>1000</v>
      </c>
      <c r="K939" s="513">
        <v>1000</v>
      </c>
    </row>
    <row r="940" spans="1:11" customFormat="1" ht="15" hidden="1" x14ac:dyDescent="0.25">
      <c r="A940" s="511">
        <v>3213</v>
      </c>
      <c r="B940" s="512" t="s">
        <v>15</v>
      </c>
      <c r="C940" s="513"/>
      <c r="D940" s="513"/>
      <c r="E940" s="513"/>
      <c r="F940" s="513"/>
      <c r="G940" s="513"/>
      <c r="H940" s="513"/>
      <c r="I940" s="513"/>
      <c r="J940" s="513"/>
      <c r="K940" s="513"/>
    </row>
    <row r="941" spans="1:11" customFormat="1" ht="15" x14ac:dyDescent="0.25">
      <c r="A941" s="508">
        <v>322</v>
      </c>
      <c r="B941" s="509" t="s">
        <v>16</v>
      </c>
      <c r="C941" s="510">
        <f t="shared" ref="C941:F941" si="770">SUM(C942:C944)</f>
        <v>1000</v>
      </c>
      <c r="D941" s="510">
        <f t="shared" si="770"/>
        <v>0</v>
      </c>
      <c r="E941" s="510">
        <f t="shared" si="770"/>
        <v>0</v>
      </c>
      <c r="F941" s="510">
        <f t="shared" si="770"/>
        <v>1000</v>
      </c>
      <c r="G941" s="510">
        <f t="shared" ref="G941:H941" si="771">SUM(G942:G944)</f>
        <v>1000</v>
      </c>
      <c r="H941" s="510">
        <f t="shared" si="771"/>
        <v>1000</v>
      </c>
      <c r="I941" s="510">
        <f t="shared" ref="I941:J941" si="772">SUM(I942:I944)</f>
        <v>1000</v>
      </c>
      <c r="J941" s="510">
        <f t="shared" si="772"/>
        <v>1000</v>
      </c>
      <c r="K941" s="510">
        <f t="shared" ref="K941" si="773">SUM(K942:K944)</f>
        <v>1000</v>
      </c>
    </row>
    <row r="942" spans="1:11" customFormat="1" ht="15" x14ac:dyDescent="0.25">
      <c r="A942" s="511">
        <v>3221</v>
      </c>
      <c r="B942" s="512" t="s">
        <v>17</v>
      </c>
      <c r="C942" s="513">
        <v>1000</v>
      </c>
      <c r="D942" s="513"/>
      <c r="E942" s="513"/>
      <c r="F942" s="513">
        <f t="shared" ref="F942" si="774">C942-D942+E942</f>
        <v>1000</v>
      </c>
      <c r="G942" s="513">
        <v>1000</v>
      </c>
      <c r="H942" s="513">
        <v>1000</v>
      </c>
      <c r="I942" s="513">
        <v>1000</v>
      </c>
      <c r="J942" s="513">
        <v>1000</v>
      </c>
      <c r="K942" s="513">
        <v>1000</v>
      </c>
    </row>
    <row r="943" spans="1:11" customFormat="1" ht="15" hidden="1" x14ac:dyDescent="0.25">
      <c r="A943" s="511">
        <v>3223</v>
      </c>
      <c r="B943" s="512" t="s">
        <v>19</v>
      </c>
      <c r="C943" s="513"/>
      <c r="D943" s="513"/>
      <c r="E943" s="513"/>
      <c r="F943" s="513"/>
      <c r="G943" s="513"/>
      <c r="H943" s="513"/>
      <c r="I943" s="513"/>
      <c r="J943" s="513"/>
      <c r="K943" s="513"/>
    </row>
    <row r="944" spans="1:11" customFormat="1" ht="15" hidden="1" x14ac:dyDescent="0.25">
      <c r="A944" s="511">
        <v>3225</v>
      </c>
      <c r="B944" s="512" t="s">
        <v>21</v>
      </c>
      <c r="C944" s="513"/>
      <c r="D944" s="513"/>
      <c r="E944" s="513"/>
      <c r="F944" s="513"/>
      <c r="G944" s="513"/>
      <c r="H944" s="513"/>
      <c r="I944" s="513"/>
      <c r="J944" s="513"/>
      <c r="K944" s="513"/>
    </row>
    <row r="945" spans="1:11" customFormat="1" ht="15" x14ac:dyDescent="0.25">
      <c r="A945" s="508">
        <v>323</v>
      </c>
      <c r="B945" s="509" t="s">
        <v>23</v>
      </c>
      <c r="C945" s="510">
        <f t="shared" ref="C945:F945" si="775">SUM(C946:C950)</f>
        <v>86000</v>
      </c>
      <c r="D945" s="510">
        <f t="shared" si="775"/>
        <v>36000</v>
      </c>
      <c r="E945" s="510">
        <f t="shared" si="775"/>
        <v>0</v>
      </c>
      <c r="F945" s="510">
        <f t="shared" si="775"/>
        <v>50000</v>
      </c>
      <c r="G945" s="510">
        <f t="shared" ref="G945:H945" si="776">SUM(G946:G950)</f>
        <v>86000</v>
      </c>
      <c r="H945" s="510">
        <f t="shared" si="776"/>
        <v>86000</v>
      </c>
      <c r="I945" s="510">
        <f t="shared" ref="I945:K945" si="777">SUM(I946:I950)</f>
        <v>86000</v>
      </c>
      <c r="J945" s="510">
        <f t="shared" si="777"/>
        <v>86000</v>
      </c>
      <c r="K945" s="510">
        <f t="shared" si="777"/>
        <v>86000</v>
      </c>
    </row>
    <row r="946" spans="1:11" customFormat="1" ht="15" hidden="1" x14ac:dyDescent="0.25">
      <c r="A946" s="511">
        <v>3231</v>
      </c>
      <c r="B946" s="512" t="s">
        <v>24</v>
      </c>
      <c r="C946" s="513"/>
      <c r="D946" s="513"/>
      <c r="E946" s="513"/>
      <c r="F946" s="513"/>
      <c r="G946" s="513"/>
      <c r="H946" s="513"/>
      <c r="I946" s="513"/>
      <c r="J946" s="513"/>
      <c r="K946" s="513"/>
    </row>
    <row r="947" spans="1:11" customFormat="1" ht="15" x14ac:dyDescent="0.25">
      <c r="A947" s="511">
        <v>3233</v>
      </c>
      <c r="B947" s="512" t="s">
        <v>26</v>
      </c>
      <c r="C947" s="513">
        <v>4000</v>
      </c>
      <c r="D947" s="513">
        <v>3000</v>
      </c>
      <c r="E947" s="513"/>
      <c r="F947" s="513">
        <f t="shared" ref="F947:F954" si="778">C947-D947+E947</f>
        <v>1000</v>
      </c>
      <c r="G947" s="513">
        <v>4000</v>
      </c>
      <c r="H947" s="513">
        <v>4000</v>
      </c>
      <c r="I947" s="513">
        <v>4000</v>
      </c>
      <c r="J947" s="513">
        <v>4000</v>
      </c>
      <c r="K947" s="513">
        <v>4000</v>
      </c>
    </row>
    <row r="948" spans="1:11" customFormat="1" ht="15" x14ac:dyDescent="0.25">
      <c r="A948" s="511">
        <v>3235</v>
      </c>
      <c r="B948" s="512" t="s">
        <v>28</v>
      </c>
      <c r="C948" s="513">
        <v>7000</v>
      </c>
      <c r="D948" s="513">
        <v>6000</v>
      </c>
      <c r="E948" s="513"/>
      <c r="F948" s="513">
        <f t="shared" si="778"/>
        <v>1000</v>
      </c>
      <c r="G948" s="513">
        <v>7000</v>
      </c>
      <c r="H948" s="513">
        <v>7000</v>
      </c>
      <c r="I948" s="513">
        <v>7000</v>
      </c>
      <c r="J948" s="513">
        <v>7000</v>
      </c>
      <c r="K948" s="513">
        <v>7000</v>
      </c>
    </row>
    <row r="949" spans="1:11" customFormat="1" ht="15" x14ac:dyDescent="0.25">
      <c r="A949" s="511">
        <v>3237</v>
      </c>
      <c r="B949" s="512" t="s">
        <v>30</v>
      </c>
      <c r="C949" s="513">
        <v>65000</v>
      </c>
      <c r="D949" s="513">
        <v>25000</v>
      </c>
      <c r="E949" s="513"/>
      <c r="F949" s="513">
        <f t="shared" si="778"/>
        <v>40000</v>
      </c>
      <c r="G949" s="513">
        <v>71000</v>
      </c>
      <c r="H949" s="513">
        <v>71000</v>
      </c>
      <c r="I949" s="513">
        <v>71000</v>
      </c>
      <c r="J949" s="513">
        <v>71000</v>
      </c>
      <c r="K949" s="513">
        <v>71000</v>
      </c>
    </row>
    <row r="950" spans="1:11" customFormat="1" ht="15" x14ac:dyDescent="0.25">
      <c r="A950" s="511">
        <v>3239</v>
      </c>
      <c r="B950" s="512" t="s">
        <v>31</v>
      </c>
      <c r="C950" s="513">
        <v>10000</v>
      </c>
      <c r="D950" s="513">
        <v>2000</v>
      </c>
      <c r="E950" s="513"/>
      <c r="F950" s="513">
        <f t="shared" si="778"/>
        <v>8000</v>
      </c>
      <c r="G950" s="513">
        <v>4000</v>
      </c>
      <c r="H950" s="513">
        <v>4000</v>
      </c>
      <c r="I950" s="513">
        <v>4000</v>
      </c>
      <c r="J950" s="513">
        <v>4000</v>
      </c>
      <c r="K950" s="513">
        <v>4000</v>
      </c>
    </row>
    <row r="951" spans="1:11" customFormat="1" ht="25.5" x14ac:dyDescent="0.25">
      <c r="A951" s="519" t="s">
        <v>168</v>
      </c>
      <c r="B951" s="523" t="s">
        <v>32</v>
      </c>
      <c r="C951" s="510">
        <f t="shared" ref="C951:K951" si="779">SUM(C952)</f>
        <v>5000</v>
      </c>
      <c r="D951" s="510">
        <f t="shared" si="779"/>
        <v>1000</v>
      </c>
      <c r="E951" s="510">
        <f t="shared" si="779"/>
        <v>0</v>
      </c>
      <c r="F951" s="510">
        <f t="shared" si="779"/>
        <v>4000</v>
      </c>
      <c r="G951" s="510">
        <f t="shared" si="779"/>
        <v>5000</v>
      </c>
      <c r="H951" s="510">
        <f t="shared" si="779"/>
        <v>5000</v>
      </c>
      <c r="I951" s="510">
        <f t="shared" si="779"/>
        <v>5000</v>
      </c>
      <c r="J951" s="510">
        <f t="shared" si="779"/>
        <v>5000</v>
      </c>
      <c r="K951" s="510">
        <f t="shared" si="779"/>
        <v>5000</v>
      </c>
    </row>
    <row r="952" spans="1:11" customFormat="1" ht="25.5" x14ac:dyDescent="0.25">
      <c r="A952" s="520" t="s">
        <v>169</v>
      </c>
      <c r="B952" s="521" t="s">
        <v>32</v>
      </c>
      <c r="C952" s="513">
        <v>5000</v>
      </c>
      <c r="D952" s="513">
        <v>1000</v>
      </c>
      <c r="E952" s="513"/>
      <c r="F952" s="513">
        <f t="shared" si="778"/>
        <v>4000</v>
      </c>
      <c r="G952" s="513">
        <v>5000</v>
      </c>
      <c r="H952" s="513">
        <v>5000</v>
      </c>
      <c r="I952" s="513">
        <v>5000</v>
      </c>
      <c r="J952" s="513">
        <v>5000</v>
      </c>
      <c r="K952" s="513">
        <v>5000</v>
      </c>
    </row>
    <row r="953" spans="1:11" customFormat="1" ht="15" x14ac:dyDescent="0.25">
      <c r="A953" s="519">
        <v>329</v>
      </c>
      <c r="B953" s="509" t="s">
        <v>33</v>
      </c>
      <c r="C953" s="510">
        <f t="shared" ref="C953:K953" si="780">SUM(C954)</f>
        <v>7000</v>
      </c>
      <c r="D953" s="510">
        <f t="shared" si="780"/>
        <v>6000</v>
      </c>
      <c r="E953" s="510">
        <f t="shared" si="780"/>
        <v>0</v>
      </c>
      <c r="F953" s="510">
        <f t="shared" si="780"/>
        <v>1000</v>
      </c>
      <c r="G953" s="510">
        <f t="shared" si="780"/>
        <v>7000</v>
      </c>
      <c r="H953" s="510">
        <f t="shared" si="780"/>
        <v>7000</v>
      </c>
      <c r="I953" s="510">
        <f t="shared" si="780"/>
        <v>7000</v>
      </c>
      <c r="J953" s="510">
        <f t="shared" si="780"/>
        <v>7000</v>
      </c>
      <c r="K953" s="510">
        <f t="shared" si="780"/>
        <v>7000</v>
      </c>
    </row>
    <row r="954" spans="1:11" customFormat="1" ht="15" x14ac:dyDescent="0.25">
      <c r="A954" s="520">
        <v>3293</v>
      </c>
      <c r="B954" s="521" t="s">
        <v>36</v>
      </c>
      <c r="C954" s="513">
        <v>7000</v>
      </c>
      <c r="D954" s="513">
        <v>6000</v>
      </c>
      <c r="E954" s="513"/>
      <c r="F954" s="513">
        <f t="shared" si="778"/>
        <v>1000</v>
      </c>
      <c r="G954" s="513">
        <v>7000</v>
      </c>
      <c r="H954" s="513">
        <v>7000</v>
      </c>
      <c r="I954" s="513">
        <v>7000</v>
      </c>
      <c r="J954" s="513">
        <v>7000</v>
      </c>
      <c r="K954" s="513">
        <v>7000</v>
      </c>
    </row>
    <row r="955" spans="1:11" customFormat="1" ht="25.5" x14ac:dyDescent="0.25">
      <c r="A955" s="573" t="s">
        <v>357</v>
      </c>
      <c r="B955" s="562" t="s">
        <v>359</v>
      </c>
      <c r="C955" s="503">
        <f t="shared" ref="C955:K955" si="781">SUM(C956)</f>
        <v>7981600</v>
      </c>
      <c r="D955" s="503">
        <f t="shared" si="781"/>
        <v>6913400</v>
      </c>
      <c r="E955" s="503">
        <f t="shared" si="781"/>
        <v>0</v>
      </c>
      <c r="F955" s="503">
        <f t="shared" si="781"/>
        <v>1068200</v>
      </c>
      <c r="G955" s="503">
        <f t="shared" si="781"/>
        <v>128000</v>
      </c>
      <c r="H955" s="503">
        <f t="shared" si="781"/>
        <v>128000</v>
      </c>
      <c r="I955" s="503">
        <f t="shared" si="781"/>
        <v>2104000</v>
      </c>
      <c r="J955" s="503">
        <f t="shared" si="781"/>
        <v>137000</v>
      </c>
      <c r="K955" s="503">
        <f t="shared" si="781"/>
        <v>55000</v>
      </c>
    </row>
    <row r="956" spans="1:11" customFormat="1" ht="15" x14ac:dyDescent="0.25">
      <c r="A956" s="710" t="s">
        <v>118</v>
      </c>
      <c r="B956" s="710"/>
      <c r="C956" s="504">
        <f>SUM(C957,C960,C972,C968)</f>
        <v>7981600</v>
      </c>
      <c r="D956" s="504">
        <f t="shared" ref="D956:F956" si="782">SUM(D957,D960,D972,D968)</f>
        <v>6913400</v>
      </c>
      <c r="E956" s="504">
        <f t="shared" si="782"/>
        <v>0</v>
      </c>
      <c r="F956" s="504">
        <f t="shared" si="782"/>
        <v>1068200</v>
      </c>
      <c r="G956" s="504">
        <f t="shared" ref="G956:H956" si="783">SUM(G957,G960,G972,G968)</f>
        <v>128000</v>
      </c>
      <c r="H956" s="504">
        <f t="shared" si="783"/>
        <v>128000</v>
      </c>
      <c r="I956" s="504">
        <f t="shared" ref="I956:K956" si="784">SUM(I957,I960,I972,I968)</f>
        <v>2104000</v>
      </c>
      <c r="J956" s="504">
        <f t="shared" si="784"/>
        <v>137000</v>
      </c>
      <c r="K956" s="504">
        <f t="shared" si="784"/>
        <v>55000</v>
      </c>
    </row>
    <row r="957" spans="1:11" customFormat="1" ht="15" x14ac:dyDescent="0.25">
      <c r="A957" s="516" t="s">
        <v>322</v>
      </c>
      <c r="B957" s="517" t="s">
        <v>323</v>
      </c>
      <c r="C957" s="518">
        <f>SUM(C958)</f>
        <v>90000</v>
      </c>
      <c r="D957" s="518">
        <f t="shared" ref="D957:K958" si="785">SUM(D958)</f>
        <v>10000</v>
      </c>
      <c r="E957" s="518">
        <f t="shared" si="785"/>
        <v>0</v>
      </c>
      <c r="F957" s="518">
        <f t="shared" si="785"/>
        <v>80000</v>
      </c>
      <c r="G957" s="518">
        <f t="shared" si="785"/>
        <v>90000</v>
      </c>
      <c r="H957" s="518">
        <f t="shared" si="785"/>
        <v>90000</v>
      </c>
      <c r="I957" s="518">
        <f t="shared" si="785"/>
        <v>90000</v>
      </c>
      <c r="J957" s="518">
        <f t="shared" si="785"/>
        <v>90000</v>
      </c>
      <c r="K957" s="518">
        <f t="shared" si="785"/>
        <v>45000</v>
      </c>
    </row>
    <row r="958" spans="1:11" customFormat="1" ht="15" x14ac:dyDescent="0.25">
      <c r="A958" s="596">
        <v>311</v>
      </c>
      <c r="B958" s="509" t="s">
        <v>4</v>
      </c>
      <c r="C958" s="525">
        <f>SUM(C959)</f>
        <v>90000</v>
      </c>
      <c r="D958" s="525">
        <f t="shared" si="785"/>
        <v>10000</v>
      </c>
      <c r="E958" s="525">
        <f t="shared" si="785"/>
        <v>0</v>
      </c>
      <c r="F958" s="525">
        <f t="shared" si="785"/>
        <v>80000</v>
      </c>
      <c r="G958" s="525">
        <f t="shared" si="785"/>
        <v>90000</v>
      </c>
      <c r="H958" s="525">
        <f t="shared" si="785"/>
        <v>90000</v>
      </c>
      <c r="I958" s="525">
        <f t="shared" si="785"/>
        <v>90000</v>
      </c>
      <c r="J958" s="525">
        <f t="shared" si="785"/>
        <v>90000</v>
      </c>
      <c r="K958" s="525">
        <f t="shared" si="785"/>
        <v>45000</v>
      </c>
    </row>
    <row r="959" spans="1:11" customFormat="1" ht="15" x14ac:dyDescent="0.25">
      <c r="A959" s="531">
        <v>3111</v>
      </c>
      <c r="B959" s="512" t="s">
        <v>5</v>
      </c>
      <c r="C959" s="526">
        <v>90000</v>
      </c>
      <c r="D959" s="526">
        <v>10000</v>
      </c>
      <c r="E959" s="526"/>
      <c r="F959" s="513">
        <f t="shared" ref="F959" si="786">C959-D959+E959</f>
        <v>80000</v>
      </c>
      <c r="G959" s="526">
        <v>90000</v>
      </c>
      <c r="H959" s="526">
        <v>90000</v>
      </c>
      <c r="I959" s="526">
        <v>90000</v>
      </c>
      <c r="J959" s="526">
        <v>90000</v>
      </c>
      <c r="K959" s="526">
        <v>45000</v>
      </c>
    </row>
    <row r="960" spans="1:11" customFormat="1" ht="15" x14ac:dyDescent="0.25">
      <c r="A960" s="516" t="s">
        <v>324</v>
      </c>
      <c r="B960" s="516" t="s">
        <v>325</v>
      </c>
      <c r="C960" s="549">
        <f>SUM(C961,C964,C966)</f>
        <v>6945400</v>
      </c>
      <c r="D960" s="549">
        <f t="shared" ref="D960" si="787">SUM(D961,D964,D966)</f>
        <v>6903400</v>
      </c>
      <c r="E960" s="549">
        <f t="shared" ref="E960:K960" si="788">SUM(E961,E964,E966)</f>
        <v>0</v>
      </c>
      <c r="F960" s="549">
        <f t="shared" si="788"/>
        <v>42000</v>
      </c>
      <c r="G960" s="549">
        <f t="shared" si="788"/>
        <v>38000</v>
      </c>
      <c r="H960" s="549">
        <f t="shared" si="788"/>
        <v>38000</v>
      </c>
      <c r="I960" s="549">
        <f t="shared" si="788"/>
        <v>1947000</v>
      </c>
      <c r="J960" s="549">
        <f t="shared" si="788"/>
        <v>47000</v>
      </c>
      <c r="K960" s="549">
        <f t="shared" si="788"/>
        <v>10000</v>
      </c>
    </row>
    <row r="961" spans="1:11" customFormat="1" ht="15" x14ac:dyDescent="0.25">
      <c r="A961" s="577" t="s">
        <v>153</v>
      </c>
      <c r="B961" s="578" t="s">
        <v>16</v>
      </c>
      <c r="C961" s="510">
        <f>SUM(C962,C963)</f>
        <v>6900000</v>
      </c>
      <c r="D961" s="510">
        <f t="shared" ref="D961:F961" si="789">SUM(D962,D963)</f>
        <v>6900000</v>
      </c>
      <c r="E961" s="510">
        <f t="shared" si="789"/>
        <v>0</v>
      </c>
      <c r="F961" s="510">
        <f t="shared" si="789"/>
        <v>0</v>
      </c>
      <c r="G961" s="510">
        <f t="shared" ref="G961:K961" si="790">SUM(G962:G963)</f>
        <v>0</v>
      </c>
      <c r="H961" s="510">
        <f t="shared" si="790"/>
        <v>0</v>
      </c>
      <c r="I961" s="510">
        <f t="shared" si="790"/>
        <v>1900000</v>
      </c>
      <c r="J961" s="510">
        <f t="shared" si="790"/>
        <v>0</v>
      </c>
      <c r="K961" s="510">
        <f t="shared" si="790"/>
        <v>0</v>
      </c>
    </row>
    <row r="962" spans="1:11" customFormat="1" ht="15" x14ac:dyDescent="0.25">
      <c r="A962" s="580">
        <v>3221</v>
      </c>
      <c r="B962" s="546" t="s">
        <v>17</v>
      </c>
      <c r="C962" s="513"/>
      <c r="D962" s="513"/>
      <c r="E962" s="513"/>
      <c r="F962" s="513">
        <f t="shared" ref="F962:F967" si="791">C962-D962+E962</f>
        <v>0</v>
      </c>
      <c r="G962" s="513"/>
      <c r="H962" s="513"/>
      <c r="I962" s="597">
        <f>6900000-5000000</f>
        <v>1900000</v>
      </c>
      <c r="J962" s="513"/>
      <c r="K962" s="513"/>
    </row>
    <row r="963" spans="1:11" customFormat="1" ht="15" x14ac:dyDescent="0.25">
      <c r="A963" s="598">
        <v>3222</v>
      </c>
      <c r="B963" s="599" t="s">
        <v>18</v>
      </c>
      <c r="C963" s="528">
        <v>6900000</v>
      </c>
      <c r="D963" s="528">
        <v>6900000</v>
      </c>
      <c r="E963" s="528"/>
      <c r="F963" s="513">
        <f t="shared" si="791"/>
        <v>0</v>
      </c>
      <c r="G963" s="528"/>
      <c r="H963" s="528"/>
      <c r="I963" s="600"/>
      <c r="J963" s="528"/>
      <c r="K963" s="528"/>
    </row>
    <row r="964" spans="1:11" customFormat="1" ht="15" x14ac:dyDescent="0.25">
      <c r="A964" s="601">
        <v>323</v>
      </c>
      <c r="B964" s="578" t="s">
        <v>123</v>
      </c>
      <c r="C964" s="510">
        <f>SUM(C965)</f>
        <v>42000</v>
      </c>
      <c r="D964" s="510">
        <f t="shared" ref="D964:K964" si="792">SUM(D965)</f>
        <v>0</v>
      </c>
      <c r="E964" s="510">
        <f t="shared" si="792"/>
        <v>0</v>
      </c>
      <c r="F964" s="510">
        <f t="shared" si="792"/>
        <v>42000</v>
      </c>
      <c r="G964" s="510">
        <f t="shared" si="792"/>
        <v>34000</v>
      </c>
      <c r="H964" s="510">
        <f t="shared" si="792"/>
        <v>34000</v>
      </c>
      <c r="I964" s="510">
        <f t="shared" si="792"/>
        <v>42000</v>
      </c>
      <c r="J964" s="510">
        <f t="shared" si="792"/>
        <v>42000</v>
      </c>
      <c r="K964" s="510">
        <f t="shared" si="792"/>
        <v>7000</v>
      </c>
    </row>
    <row r="965" spans="1:11" customFormat="1" ht="15" x14ac:dyDescent="0.25">
      <c r="A965" s="580">
        <v>3237</v>
      </c>
      <c r="B965" s="546" t="s">
        <v>30</v>
      </c>
      <c r="C965" s="513">
        <v>42000</v>
      </c>
      <c r="D965" s="513"/>
      <c r="E965" s="513"/>
      <c r="F965" s="513">
        <f t="shared" si="791"/>
        <v>42000</v>
      </c>
      <c r="G965" s="513">
        <v>34000</v>
      </c>
      <c r="H965" s="513">
        <v>34000</v>
      </c>
      <c r="I965" s="513">
        <v>42000</v>
      </c>
      <c r="J965" s="513">
        <v>42000</v>
      </c>
      <c r="K965" s="513">
        <v>7000</v>
      </c>
    </row>
    <row r="966" spans="1:11" customFormat="1" ht="15" x14ac:dyDescent="0.25">
      <c r="A966" s="601">
        <v>329</v>
      </c>
      <c r="B966" s="578" t="s">
        <v>33</v>
      </c>
      <c r="C966" s="510">
        <f>SUM(C967)</f>
        <v>3400</v>
      </c>
      <c r="D966" s="510">
        <f t="shared" ref="D966:K966" si="793">SUM(D967)</f>
        <v>3400</v>
      </c>
      <c r="E966" s="510">
        <f t="shared" si="793"/>
        <v>0</v>
      </c>
      <c r="F966" s="510">
        <f t="shared" si="793"/>
        <v>0</v>
      </c>
      <c r="G966" s="510">
        <f t="shared" si="793"/>
        <v>4000</v>
      </c>
      <c r="H966" s="510">
        <f t="shared" si="793"/>
        <v>4000</v>
      </c>
      <c r="I966" s="510">
        <f t="shared" si="793"/>
        <v>5000</v>
      </c>
      <c r="J966" s="510">
        <f t="shared" si="793"/>
        <v>5000</v>
      </c>
      <c r="K966" s="510">
        <f t="shared" si="793"/>
        <v>3000</v>
      </c>
    </row>
    <row r="967" spans="1:11" customFormat="1" ht="15" x14ac:dyDescent="0.25">
      <c r="A967" s="580">
        <v>3292</v>
      </c>
      <c r="B967" s="546" t="s">
        <v>361</v>
      </c>
      <c r="C967" s="513">
        <v>3400</v>
      </c>
      <c r="D967" s="513">
        <v>3400</v>
      </c>
      <c r="E967" s="513"/>
      <c r="F967" s="513">
        <f t="shared" si="791"/>
        <v>0</v>
      </c>
      <c r="G967" s="513">
        <v>4000</v>
      </c>
      <c r="H967" s="513">
        <v>4000</v>
      </c>
      <c r="I967" s="513">
        <v>5000</v>
      </c>
      <c r="J967" s="513">
        <v>5000</v>
      </c>
      <c r="K967" s="513">
        <v>3000</v>
      </c>
    </row>
    <row r="968" spans="1:11" ht="25.5" x14ac:dyDescent="0.2">
      <c r="A968" s="540" t="s">
        <v>330</v>
      </c>
      <c r="B968" s="541" t="s">
        <v>331</v>
      </c>
      <c r="C968" s="602">
        <f>SUM(C969,)</f>
        <v>66200</v>
      </c>
      <c r="D968" s="507">
        <f>SUM(D969,)</f>
        <v>0</v>
      </c>
      <c r="E968" s="507">
        <f t="shared" ref="E968:G968" si="794">SUM(E969,E972)</f>
        <v>0</v>
      </c>
      <c r="F968" s="549">
        <f>SUM(F969,)</f>
        <v>66200</v>
      </c>
      <c r="G968" s="507">
        <f t="shared" si="794"/>
        <v>0</v>
      </c>
      <c r="H968" s="507">
        <f t="shared" ref="H968:I968" si="795">SUM(H969,H972)</f>
        <v>0</v>
      </c>
      <c r="I968" s="507">
        <f t="shared" si="795"/>
        <v>67000</v>
      </c>
      <c r="J968" s="507">
        <f t="shared" ref="J968:K968" si="796">SUM(J969,J972)</f>
        <v>0</v>
      </c>
      <c r="K968" s="507">
        <f t="shared" si="796"/>
        <v>0</v>
      </c>
    </row>
    <row r="969" spans="1:11" x14ac:dyDescent="0.2">
      <c r="A969" s="596">
        <v>422</v>
      </c>
      <c r="B969" s="603" t="s">
        <v>364</v>
      </c>
      <c r="C969" s="604">
        <f>SUM(C970:C971)</f>
        <v>66200</v>
      </c>
      <c r="D969" s="605">
        <f t="shared" ref="D969:E969" si="797">SUM(D970:D971)</f>
        <v>0</v>
      </c>
      <c r="E969" s="605">
        <f t="shared" si="797"/>
        <v>0</v>
      </c>
      <c r="F969" s="605">
        <f>SUM(F970:F971)</f>
        <v>66200</v>
      </c>
      <c r="G969" s="605">
        <f t="shared" ref="G969:H969" si="798">SUM(G970:G971)</f>
        <v>0</v>
      </c>
      <c r="H969" s="605">
        <f t="shared" si="798"/>
        <v>0</v>
      </c>
      <c r="I969" s="605">
        <f t="shared" ref="I969:J969" si="799">SUM(I970:I971)</f>
        <v>67000</v>
      </c>
      <c r="J969" s="605">
        <f t="shared" si="799"/>
        <v>0</v>
      </c>
      <c r="K969" s="605">
        <f t="shared" ref="K969" si="800">SUM(K970:K971)</f>
        <v>0</v>
      </c>
    </row>
    <row r="970" spans="1:11" x14ac:dyDescent="0.2">
      <c r="A970" s="531">
        <v>4221</v>
      </c>
      <c r="B970" s="532" t="s">
        <v>54</v>
      </c>
      <c r="C970" s="606">
        <v>49400</v>
      </c>
      <c r="D970" s="607"/>
      <c r="E970" s="607"/>
      <c r="F970" s="513">
        <f t="shared" ref="F970:F971" si="801">C970-D970+E970</f>
        <v>49400</v>
      </c>
      <c r="G970" s="607"/>
      <c r="H970" s="607"/>
      <c r="I970" s="607">
        <v>50000</v>
      </c>
      <c r="J970" s="607"/>
      <c r="K970" s="607"/>
    </row>
    <row r="971" spans="1:11" ht="25.5" x14ac:dyDescent="0.2">
      <c r="A971" s="531">
        <v>4227</v>
      </c>
      <c r="B971" s="532" t="s">
        <v>60</v>
      </c>
      <c r="C971" s="606">
        <v>16800</v>
      </c>
      <c r="D971" s="607"/>
      <c r="E971" s="607"/>
      <c r="F971" s="513">
        <f t="shared" si="801"/>
        <v>16800</v>
      </c>
      <c r="G971" s="607"/>
      <c r="H971" s="607"/>
      <c r="I971" s="607">
        <v>17000</v>
      </c>
      <c r="J971" s="607"/>
      <c r="K971" s="607"/>
    </row>
    <row r="972" spans="1:11" customFormat="1" ht="25.5" x14ac:dyDescent="0.25">
      <c r="A972" s="540" t="s">
        <v>332</v>
      </c>
      <c r="B972" s="541" t="s">
        <v>333</v>
      </c>
      <c r="C972" s="507">
        <f>SUM(C973)</f>
        <v>880000</v>
      </c>
      <c r="D972" s="507">
        <f t="shared" ref="D972:K973" si="802">SUM(D973)</f>
        <v>0</v>
      </c>
      <c r="E972" s="507">
        <f t="shared" si="802"/>
        <v>0</v>
      </c>
      <c r="F972" s="507">
        <f t="shared" si="802"/>
        <v>880000</v>
      </c>
      <c r="G972" s="507">
        <f t="shared" si="802"/>
        <v>0</v>
      </c>
      <c r="H972" s="507">
        <f t="shared" si="802"/>
        <v>0</v>
      </c>
      <c r="I972" s="507">
        <f t="shared" si="802"/>
        <v>0</v>
      </c>
      <c r="J972" s="507">
        <f t="shared" si="802"/>
        <v>0</v>
      </c>
      <c r="K972" s="507">
        <f t="shared" si="802"/>
        <v>0</v>
      </c>
    </row>
    <row r="973" spans="1:11" customFormat="1" ht="25.5" x14ac:dyDescent="0.25">
      <c r="A973" s="601">
        <v>451</v>
      </c>
      <c r="B973" s="578" t="s">
        <v>55</v>
      </c>
      <c r="C973" s="510">
        <f>SUM(C974)</f>
        <v>880000</v>
      </c>
      <c r="D973" s="510">
        <f t="shared" si="802"/>
        <v>0</v>
      </c>
      <c r="E973" s="510">
        <f t="shared" si="802"/>
        <v>0</v>
      </c>
      <c r="F973" s="510">
        <f t="shared" si="802"/>
        <v>880000</v>
      </c>
      <c r="G973" s="510">
        <f t="shared" si="802"/>
        <v>0</v>
      </c>
      <c r="H973" s="510">
        <f t="shared" si="802"/>
        <v>0</v>
      </c>
      <c r="I973" s="510">
        <f t="shared" si="802"/>
        <v>0</v>
      </c>
      <c r="J973" s="510">
        <f t="shared" si="802"/>
        <v>0</v>
      </c>
      <c r="K973" s="510">
        <f t="shared" si="802"/>
        <v>0</v>
      </c>
    </row>
    <row r="974" spans="1:11" customFormat="1" ht="25.5" x14ac:dyDescent="0.25">
      <c r="A974" s="580">
        <v>4511</v>
      </c>
      <c r="B974" s="546" t="s">
        <v>55</v>
      </c>
      <c r="C974" s="513">
        <v>880000</v>
      </c>
      <c r="D974" s="513"/>
      <c r="E974" s="513"/>
      <c r="F974" s="513">
        <f t="shared" ref="F974" si="803">C974-D974+E974</f>
        <v>880000</v>
      </c>
      <c r="G974" s="513"/>
      <c r="H974" s="513"/>
      <c r="I974" s="513"/>
      <c r="J974" s="513"/>
      <c r="K974" s="513"/>
    </row>
    <row r="975" spans="1:11" customFormat="1" ht="25.5" x14ac:dyDescent="0.25">
      <c r="A975" s="573" t="s">
        <v>358</v>
      </c>
      <c r="B975" s="562" t="s">
        <v>360</v>
      </c>
      <c r="C975" s="503">
        <f t="shared" ref="C975:K975" si="804">SUM(C976)</f>
        <v>3100000</v>
      </c>
      <c r="D975" s="503">
        <f t="shared" si="804"/>
        <v>3005500</v>
      </c>
      <c r="E975" s="503">
        <f t="shared" si="804"/>
        <v>0</v>
      </c>
      <c r="F975" s="503">
        <f t="shared" si="804"/>
        <v>94500</v>
      </c>
      <c r="G975" s="503">
        <f t="shared" si="804"/>
        <v>3656000</v>
      </c>
      <c r="H975" s="503">
        <f t="shared" si="804"/>
        <v>13269000</v>
      </c>
      <c r="I975" s="503">
        <f t="shared" si="804"/>
        <v>3531000</v>
      </c>
      <c r="J975" s="503">
        <f t="shared" si="804"/>
        <v>13190000</v>
      </c>
      <c r="K975" s="503">
        <f t="shared" si="804"/>
        <v>844000</v>
      </c>
    </row>
    <row r="976" spans="1:11" customFormat="1" ht="15" x14ac:dyDescent="0.25">
      <c r="A976" s="710" t="s">
        <v>118</v>
      </c>
      <c r="B976" s="710"/>
      <c r="C976" s="504">
        <f>SUM(C977,C980,C991,C997)</f>
        <v>3100000</v>
      </c>
      <c r="D976" s="504">
        <f t="shared" ref="D976:F976" si="805">SUM(D977,D980,D991,D997)</f>
        <v>3005500</v>
      </c>
      <c r="E976" s="504">
        <f t="shared" si="805"/>
        <v>0</v>
      </c>
      <c r="F976" s="504">
        <f t="shared" si="805"/>
        <v>94500</v>
      </c>
      <c r="G976" s="504">
        <f t="shared" ref="G976:H976" si="806">SUM(G977,G980,G991,G997)</f>
        <v>3656000</v>
      </c>
      <c r="H976" s="504">
        <f t="shared" si="806"/>
        <v>13269000</v>
      </c>
      <c r="I976" s="504">
        <f t="shared" ref="I976:K976" si="807">SUM(I977,I980,I991,I997)</f>
        <v>3531000</v>
      </c>
      <c r="J976" s="504">
        <f t="shared" si="807"/>
        <v>13190000</v>
      </c>
      <c r="K976" s="504">
        <f t="shared" si="807"/>
        <v>844000</v>
      </c>
    </row>
    <row r="977" spans="1:11" customFormat="1" ht="15" x14ac:dyDescent="0.25">
      <c r="A977" s="516" t="s">
        <v>322</v>
      </c>
      <c r="B977" s="517" t="s">
        <v>323</v>
      </c>
      <c r="C977" s="518">
        <f>SUM(C978)</f>
        <v>72000</v>
      </c>
      <c r="D977" s="518">
        <f t="shared" ref="D977:K978" si="808">SUM(D978)</f>
        <v>22000</v>
      </c>
      <c r="E977" s="518">
        <f t="shared" si="808"/>
        <v>0</v>
      </c>
      <c r="F977" s="518">
        <f t="shared" si="808"/>
        <v>50000</v>
      </c>
      <c r="G977" s="518">
        <f t="shared" si="808"/>
        <v>72000</v>
      </c>
      <c r="H977" s="518">
        <f t="shared" si="808"/>
        <v>72000</v>
      </c>
      <c r="I977" s="518">
        <f t="shared" si="808"/>
        <v>48000</v>
      </c>
      <c r="J977" s="518">
        <f t="shared" si="808"/>
        <v>48000</v>
      </c>
      <c r="K977" s="518">
        <f t="shared" si="808"/>
        <v>65000</v>
      </c>
    </row>
    <row r="978" spans="1:11" customFormat="1" ht="15" x14ac:dyDescent="0.25">
      <c r="A978" s="596">
        <v>311</v>
      </c>
      <c r="B978" s="608" t="s">
        <v>365</v>
      </c>
      <c r="C978" s="525">
        <f>SUM(C979)</f>
        <v>72000</v>
      </c>
      <c r="D978" s="525">
        <f t="shared" si="808"/>
        <v>22000</v>
      </c>
      <c r="E978" s="525">
        <f t="shared" si="808"/>
        <v>0</v>
      </c>
      <c r="F978" s="525">
        <f t="shared" si="808"/>
        <v>50000</v>
      </c>
      <c r="G978" s="525">
        <f t="shared" si="808"/>
        <v>72000</v>
      </c>
      <c r="H978" s="525">
        <f t="shared" si="808"/>
        <v>72000</v>
      </c>
      <c r="I978" s="525">
        <f t="shared" si="808"/>
        <v>48000</v>
      </c>
      <c r="J978" s="525">
        <f t="shared" si="808"/>
        <v>48000</v>
      </c>
      <c r="K978" s="525">
        <f t="shared" si="808"/>
        <v>65000</v>
      </c>
    </row>
    <row r="979" spans="1:11" customFormat="1" ht="15" x14ac:dyDescent="0.25">
      <c r="A979" s="531">
        <v>3111</v>
      </c>
      <c r="B979" s="584" t="s">
        <v>366</v>
      </c>
      <c r="C979" s="526">
        <v>72000</v>
      </c>
      <c r="D979" s="526">
        <v>22000</v>
      </c>
      <c r="E979" s="526"/>
      <c r="F979" s="513">
        <f t="shared" ref="F979" si="809">C979-D979+E979</f>
        <v>50000</v>
      </c>
      <c r="G979" s="526">
        <v>72000</v>
      </c>
      <c r="H979" s="526">
        <v>72000</v>
      </c>
      <c r="I979" s="526">
        <v>48000</v>
      </c>
      <c r="J979" s="526">
        <v>48000</v>
      </c>
      <c r="K979" s="526">
        <v>65000</v>
      </c>
    </row>
    <row r="980" spans="1:11" customFormat="1" ht="15" x14ac:dyDescent="0.25">
      <c r="A980" s="516" t="s">
        <v>324</v>
      </c>
      <c r="B980" s="516" t="s">
        <v>325</v>
      </c>
      <c r="C980" s="549">
        <f>SUM(C981,C984,C987,C989)</f>
        <v>538000</v>
      </c>
      <c r="D980" s="549">
        <f t="shared" ref="D980:F980" si="810">SUM(D981,D984,D987,D989)</f>
        <v>535500</v>
      </c>
      <c r="E980" s="549">
        <f t="shared" si="810"/>
        <v>0</v>
      </c>
      <c r="F980" s="549">
        <f t="shared" si="810"/>
        <v>2500</v>
      </c>
      <c r="G980" s="549">
        <f t="shared" ref="G980:H980" si="811">SUM(G981,G984,G987,G989)</f>
        <v>1314000</v>
      </c>
      <c r="H980" s="549">
        <f t="shared" si="811"/>
        <v>56000</v>
      </c>
      <c r="I980" s="549">
        <f t="shared" ref="I980:K980" si="812">SUM(I981,I984,I987,I989)</f>
        <v>892000</v>
      </c>
      <c r="J980" s="549">
        <f t="shared" si="812"/>
        <v>434000</v>
      </c>
      <c r="K980" s="549">
        <f t="shared" si="812"/>
        <v>779000</v>
      </c>
    </row>
    <row r="981" spans="1:11" customFormat="1" ht="15" x14ac:dyDescent="0.25">
      <c r="A981" s="577" t="s">
        <v>153</v>
      </c>
      <c r="B981" s="578" t="s">
        <v>16</v>
      </c>
      <c r="C981" s="510">
        <f t="shared" ref="C981:F981" si="813">SUM(C982:C983)</f>
        <v>500000</v>
      </c>
      <c r="D981" s="510">
        <f t="shared" si="813"/>
        <v>500000</v>
      </c>
      <c r="E981" s="510">
        <f t="shared" si="813"/>
        <v>0</v>
      </c>
      <c r="F981" s="510">
        <f t="shared" si="813"/>
        <v>0</v>
      </c>
      <c r="G981" s="510">
        <f t="shared" ref="G981:H981" si="814">SUM(G982:G983)</f>
        <v>1314000</v>
      </c>
      <c r="H981" s="510">
        <f t="shared" si="814"/>
        <v>0</v>
      </c>
      <c r="I981" s="510">
        <f t="shared" ref="I981:J981" si="815">SUM(I982:I983)</f>
        <v>690000</v>
      </c>
      <c r="J981" s="510">
        <f t="shared" si="815"/>
        <v>203000</v>
      </c>
      <c r="K981" s="510">
        <f t="shared" ref="K981" si="816">SUM(K982:K983)</f>
        <v>0</v>
      </c>
    </row>
    <row r="982" spans="1:11" customFormat="1" ht="15" x14ac:dyDescent="0.25">
      <c r="A982" s="580">
        <v>3227</v>
      </c>
      <c r="B982" s="546" t="s">
        <v>22</v>
      </c>
      <c r="C982" s="513">
        <v>500000</v>
      </c>
      <c r="D982" s="513">
        <v>500000</v>
      </c>
      <c r="E982" s="513"/>
      <c r="F982" s="513">
        <f t="shared" ref="F982:F990" si="817">C982-D982+E982</f>
        <v>0</v>
      </c>
      <c r="G982" s="513"/>
      <c r="H982" s="513"/>
      <c r="I982" s="513">
        <v>190000</v>
      </c>
      <c r="J982" s="513">
        <v>203000</v>
      </c>
      <c r="K982" s="513"/>
    </row>
    <row r="983" spans="1:11" customFormat="1" ht="15" x14ac:dyDescent="0.25">
      <c r="A983" s="531">
        <v>3222</v>
      </c>
      <c r="B983" s="584" t="s">
        <v>362</v>
      </c>
      <c r="C983" s="513"/>
      <c r="D983" s="513"/>
      <c r="E983" s="513"/>
      <c r="F983" s="513">
        <f t="shared" si="817"/>
        <v>0</v>
      </c>
      <c r="G983" s="513">
        <v>1314000</v>
      </c>
      <c r="H983" s="513"/>
      <c r="I983" s="522">
        <f>1000000-500000</f>
        <v>500000</v>
      </c>
      <c r="J983" s="513"/>
      <c r="K983" s="513"/>
    </row>
    <row r="984" spans="1:11" customFormat="1" ht="15" x14ac:dyDescent="0.25">
      <c r="A984" s="596">
        <v>323</v>
      </c>
      <c r="B984" s="608" t="s">
        <v>123</v>
      </c>
      <c r="C984" s="510">
        <f>SUM(C985:C986)</f>
        <v>18000</v>
      </c>
      <c r="D984" s="510">
        <f t="shared" ref="D984:F984" si="818">SUM(D985:D986)</f>
        <v>15500</v>
      </c>
      <c r="E984" s="510">
        <f t="shared" si="818"/>
        <v>0</v>
      </c>
      <c r="F984" s="510">
        <f t="shared" si="818"/>
        <v>2500</v>
      </c>
      <c r="G984" s="510">
        <f t="shared" ref="G984:H984" si="819">SUM(G985:G986)</f>
        <v>0</v>
      </c>
      <c r="H984" s="510">
        <f t="shared" si="819"/>
        <v>20000</v>
      </c>
      <c r="I984" s="510">
        <f t="shared" ref="I984:J984" si="820">SUM(I985:I986)</f>
        <v>172000</v>
      </c>
      <c r="J984" s="510">
        <f t="shared" si="820"/>
        <v>201000</v>
      </c>
      <c r="K984" s="510">
        <f t="shared" ref="K984" si="821">SUM(K985:K986)</f>
        <v>742000</v>
      </c>
    </row>
    <row r="985" spans="1:11" customFormat="1" ht="15" x14ac:dyDescent="0.25">
      <c r="A985" s="531">
        <v>3233</v>
      </c>
      <c r="B985" s="584" t="s">
        <v>26</v>
      </c>
      <c r="C985" s="513">
        <v>5000</v>
      </c>
      <c r="D985" s="513">
        <v>3000</v>
      </c>
      <c r="E985" s="513"/>
      <c r="F985" s="513">
        <f t="shared" si="817"/>
        <v>2000</v>
      </c>
      <c r="G985" s="513"/>
      <c r="H985" s="513"/>
      <c r="I985" s="513">
        <v>1000</v>
      </c>
      <c r="J985" s="513"/>
      <c r="K985" s="513">
        <v>40000</v>
      </c>
    </row>
    <row r="986" spans="1:11" customFormat="1" ht="15" x14ac:dyDescent="0.25">
      <c r="A986" s="531">
        <v>3239</v>
      </c>
      <c r="B986" s="584" t="s">
        <v>31</v>
      </c>
      <c r="C986" s="513">
        <v>13000</v>
      </c>
      <c r="D986" s="513">
        <v>12500</v>
      </c>
      <c r="E986" s="513"/>
      <c r="F986" s="513">
        <f t="shared" si="817"/>
        <v>500</v>
      </c>
      <c r="G986" s="513"/>
      <c r="H986" s="513">
        <v>20000</v>
      </c>
      <c r="I986" s="513">
        <v>171000</v>
      </c>
      <c r="J986" s="513">
        <v>201000</v>
      </c>
      <c r="K986" s="513">
        <v>702000</v>
      </c>
    </row>
    <row r="987" spans="1:11" customFormat="1" ht="15" x14ac:dyDescent="0.25">
      <c r="A987" s="596">
        <v>329</v>
      </c>
      <c r="B987" s="608" t="s">
        <v>33</v>
      </c>
      <c r="C987" s="510">
        <f>SUM(C988)</f>
        <v>3000</v>
      </c>
      <c r="D987" s="510">
        <f t="shared" ref="D987:K987" si="822">SUM(D988)</f>
        <v>3000</v>
      </c>
      <c r="E987" s="510">
        <f t="shared" si="822"/>
        <v>0</v>
      </c>
      <c r="F987" s="510">
        <f t="shared" si="822"/>
        <v>0</v>
      </c>
      <c r="G987" s="510">
        <f t="shared" si="822"/>
        <v>0</v>
      </c>
      <c r="H987" s="510">
        <f t="shared" si="822"/>
        <v>0</v>
      </c>
      <c r="I987" s="510">
        <f t="shared" si="822"/>
        <v>0</v>
      </c>
      <c r="J987" s="510">
        <f t="shared" si="822"/>
        <v>0</v>
      </c>
      <c r="K987" s="510">
        <f t="shared" si="822"/>
        <v>0</v>
      </c>
    </row>
    <row r="988" spans="1:11" customFormat="1" ht="15" x14ac:dyDescent="0.25">
      <c r="A988" s="531">
        <v>3293</v>
      </c>
      <c r="B988" s="584" t="s">
        <v>36</v>
      </c>
      <c r="C988" s="513">
        <v>3000</v>
      </c>
      <c r="D988" s="513">
        <v>3000</v>
      </c>
      <c r="E988" s="513"/>
      <c r="F988" s="513">
        <f t="shared" si="817"/>
        <v>0</v>
      </c>
      <c r="G988" s="513"/>
      <c r="H988" s="513"/>
      <c r="I988" s="513"/>
      <c r="J988" s="513"/>
      <c r="K988" s="513"/>
    </row>
    <row r="989" spans="1:11" customFormat="1" ht="25.5" x14ac:dyDescent="0.25">
      <c r="A989" s="596">
        <v>324</v>
      </c>
      <c r="B989" s="603" t="s">
        <v>363</v>
      </c>
      <c r="C989" s="510">
        <f>SUM(C990)</f>
        <v>17000</v>
      </c>
      <c r="D989" s="510">
        <f t="shared" ref="D989:K989" si="823">SUM(D990)</f>
        <v>17000</v>
      </c>
      <c r="E989" s="510">
        <f t="shared" si="823"/>
        <v>0</v>
      </c>
      <c r="F989" s="510">
        <f t="shared" si="823"/>
        <v>0</v>
      </c>
      <c r="G989" s="510">
        <f t="shared" si="823"/>
        <v>0</v>
      </c>
      <c r="H989" s="510">
        <f t="shared" si="823"/>
        <v>36000</v>
      </c>
      <c r="I989" s="510">
        <f t="shared" si="823"/>
        <v>30000</v>
      </c>
      <c r="J989" s="510">
        <f t="shared" si="823"/>
        <v>30000</v>
      </c>
      <c r="K989" s="510">
        <f t="shared" si="823"/>
        <v>37000</v>
      </c>
    </row>
    <row r="990" spans="1:11" customFormat="1" ht="25.5" x14ac:dyDescent="0.25">
      <c r="A990" s="531">
        <v>3241</v>
      </c>
      <c r="B990" s="532" t="s">
        <v>363</v>
      </c>
      <c r="C990" s="513">
        <v>17000</v>
      </c>
      <c r="D990" s="513">
        <v>17000</v>
      </c>
      <c r="E990" s="513"/>
      <c r="F990" s="513">
        <f t="shared" si="817"/>
        <v>0</v>
      </c>
      <c r="G990" s="513"/>
      <c r="H990" s="513">
        <v>36000</v>
      </c>
      <c r="I990" s="513">
        <v>30000</v>
      </c>
      <c r="J990" s="513">
        <v>30000</v>
      </c>
      <c r="K990" s="513">
        <v>37000</v>
      </c>
    </row>
    <row r="991" spans="1:11" customFormat="1" ht="25.5" x14ac:dyDescent="0.25">
      <c r="A991" s="505" t="s">
        <v>330</v>
      </c>
      <c r="B991" s="517" t="s">
        <v>331</v>
      </c>
      <c r="C991" s="507">
        <f>SUM(C992,C995)</f>
        <v>928000</v>
      </c>
      <c r="D991" s="507">
        <f t="shared" ref="D991:F991" si="824">SUM(D992,D995)</f>
        <v>886000</v>
      </c>
      <c r="E991" s="507">
        <f t="shared" si="824"/>
        <v>0</v>
      </c>
      <c r="F991" s="507">
        <f t="shared" si="824"/>
        <v>42000</v>
      </c>
      <c r="G991" s="507">
        <f t="shared" ref="G991:H991" si="825">SUM(G992,G995)</f>
        <v>2270000</v>
      </c>
      <c r="H991" s="507">
        <f t="shared" si="825"/>
        <v>13141000</v>
      </c>
      <c r="I991" s="507">
        <f t="shared" ref="I991:K991" si="826">SUM(I992,I995)</f>
        <v>2591000</v>
      </c>
      <c r="J991" s="507">
        <f t="shared" si="826"/>
        <v>12708000</v>
      </c>
      <c r="K991" s="507">
        <f t="shared" si="826"/>
        <v>0</v>
      </c>
    </row>
    <row r="992" spans="1:11" customFormat="1" ht="15" x14ac:dyDescent="0.25">
      <c r="A992" s="596">
        <v>422</v>
      </c>
      <c r="B992" s="608" t="s">
        <v>364</v>
      </c>
      <c r="C992" s="510">
        <f>SUM(C993:C994)</f>
        <v>535000</v>
      </c>
      <c r="D992" s="510">
        <f t="shared" ref="D992:F992" si="827">SUM(D993:D994)</f>
        <v>493000</v>
      </c>
      <c r="E992" s="510">
        <f t="shared" si="827"/>
        <v>0</v>
      </c>
      <c r="F992" s="510">
        <f t="shared" si="827"/>
        <v>42000</v>
      </c>
      <c r="G992" s="510">
        <f t="shared" ref="G992:H992" si="828">SUM(G993:G994)</f>
        <v>0</v>
      </c>
      <c r="H992" s="510">
        <f t="shared" si="828"/>
        <v>10660000</v>
      </c>
      <c r="I992" s="510">
        <f t="shared" ref="I992:K992" si="829">SUM(I993:I994)</f>
        <v>951000</v>
      </c>
      <c r="J992" s="510">
        <f t="shared" si="829"/>
        <v>10248000</v>
      </c>
      <c r="K992" s="510">
        <f t="shared" si="829"/>
        <v>0</v>
      </c>
    </row>
    <row r="993" spans="1:11" customFormat="1" ht="15" x14ac:dyDescent="0.25">
      <c r="A993" s="531">
        <v>4223</v>
      </c>
      <c r="B993" s="584" t="s">
        <v>59</v>
      </c>
      <c r="C993" s="513">
        <v>190000</v>
      </c>
      <c r="D993" s="513">
        <v>148000</v>
      </c>
      <c r="E993" s="513"/>
      <c r="F993" s="513">
        <f t="shared" ref="F993:F996" si="830">C993-D993+E993</f>
        <v>42000</v>
      </c>
      <c r="G993" s="513"/>
      <c r="H993" s="513"/>
      <c r="I993" s="513">
        <v>400000</v>
      </c>
      <c r="J993" s="513"/>
      <c r="K993" s="513"/>
    </row>
    <row r="994" spans="1:11" customFormat="1" ht="15" x14ac:dyDescent="0.25">
      <c r="A994" s="531">
        <v>4227</v>
      </c>
      <c r="B994" s="584" t="s">
        <v>60</v>
      </c>
      <c r="C994" s="513">
        <v>345000</v>
      </c>
      <c r="D994" s="513">
        <v>345000</v>
      </c>
      <c r="E994" s="513"/>
      <c r="F994" s="513">
        <f t="shared" si="830"/>
        <v>0</v>
      </c>
      <c r="G994" s="513"/>
      <c r="H994" s="513">
        <v>10660000</v>
      </c>
      <c r="I994" s="522">
        <f>2170000-400000-1219000</f>
        <v>551000</v>
      </c>
      <c r="J994" s="513">
        <v>10248000</v>
      </c>
      <c r="K994" s="513"/>
    </row>
    <row r="995" spans="1:11" customFormat="1" ht="15" x14ac:dyDescent="0.25">
      <c r="A995" s="596">
        <v>423</v>
      </c>
      <c r="B995" s="608" t="s">
        <v>61</v>
      </c>
      <c r="C995" s="510">
        <f>SUM(C996)</f>
        <v>393000</v>
      </c>
      <c r="D995" s="510">
        <f t="shared" ref="D995:K995" si="831">SUM(D996)</f>
        <v>393000</v>
      </c>
      <c r="E995" s="510">
        <f t="shared" si="831"/>
        <v>0</v>
      </c>
      <c r="F995" s="510">
        <f t="shared" si="831"/>
        <v>0</v>
      </c>
      <c r="G995" s="510">
        <f t="shared" si="831"/>
        <v>2270000</v>
      </c>
      <c r="H995" s="510">
        <f t="shared" si="831"/>
        <v>2481000</v>
      </c>
      <c r="I995" s="510">
        <f t="shared" si="831"/>
        <v>1640000</v>
      </c>
      <c r="J995" s="510">
        <f t="shared" si="831"/>
        <v>2460000</v>
      </c>
      <c r="K995" s="510">
        <f t="shared" si="831"/>
        <v>0</v>
      </c>
    </row>
    <row r="996" spans="1:11" customFormat="1" ht="15" x14ac:dyDescent="0.25">
      <c r="A996" s="531">
        <v>4231</v>
      </c>
      <c r="B996" s="584" t="s">
        <v>62</v>
      </c>
      <c r="C996" s="513">
        <v>393000</v>
      </c>
      <c r="D996" s="513">
        <v>393000</v>
      </c>
      <c r="E996" s="513"/>
      <c r="F996" s="513">
        <f t="shared" si="830"/>
        <v>0</v>
      </c>
      <c r="G996" s="513">
        <v>2270000</v>
      </c>
      <c r="H996" s="513">
        <v>2481000</v>
      </c>
      <c r="I996" s="522">
        <f>2640000-1000000</f>
        <v>1640000</v>
      </c>
      <c r="J996" s="513">
        <v>2460000</v>
      </c>
      <c r="K996" s="513"/>
    </row>
    <row r="997" spans="1:11" customFormat="1" ht="25.5" x14ac:dyDescent="0.25">
      <c r="A997" s="540" t="s">
        <v>332</v>
      </c>
      <c r="B997" s="541" t="s">
        <v>333</v>
      </c>
      <c r="C997" s="507">
        <f>SUM(C998)</f>
        <v>1562000</v>
      </c>
      <c r="D997" s="507">
        <f t="shared" ref="D997:K998" si="832">SUM(D998)</f>
        <v>1562000</v>
      </c>
      <c r="E997" s="507">
        <f t="shared" si="832"/>
        <v>0</v>
      </c>
      <c r="F997" s="507">
        <f t="shared" si="832"/>
        <v>0</v>
      </c>
      <c r="G997" s="507">
        <f t="shared" si="832"/>
        <v>0</v>
      </c>
      <c r="H997" s="507">
        <f t="shared" si="832"/>
        <v>0</v>
      </c>
      <c r="I997" s="507">
        <f t="shared" si="832"/>
        <v>0</v>
      </c>
      <c r="J997" s="507">
        <f t="shared" si="832"/>
        <v>0</v>
      </c>
      <c r="K997" s="507">
        <f t="shared" si="832"/>
        <v>0</v>
      </c>
    </row>
    <row r="998" spans="1:11" customFormat="1" ht="25.5" x14ac:dyDescent="0.25">
      <c r="A998" s="601">
        <v>453</v>
      </c>
      <c r="B998" s="578" t="s">
        <v>289</v>
      </c>
      <c r="C998" s="510">
        <f>SUM(C999)</f>
        <v>1562000</v>
      </c>
      <c r="D998" s="510">
        <f t="shared" si="832"/>
        <v>1562000</v>
      </c>
      <c r="E998" s="510">
        <f t="shared" si="832"/>
        <v>0</v>
      </c>
      <c r="F998" s="510">
        <f t="shared" si="832"/>
        <v>0</v>
      </c>
      <c r="G998" s="510">
        <f t="shared" si="832"/>
        <v>0</v>
      </c>
      <c r="H998" s="510">
        <f t="shared" si="832"/>
        <v>0</v>
      </c>
      <c r="I998" s="510">
        <f t="shared" si="832"/>
        <v>0</v>
      </c>
      <c r="J998" s="510">
        <f t="shared" si="832"/>
        <v>0</v>
      </c>
      <c r="K998" s="510">
        <f t="shared" si="832"/>
        <v>0</v>
      </c>
    </row>
    <row r="999" spans="1:11" customFormat="1" ht="29.25" customHeight="1" x14ac:dyDescent="0.25">
      <c r="A999" s="580">
        <v>4531</v>
      </c>
      <c r="B999" s="546" t="s">
        <v>289</v>
      </c>
      <c r="C999" s="513">
        <v>1562000</v>
      </c>
      <c r="D999" s="513">
        <v>1562000</v>
      </c>
      <c r="E999" s="513"/>
      <c r="F999" s="513">
        <f t="shared" ref="F999" si="833">C999-D999+E999</f>
        <v>0</v>
      </c>
      <c r="G999" s="513"/>
      <c r="H999" s="513"/>
      <c r="I999" s="513"/>
      <c r="J999" s="513"/>
      <c r="K999" s="513"/>
    </row>
    <row r="1000" spans="1:11" customFormat="1" ht="27.75" customHeight="1" x14ac:dyDescent="0.25">
      <c r="A1000" s="573" t="s">
        <v>294</v>
      </c>
      <c r="B1000" s="562" t="s">
        <v>307</v>
      </c>
      <c r="C1000" s="589">
        <f>SUM(C1001)</f>
        <v>7393000</v>
      </c>
      <c r="D1000" s="589">
        <f t="shared" ref="D1000:K1002" si="834">SUM(D1001)</f>
        <v>7393000</v>
      </c>
      <c r="E1000" s="589">
        <f t="shared" si="834"/>
        <v>0</v>
      </c>
      <c r="F1000" s="589">
        <f t="shared" si="834"/>
        <v>0</v>
      </c>
      <c r="G1000" s="589">
        <f t="shared" si="834"/>
        <v>0</v>
      </c>
      <c r="H1000" s="589">
        <f t="shared" si="834"/>
        <v>0</v>
      </c>
      <c r="I1000" s="589">
        <f t="shared" si="834"/>
        <v>7414000</v>
      </c>
      <c r="J1000" s="589">
        <f t="shared" si="834"/>
        <v>0</v>
      </c>
      <c r="K1000" s="589">
        <f t="shared" si="834"/>
        <v>0</v>
      </c>
    </row>
    <row r="1001" spans="1:11" customFormat="1" ht="13.5" customHeight="1" x14ac:dyDescent="0.25">
      <c r="A1001" s="710" t="s">
        <v>118</v>
      </c>
      <c r="B1001" s="710"/>
      <c r="C1001" s="515">
        <f>SUM(C1002)</f>
        <v>7393000</v>
      </c>
      <c r="D1001" s="515">
        <f t="shared" si="834"/>
        <v>7393000</v>
      </c>
      <c r="E1001" s="515">
        <f t="shared" si="834"/>
        <v>0</v>
      </c>
      <c r="F1001" s="515">
        <f t="shared" si="834"/>
        <v>0</v>
      </c>
      <c r="G1001" s="515">
        <f t="shared" si="834"/>
        <v>0</v>
      </c>
      <c r="H1001" s="515">
        <f t="shared" si="834"/>
        <v>0</v>
      </c>
      <c r="I1001" s="515">
        <f t="shared" si="834"/>
        <v>7414000</v>
      </c>
      <c r="J1001" s="515">
        <f t="shared" si="834"/>
        <v>0</v>
      </c>
      <c r="K1001" s="515">
        <f t="shared" si="834"/>
        <v>0</v>
      </c>
    </row>
    <row r="1002" spans="1:11" customFormat="1" ht="25.5" x14ac:dyDescent="0.25">
      <c r="A1002" s="505" t="s">
        <v>330</v>
      </c>
      <c r="B1002" s="517" t="s">
        <v>331</v>
      </c>
      <c r="C1002" s="507">
        <f>SUM(C1003)</f>
        <v>7393000</v>
      </c>
      <c r="D1002" s="507">
        <f t="shared" si="834"/>
        <v>7393000</v>
      </c>
      <c r="E1002" s="507">
        <f t="shared" si="834"/>
        <v>0</v>
      </c>
      <c r="F1002" s="507">
        <f t="shared" si="834"/>
        <v>0</v>
      </c>
      <c r="G1002" s="507">
        <f t="shared" si="834"/>
        <v>0</v>
      </c>
      <c r="H1002" s="507">
        <f t="shared" si="834"/>
        <v>0</v>
      </c>
      <c r="I1002" s="507">
        <f t="shared" si="834"/>
        <v>7414000</v>
      </c>
      <c r="J1002" s="507">
        <f t="shared" si="834"/>
        <v>0</v>
      </c>
      <c r="K1002" s="507">
        <f t="shared" si="834"/>
        <v>0</v>
      </c>
    </row>
    <row r="1003" spans="1:11" customFormat="1" ht="15" x14ac:dyDescent="0.25">
      <c r="A1003" s="577" t="s">
        <v>181</v>
      </c>
      <c r="B1003" s="578" t="s">
        <v>61</v>
      </c>
      <c r="C1003" s="591">
        <f t="shared" ref="C1003:F1003" si="835">SUM(C1004:C1005)</f>
        <v>7393000</v>
      </c>
      <c r="D1003" s="591">
        <f t="shared" si="835"/>
        <v>7393000</v>
      </c>
      <c r="E1003" s="591">
        <f t="shared" si="835"/>
        <v>0</v>
      </c>
      <c r="F1003" s="591">
        <f t="shared" si="835"/>
        <v>0</v>
      </c>
      <c r="G1003" s="591">
        <f t="shared" ref="G1003:H1003" si="836">SUM(G1004:G1005)</f>
        <v>0</v>
      </c>
      <c r="H1003" s="591">
        <f t="shared" si="836"/>
        <v>0</v>
      </c>
      <c r="I1003" s="591">
        <f t="shared" ref="I1003:J1003" si="837">SUM(I1004:I1005)</f>
        <v>7414000</v>
      </c>
      <c r="J1003" s="591">
        <f t="shared" si="837"/>
        <v>0</v>
      </c>
      <c r="K1003" s="591">
        <f t="shared" ref="K1003" si="838">SUM(K1004:K1005)</f>
        <v>0</v>
      </c>
    </row>
    <row r="1004" spans="1:11" s="10" customFormat="1" ht="21" hidden="1" customHeight="1" x14ac:dyDescent="0.25">
      <c r="A1004" s="580" t="s">
        <v>182</v>
      </c>
      <c r="B1004" s="546" t="s">
        <v>62</v>
      </c>
      <c r="C1004" s="609"/>
      <c r="D1004" s="609"/>
      <c r="E1004" s="609"/>
      <c r="F1004" s="513">
        <f t="shared" ref="F1004:F1005" si="839">C1004-D1004+E1004</f>
        <v>0</v>
      </c>
      <c r="G1004" s="609"/>
      <c r="H1004" s="609"/>
      <c r="I1004" s="609"/>
      <c r="J1004" s="609"/>
      <c r="K1004" s="609"/>
    </row>
    <row r="1005" spans="1:11" s="29" customFormat="1" ht="25.5" customHeight="1" x14ac:dyDescent="0.25">
      <c r="A1005" s="610">
        <v>4233</v>
      </c>
      <c r="B1005" s="611" t="s">
        <v>227</v>
      </c>
      <c r="C1005" s="612">
        <v>7393000</v>
      </c>
      <c r="D1005" s="612">
        <v>7393000</v>
      </c>
      <c r="E1005" s="612"/>
      <c r="F1005" s="597">
        <f t="shared" si="839"/>
        <v>0</v>
      </c>
      <c r="G1005" s="612"/>
      <c r="H1005" s="612"/>
      <c r="I1005" s="612">
        <v>7414000</v>
      </c>
      <c r="J1005" s="612"/>
      <c r="K1005" s="612"/>
    </row>
    <row r="1006" spans="1:11" customFormat="1" ht="25.5" x14ac:dyDescent="0.25">
      <c r="A1006" s="573" t="s">
        <v>343</v>
      </c>
      <c r="B1006" s="562" t="s">
        <v>344</v>
      </c>
      <c r="C1006" s="589">
        <f t="shared" ref="C1006:K1006" si="840">SUM(C1007)</f>
        <v>6680000</v>
      </c>
      <c r="D1006" s="589">
        <f t="shared" si="840"/>
        <v>6680000</v>
      </c>
      <c r="E1006" s="589">
        <f t="shared" si="840"/>
        <v>0</v>
      </c>
      <c r="F1006" s="589">
        <f t="shared" si="840"/>
        <v>0</v>
      </c>
      <c r="G1006" s="589">
        <f t="shared" si="840"/>
        <v>8727000</v>
      </c>
      <c r="H1006" s="589">
        <f t="shared" si="840"/>
        <v>10260000</v>
      </c>
      <c r="I1006" s="589">
        <f t="shared" si="840"/>
        <v>4199000</v>
      </c>
      <c r="J1006" s="589">
        <f t="shared" si="840"/>
        <v>7581000</v>
      </c>
      <c r="K1006" s="589">
        <f t="shared" si="840"/>
        <v>8172000</v>
      </c>
    </row>
    <row r="1007" spans="1:11" customFormat="1" ht="15" x14ac:dyDescent="0.25">
      <c r="A1007" s="710" t="s">
        <v>118</v>
      </c>
      <c r="B1007" s="710"/>
      <c r="C1007" s="515">
        <f t="shared" ref="C1007:F1007" si="841">SUM(C1008,C1017,C1037,C1040,C1050)</f>
        <v>6680000</v>
      </c>
      <c r="D1007" s="515">
        <f t="shared" si="841"/>
        <v>6680000</v>
      </c>
      <c r="E1007" s="515">
        <f t="shared" si="841"/>
        <v>0</v>
      </c>
      <c r="F1007" s="515">
        <f t="shared" si="841"/>
        <v>0</v>
      </c>
      <c r="G1007" s="515">
        <f t="shared" ref="G1007:H1007" si="842">SUM(G1008,G1017,G1037,G1040,G1050)</f>
        <v>8727000</v>
      </c>
      <c r="H1007" s="515">
        <f t="shared" si="842"/>
        <v>10260000</v>
      </c>
      <c r="I1007" s="515">
        <f t="shared" ref="I1007:K1007" si="843">SUM(I1008,I1017,I1037,I1040,I1050)</f>
        <v>4199000</v>
      </c>
      <c r="J1007" s="515">
        <f t="shared" si="843"/>
        <v>7581000</v>
      </c>
      <c r="K1007" s="515">
        <f t="shared" si="843"/>
        <v>8172000</v>
      </c>
    </row>
    <row r="1008" spans="1:11" customFormat="1" ht="15" x14ac:dyDescent="0.25">
      <c r="A1008" s="613">
        <v>31</v>
      </c>
      <c r="B1008" s="614" t="s">
        <v>323</v>
      </c>
      <c r="C1008" s="518">
        <f t="shared" ref="C1008:F1008" si="844">SUM(C1009,C1012,C1014)</f>
        <v>172000</v>
      </c>
      <c r="D1008" s="518">
        <f t="shared" si="844"/>
        <v>172000</v>
      </c>
      <c r="E1008" s="518">
        <f t="shared" si="844"/>
        <v>0</v>
      </c>
      <c r="F1008" s="518">
        <f t="shared" si="844"/>
        <v>0</v>
      </c>
      <c r="G1008" s="518">
        <f t="shared" ref="G1008:H1008" si="845">SUM(G1009,G1012,G1014)</f>
        <v>172000</v>
      </c>
      <c r="H1008" s="518">
        <f t="shared" si="845"/>
        <v>172000</v>
      </c>
      <c r="I1008" s="518">
        <f t="shared" ref="I1008:J1008" si="846">SUM(I1009,I1012,I1014)</f>
        <v>0</v>
      </c>
      <c r="J1008" s="518">
        <f t="shared" si="846"/>
        <v>0</v>
      </c>
      <c r="K1008" s="518">
        <f t="shared" ref="K1008" si="847">SUM(K1009,K1012,K1014)</f>
        <v>0</v>
      </c>
    </row>
    <row r="1009" spans="1:11" customFormat="1" ht="15" x14ac:dyDescent="0.25">
      <c r="A1009" s="615">
        <v>311</v>
      </c>
      <c r="B1009" s="616" t="s">
        <v>4</v>
      </c>
      <c r="C1009" s="552">
        <f t="shared" ref="C1009:F1009" si="848">SUM(C1010:C1011)</f>
        <v>107000</v>
      </c>
      <c r="D1009" s="552">
        <f t="shared" si="848"/>
        <v>107000</v>
      </c>
      <c r="E1009" s="552">
        <f t="shared" si="848"/>
        <v>0</v>
      </c>
      <c r="F1009" s="552">
        <f t="shared" si="848"/>
        <v>0</v>
      </c>
      <c r="G1009" s="552">
        <f t="shared" ref="G1009:H1009" si="849">SUM(G1010:G1011)</f>
        <v>107000</v>
      </c>
      <c r="H1009" s="552">
        <f t="shared" si="849"/>
        <v>107000</v>
      </c>
      <c r="I1009" s="552">
        <f t="shared" ref="I1009:J1009" si="850">SUM(I1010:I1011)</f>
        <v>0</v>
      </c>
      <c r="J1009" s="552">
        <f t="shared" si="850"/>
        <v>0</v>
      </c>
      <c r="K1009" s="552">
        <f t="shared" ref="K1009" si="851">SUM(K1010:K1011)</f>
        <v>0</v>
      </c>
    </row>
    <row r="1010" spans="1:11" customFormat="1" ht="15" x14ac:dyDescent="0.25">
      <c r="A1010" s="598">
        <v>3111</v>
      </c>
      <c r="B1010" s="599" t="s">
        <v>5</v>
      </c>
      <c r="C1010" s="528">
        <v>100000</v>
      </c>
      <c r="D1010" s="528">
        <v>100000</v>
      </c>
      <c r="E1010" s="528"/>
      <c r="F1010" s="513">
        <f t="shared" ref="F1010:F1016" si="852">C1010-D1010+E1010</f>
        <v>0</v>
      </c>
      <c r="G1010" s="528">
        <v>100000</v>
      </c>
      <c r="H1010" s="528">
        <v>100000</v>
      </c>
      <c r="I1010" s="528"/>
      <c r="J1010" s="528"/>
      <c r="K1010" s="528"/>
    </row>
    <row r="1011" spans="1:11" customFormat="1" ht="15" x14ac:dyDescent="0.25">
      <c r="A1011" s="598">
        <v>3113</v>
      </c>
      <c r="B1011" s="599" t="s">
        <v>6</v>
      </c>
      <c r="C1011" s="528">
        <v>7000</v>
      </c>
      <c r="D1011" s="528">
        <v>7000</v>
      </c>
      <c r="E1011" s="528"/>
      <c r="F1011" s="513">
        <f t="shared" si="852"/>
        <v>0</v>
      </c>
      <c r="G1011" s="528">
        <v>7000</v>
      </c>
      <c r="H1011" s="528">
        <v>7000</v>
      </c>
      <c r="I1011" s="528"/>
      <c r="J1011" s="528"/>
      <c r="K1011" s="528"/>
    </row>
    <row r="1012" spans="1:11" customFormat="1" ht="15" x14ac:dyDescent="0.25">
      <c r="A1012" s="615">
        <v>312</v>
      </c>
      <c r="B1012" s="616" t="s">
        <v>7</v>
      </c>
      <c r="C1012" s="552">
        <f t="shared" ref="C1012:K1012" si="853">SUM(C1013)</f>
        <v>5000</v>
      </c>
      <c r="D1012" s="552">
        <f t="shared" si="853"/>
        <v>5000</v>
      </c>
      <c r="E1012" s="552">
        <f t="shared" si="853"/>
        <v>0</v>
      </c>
      <c r="F1012" s="552">
        <f t="shared" si="853"/>
        <v>0</v>
      </c>
      <c r="G1012" s="552">
        <f t="shared" si="853"/>
        <v>5000</v>
      </c>
      <c r="H1012" s="552">
        <f t="shared" si="853"/>
        <v>5000</v>
      </c>
      <c r="I1012" s="552">
        <f t="shared" si="853"/>
        <v>0</v>
      </c>
      <c r="J1012" s="552">
        <f t="shared" si="853"/>
        <v>0</v>
      </c>
      <c r="K1012" s="552">
        <f t="shared" si="853"/>
        <v>0</v>
      </c>
    </row>
    <row r="1013" spans="1:11" customFormat="1" ht="15" x14ac:dyDescent="0.25">
      <c r="A1013" s="598">
        <v>3121</v>
      </c>
      <c r="B1013" s="599" t="s">
        <v>7</v>
      </c>
      <c r="C1013" s="528">
        <v>5000</v>
      </c>
      <c r="D1013" s="528">
        <v>5000</v>
      </c>
      <c r="E1013" s="528"/>
      <c r="F1013" s="513">
        <f t="shared" si="852"/>
        <v>0</v>
      </c>
      <c r="G1013" s="528">
        <v>5000</v>
      </c>
      <c r="H1013" s="528">
        <v>5000</v>
      </c>
      <c r="I1013" s="528"/>
      <c r="J1013" s="528"/>
      <c r="K1013" s="528"/>
    </row>
    <row r="1014" spans="1:11" customFormat="1" ht="15" x14ac:dyDescent="0.25">
      <c r="A1014" s="615">
        <v>313</v>
      </c>
      <c r="B1014" s="616" t="s">
        <v>8</v>
      </c>
      <c r="C1014" s="552">
        <f t="shared" ref="C1014:F1014" si="854">SUM(C1015:C1016)</f>
        <v>60000</v>
      </c>
      <c r="D1014" s="552">
        <f t="shared" si="854"/>
        <v>60000</v>
      </c>
      <c r="E1014" s="552">
        <f t="shared" si="854"/>
        <v>0</v>
      </c>
      <c r="F1014" s="552">
        <f t="shared" si="854"/>
        <v>0</v>
      </c>
      <c r="G1014" s="552">
        <f t="shared" ref="G1014:H1014" si="855">SUM(G1015:G1016)</f>
        <v>60000</v>
      </c>
      <c r="H1014" s="552">
        <f t="shared" si="855"/>
        <v>60000</v>
      </c>
      <c r="I1014" s="552">
        <f t="shared" ref="I1014:J1014" si="856">SUM(I1015:I1016)</f>
        <v>0</v>
      </c>
      <c r="J1014" s="552">
        <f t="shared" si="856"/>
        <v>0</v>
      </c>
      <c r="K1014" s="552">
        <f t="shared" ref="K1014" si="857">SUM(K1015:K1016)</f>
        <v>0</v>
      </c>
    </row>
    <row r="1015" spans="1:11" customFormat="1" ht="15" x14ac:dyDescent="0.25">
      <c r="A1015" s="598">
        <v>3131</v>
      </c>
      <c r="B1015" s="599" t="s">
        <v>9</v>
      </c>
      <c r="C1015" s="528">
        <v>30000</v>
      </c>
      <c r="D1015" s="528">
        <v>30000</v>
      </c>
      <c r="E1015" s="528"/>
      <c r="F1015" s="513">
        <f t="shared" si="852"/>
        <v>0</v>
      </c>
      <c r="G1015" s="528">
        <v>30000</v>
      </c>
      <c r="H1015" s="528">
        <v>30000</v>
      </c>
      <c r="I1015" s="528"/>
      <c r="J1015" s="528"/>
      <c r="K1015" s="528"/>
    </row>
    <row r="1016" spans="1:11" customFormat="1" ht="15" x14ac:dyDescent="0.25">
      <c r="A1016" s="598">
        <v>3132</v>
      </c>
      <c r="B1016" s="599" t="s">
        <v>10</v>
      </c>
      <c r="C1016" s="528">
        <v>30000</v>
      </c>
      <c r="D1016" s="528">
        <v>30000</v>
      </c>
      <c r="E1016" s="528"/>
      <c r="F1016" s="513">
        <f t="shared" si="852"/>
        <v>0</v>
      </c>
      <c r="G1016" s="528">
        <v>30000</v>
      </c>
      <c r="H1016" s="528">
        <v>30000</v>
      </c>
      <c r="I1016" s="528"/>
      <c r="J1016" s="528"/>
      <c r="K1016" s="528"/>
    </row>
    <row r="1017" spans="1:11" customFormat="1" ht="15" x14ac:dyDescent="0.25">
      <c r="A1017" s="613">
        <v>32</v>
      </c>
      <c r="B1017" s="614" t="s">
        <v>325</v>
      </c>
      <c r="C1017" s="518">
        <f t="shared" ref="C1017:F1017" si="858">SUM(C1018,C1022,C1028,C1033,C1035)</f>
        <v>524000</v>
      </c>
      <c r="D1017" s="518">
        <f t="shared" si="858"/>
        <v>524000</v>
      </c>
      <c r="E1017" s="518">
        <f t="shared" si="858"/>
        <v>0</v>
      </c>
      <c r="F1017" s="518">
        <f t="shared" si="858"/>
        <v>0</v>
      </c>
      <c r="G1017" s="518">
        <f t="shared" ref="G1017:H1017" si="859">SUM(G1018,G1022,G1028,G1033,G1035)</f>
        <v>622000</v>
      </c>
      <c r="H1017" s="518">
        <f t="shared" si="859"/>
        <v>722000</v>
      </c>
      <c r="I1017" s="518">
        <f t="shared" ref="I1017:K1017" si="860">SUM(I1018,I1022,I1028,I1033,I1035)</f>
        <v>509000</v>
      </c>
      <c r="J1017" s="518">
        <f t="shared" si="860"/>
        <v>591000</v>
      </c>
      <c r="K1017" s="518">
        <f t="shared" si="860"/>
        <v>732000</v>
      </c>
    </row>
    <row r="1018" spans="1:11" customFormat="1" ht="15" x14ac:dyDescent="0.25">
      <c r="A1018" s="615">
        <v>321</v>
      </c>
      <c r="B1018" s="616" t="s">
        <v>12</v>
      </c>
      <c r="C1018" s="552">
        <f t="shared" ref="C1018:F1018" si="861">SUM(C1019:C1021)</f>
        <v>247000</v>
      </c>
      <c r="D1018" s="552">
        <f t="shared" si="861"/>
        <v>247000</v>
      </c>
      <c r="E1018" s="552">
        <f t="shared" si="861"/>
        <v>0</v>
      </c>
      <c r="F1018" s="552">
        <f t="shared" si="861"/>
        <v>0</v>
      </c>
      <c r="G1018" s="552">
        <f t="shared" ref="G1018:H1018" si="862">SUM(G1019:G1021)</f>
        <v>345000</v>
      </c>
      <c r="H1018" s="552">
        <f t="shared" si="862"/>
        <v>445000</v>
      </c>
      <c r="I1018" s="552">
        <f t="shared" ref="I1018:K1018" si="863">SUM(I1019:I1021)</f>
        <v>247000</v>
      </c>
      <c r="J1018" s="552">
        <f t="shared" si="863"/>
        <v>349000</v>
      </c>
      <c r="K1018" s="552">
        <f t="shared" si="863"/>
        <v>450000</v>
      </c>
    </row>
    <row r="1019" spans="1:11" customFormat="1" ht="15" x14ac:dyDescent="0.25">
      <c r="A1019" s="598">
        <v>3211</v>
      </c>
      <c r="B1019" s="599" t="s">
        <v>13</v>
      </c>
      <c r="C1019" s="528">
        <v>40000</v>
      </c>
      <c r="D1019" s="528">
        <v>40000</v>
      </c>
      <c r="E1019" s="528"/>
      <c r="F1019" s="513">
        <f t="shared" ref="F1019:F1036" si="864">C1019-D1019+E1019</f>
        <v>0</v>
      </c>
      <c r="G1019" s="528">
        <v>40000</v>
      </c>
      <c r="H1019" s="528">
        <v>40000</v>
      </c>
      <c r="I1019" s="528">
        <v>40000</v>
      </c>
      <c r="J1019" s="528">
        <v>40000</v>
      </c>
      <c r="K1019" s="528">
        <v>40000</v>
      </c>
    </row>
    <row r="1020" spans="1:11" customFormat="1" ht="25.5" x14ac:dyDescent="0.25">
      <c r="A1020" s="598">
        <v>3212</v>
      </c>
      <c r="B1020" s="599" t="s">
        <v>14</v>
      </c>
      <c r="C1020" s="528">
        <v>7000</v>
      </c>
      <c r="D1020" s="528">
        <v>7000</v>
      </c>
      <c r="E1020" s="528"/>
      <c r="F1020" s="513">
        <f t="shared" si="864"/>
        <v>0</v>
      </c>
      <c r="G1020" s="528">
        <v>7000</v>
      </c>
      <c r="H1020" s="528">
        <v>7000</v>
      </c>
      <c r="I1020" s="528">
        <v>7000</v>
      </c>
      <c r="J1020" s="528">
        <v>9000</v>
      </c>
      <c r="K1020" s="528">
        <v>10000</v>
      </c>
    </row>
    <row r="1021" spans="1:11" customFormat="1" ht="15" x14ac:dyDescent="0.25">
      <c r="A1021" s="598">
        <v>3213</v>
      </c>
      <c r="B1021" s="599" t="s">
        <v>15</v>
      </c>
      <c r="C1021" s="528">
        <v>200000</v>
      </c>
      <c r="D1021" s="528">
        <v>200000</v>
      </c>
      <c r="E1021" s="528"/>
      <c r="F1021" s="513">
        <f t="shared" si="864"/>
        <v>0</v>
      </c>
      <c r="G1021" s="528">
        <v>298000</v>
      </c>
      <c r="H1021" s="528">
        <v>398000</v>
      </c>
      <c r="I1021" s="528">
        <v>200000</v>
      </c>
      <c r="J1021" s="528">
        <v>300000</v>
      </c>
      <c r="K1021" s="528">
        <v>400000</v>
      </c>
    </row>
    <row r="1022" spans="1:11" customFormat="1" ht="15" x14ac:dyDescent="0.25">
      <c r="A1022" s="615">
        <v>322</v>
      </c>
      <c r="B1022" s="616" t="s">
        <v>16</v>
      </c>
      <c r="C1022" s="552">
        <f t="shared" ref="C1022:F1022" si="865">SUM(C1023:C1027)</f>
        <v>68000</v>
      </c>
      <c r="D1022" s="552">
        <f t="shared" si="865"/>
        <v>68000</v>
      </c>
      <c r="E1022" s="552">
        <f t="shared" si="865"/>
        <v>0</v>
      </c>
      <c r="F1022" s="552">
        <f t="shared" si="865"/>
        <v>0</v>
      </c>
      <c r="G1022" s="552">
        <f t="shared" ref="G1022:H1022" si="866">SUM(G1023:G1027)</f>
        <v>68000</v>
      </c>
      <c r="H1022" s="552">
        <f t="shared" si="866"/>
        <v>68000</v>
      </c>
      <c r="I1022" s="552">
        <f t="shared" ref="I1022:K1022" si="867">SUM(I1023:I1027)</f>
        <v>70000</v>
      </c>
      <c r="J1022" s="552">
        <f t="shared" si="867"/>
        <v>85000</v>
      </c>
      <c r="K1022" s="552">
        <f t="shared" si="867"/>
        <v>85000</v>
      </c>
    </row>
    <row r="1023" spans="1:11" customFormat="1" ht="15" x14ac:dyDescent="0.25">
      <c r="A1023" s="598">
        <v>3221</v>
      </c>
      <c r="B1023" s="599" t="s">
        <v>17</v>
      </c>
      <c r="C1023" s="528">
        <v>5000</v>
      </c>
      <c r="D1023" s="528">
        <v>5000</v>
      </c>
      <c r="E1023" s="528"/>
      <c r="F1023" s="513">
        <f t="shared" si="864"/>
        <v>0</v>
      </c>
      <c r="G1023" s="528">
        <v>5000</v>
      </c>
      <c r="H1023" s="528">
        <v>5000</v>
      </c>
      <c r="I1023" s="528">
        <v>5000</v>
      </c>
      <c r="J1023" s="528">
        <v>5000</v>
      </c>
      <c r="K1023" s="528">
        <v>5000</v>
      </c>
    </row>
    <row r="1024" spans="1:11" customFormat="1" ht="15" x14ac:dyDescent="0.25">
      <c r="A1024" s="598">
        <v>3222</v>
      </c>
      <c r="B1024" s="599" t="s">
        <v>18</v>
      </c>
      <c r="C1024" s="528">
        <v>14000</v>
      </c>
      <c r="D1024" s="528">
        <v>14000</v>
      </c>
      <c r="E1024" s="528"/>
      <c r="F1024" s="513">
        <f t="shared" si="864"/>
        <v>0</v>
      </c>
      <c r="G1024" s="528">
        <v>14000</v>
      </c>
      <c r="H1024" s="528">
        <v>14000</v>
      </c>
      <c r="I1024" s="528">
        <v>15000</v>
      </c>
      <c r="J1024" s="528">
        <v>15000</v>
      </c>
      <c r="K1024" s="528">
        <v>15000</v>
      </c>
    </row>
    <row r="1025" spans="1:11" customFormat="1" ht="15" x14ac:dyDescent="0.25">
      <c r="A1025" s="598">
        <v>3223</v>
      </c>
      <c r="B1025" s="599" t="s">
        <v>19</v>
      </c>
      <c r="C1025" s="528">
        <v>27000</v>
      </c>
      <c r="D1025" s="528">
        <v>27000</v>
      </c>
      <c r="E1025" s="528"/>
      <c r="F1025" s="513">
        <f t="shared" si="864"/>
        <v>0</v>
      </c>
      <c r="G1025" s="528">
        <v>27000</v>
      </c>
      <c r="H1025" s="528">
        <v>27000</v>
      </c>
      <c r="I1025" s="528">
        <v>28000</v>
      </c>
      <c r="J1025" s="528">
        <v>30000</v>
      </c>
      <c r="K1025" s="528">
        <v>25000</v>
      </c>
    </row>
    <row r="1026" spans="1:11" customFormat="1" ht="21" customHeight="1" x14ac:dyDescent="0.25">
      <c r="A1026" s="598">
        <v>3224</v>
      </c>
      <c r="B1026" s="599" t="s">
        <v>112</v>
      </c>
      <c r="C1026" s="528">
        <v>2000</v>
      </c>
      <c r="D1026" s="528">
        <v>2000</v>
      </c>
      <c r="E1026" s="528"/>
      <c r="F1026" s="513">
        <f t="shared" si="864"/>
        <v>0</v>
      </c>
      <c r="G1026" s="528">
        <v>2000</v>
      </c>
      <c r="H1026" s="528">
        <v>2000</v>
      </c>
      <c r="I1026" s="528">
        <v>2000</v>
      </c>
      <c r="J1026" s="528">
        <v>15000</v>
      </c>
      <c r="K1026" s="528">
        <v>20000</v>
      </c>
    </row>
    <row r="1027" spans="1:11" customFormat="1" ht="15" x14ac:dyDescent="0.25">
      <c r="A1027" s="598">
        <v>3225</v>
      </c>
      <c r="B1027" s="599" t="s">
        <v>21</v>
      </c>
      <c r="C1027" s="528">
        <v>20000</v>
      </c>
      <c r="D1027" s="528">
        <v>20000</v>
      </c>
      <c r="E1027" s="528"/>
      <c r="F1027" s="513">
        <f t="shared" si="864"/>
        <v>0</v>
      </c>
      <c r="G1027" s="528">
        <v>20000</v>
      </c>
      <c r="H1027" s="528">
        <v>20000</v>
      </c>
      <c r="I1027" s="528">
        <v>20000</v>
      </c>
      <c r="J1027" s="528">
        <v>20000</v>
      </c>
      <c r="K1027" s="528">
        <v>20000</v>
      </c>
    </row>
    <row r="1028" spans="1:11" customFormat="1" ht="15" x14ac:dyDescent="0.25">
      <c r="A1028" s="615">
        <v>323</v>
      </c>
      <c r="B1028" s="616" t="s">
        <v>23</v>
      </c>
      <c r="C1028" s="552">
        <f t="shared" ref="C1028:F1028" si="868">SUM(C1029:C1032)</f>
        <v>122000</v>
      </c>
      <c r="D1028" s="552">
        <f t="shared" si="868"/>
        <v>122000</v>
      </c>
      <c r="E1028" s="552">
        <f t="shared" si="868"/>
        <v>0</v>
      </c>
      <c r="F1028" s="552">
        <f t="shared" si="868"/>
        <v>0</v>
      </c>
      <c r="G1028" s="552">
        <f t="shared" ref="G1028:H1028" si="869">SUM(G1029:G1032)</f>
        <v>122000</v>
      </c>
      <c r="H1028" s="552">
        <f t="shared" si="869"/>
        <v>122000</v>
      </c>
      <c r="I1028" s="552">
        <f t="shared" ref="I1028:K1028" si="870">SUM(I1029:I1032)</f>
        <v>167000</v>
      </c>
      <c r="J1028" s="552">
        <f t="shared" si="870"/>
        <v>132000</v>
      </c>
      <c r="K1028" s="552">
        <f t="shared" si="870"/>
        <v>172000</v>
      </c>
    </row>
    <row r="1029" spans="1:11" customFormat="1" ht="15" x14ac:dyDescent="0.25">
      <c r="A1029" s="598">
        <v>3231</v>
      </c>
      <c r="B1029" s="599" t="s">
        <v>24</v>
      </c>
      <c r="C1029" s="528">
        <v>3000</v>
      </c>
      <c r="D1029" s="528">
        <v>3000</v>
      </c>
      <c r="E1029" s="528"/>
      <c r="F1029" s="513">
        <f t="shared" si="864"/>
        <v>0</v>
      </c>
      <c r="G1029" s="528">
        <v>3000</v>
      </c>
      <c r="H1029" s="528">
        <v>3000</v>
      </c>
      <c r="I1029" s="528">
        <v>2000</v>
      </c>
      <c r="J1029" s="528">
        <v>2000</v>
      </c>
      <c r="K1029" s="528">
        <v>2000</v>
      </c>
    </row>
    <row r="1030" spans="1:11" customFormat="1" ht="15" x14ac:dyDescent="0.25">
      <c r="A1030" s="598">
        <v>3232</v>
      </c>
      <c r="B1030" s="599" t="s">
        <v>25</v>
      </c>
      <c r="C1030" s="528">
        <v>55000</v>
      </c>
      <c r="D1030" s="528">
        <v>55000</v>
      </c>
      <c r="E1030" s="528"/>
      <c r="F1030" s="513">
        <f t="shared" si="864"/>
        <v>0</v>
      </c>
      <c r="G1030" s="528">
        <v>55000</v>
      </c>
      <c r="H1030" s="528">
        <v>55000</v>
      </c>
      <c r="I1030" s="528">
        <v>55000</v>
      </c>
      <c r="J1030" s="528">
        <v>55000</v>
      </c>
      <c r="K1030" s="528">
        <v>55000</v>
      </c>
    </row>
    <row r="1031" spans="1:11" customFormat="1" ht="15" x14ac:dyDescent="0.25">
      <c r="A1031" s="598">
        <v>3233</v>
      </c>
      <c r="B1031" s="599" t="s">
        <v>26</v>
      </c>
      <c r="C1031" s="528">
        <v>10000</v>
      </c>
      <c r="D1031" s="528">
        <v>10000</v>
      </c>
      <c r="E1031" s="528"/>
      <c r="F1031" s="513">
        <f t="shared" si="864"/>
        <v>0</v>
      </c>
      <c r="G1031" s="528">
        <v>10000</v>
      </c>
      <c r="H1031" s="528">
        <v>10000</v>
      </c>
      <c r="I1031" s="528">
        <v>10000</v>
      </c>
      <c r="J1031" s="528">
        <v>15000</v>
      </c>
      <c r="K1031" s="528">
        <v>15000</v>
      </c>
    </row>
    <row r="1032" spans="1:11" customFormat="1" ht="15" x14ac:dyDescent="0.25">
      <c r="A1032" s="598">
        <v>3237</v>
      </c>
      <c r="B1032" s="599" t="s">
        <v>30</v>
      </c>
      <c r="C1032" s="528">
        <v>54000</v>
      </c>
      <c r="D1032" s="528">
        <v>54000</v>
      </c>
      <c r="E1032" s="528"/>
      <c r="F1032" s="513">
        <f t="shared" si="864"/>
        <v>0</v>
      </c>
      <c r="G1032" s="528">
        <v>54000</v>
      </c>
      <c r="H1032" s="528">
        <v>54000</v>
      </c>
      <c r="I1032" s="528">
        <v>100000</v>
      </c>
      <c r="J1032" s="528">
        <v>60000</v>
      </c>
      <c r="K1032" s="528">
        <v>100000</v>
      </c>
    </row>
    <row r="1033" spans="1:11" customFormat="1" ht="25.5" x14ac:dyDescent="0.25">
      <c r="A1033" s="615">
        <v>324</v>
      </c>
      <c r="B1033" s="616" t="s">
        <v>32</v>
      </c>
      <c r="C1033" s="552">
        <f t="shared" ref="C1033:K1033" si="871">SUM(C1034)</f>
        <v>20000</v>
      </c>
      <c r="D1033" s="552">
        <f t="shared" si="871"/>
        <v>20000</v>
      </c>
      <c r="E1033" s="552">
        <f t="shared" si="871"/>
        <v>0</v>
      </c>
      <c r="F1033" s="552">
        <f t="shared" si="871"/>
        <v>0</v>
      </c>
      <c r="G1033" s="552">
        <f t="shared" si="871"/>
        <v>20000</v>
      </c>
      <c r="H1033" s="552">
        <f t="shared" si="871"/>
        <v>20000</v>
      </c>
      <c r="I1033" s="552">
        <f t="shared" si="871"/>
        <v>0</v>
      </c>
      <c r="J1033" s="552">
        <f t="shared" si="871"/>
        <v>0</v>
      </c>
      <c r="K1033" s="552">
        <f t="shared" si="871"/>
        <v>0</v>
      </c>
    </row>
    <row r="1034" spans="1:11" customFormat="1" ht="25.5" x14ac:dyDescent="0.25">
      <c r="A1034" s="598">
        <v>3241</v>
      </c>
      <c r="B1034" s="599" t="s">
        <v>32</v>
      </c>
      <c r="C1034" s="528">
        <v>20000</v>
      </c>
      <c r="D1034" s="528">
        <v>20000</v>
      </c>
      <c r="E1034" s="528"/>
      <c r="F1034" s="513">
        <f t="shared" si="864"/>
        <v>0</v>
      </c>
      <c r="G1034" s="528">
        <v>20000</v>
      </c>
      <c r="H1034" s="528">
        <v>20000</v>
      </c>
      <c r="I1034" s="528"/>
      <c r="J1034" s="528"/>
      <c r="K1034" s="528"/>
    </row>
    <row r="1035" spans="1:11" customFormat="1" ht="15" x14ac:dyDescent="0.25">
      <c r="A1035" s="615" t="s">
        <v>170</v>
      </c>
      <c r="B1035" s="616" t="s">
        <v>33</v>
      </c>
      <c r="C1035" s="552">
        <f t="shared" ref="C1035:K1035" si="872">SUM(C1036)</f>
        <v>67000</v>
      </c>
      <c r="D1035" s="552">
        <f t="shared" si="872"/>
        <v>67000</v>
      </c>
      <c r="E1035" s="552">
        <f t="shared" si="872"/>
        <v>0</v>
      </c>
      <c r="F1035" s="552">
        <f t="shared" si="872"/>
        <v>0</v>
      </c>
      <c r="G1035" s="552">
        <f t="shared" si="872"/>
        <v>67000</v>
      </c>
      <c r="H1035" s="552">
        <f t="shared" si="872"/>
        <v>67000</v>
      </c>
      <c r="I1035" s="552">
        <f t="shared" si="872"/>
        <v>25000</v>
      </c>
      <c r="J1035" s="552">
        <f t="shared" si="872"/>
        <v>25000</v>
      </c>
      <c r="K1035" s="552">
        <f t="shared" si="872"/>
        <v>25000</v>
      </c>
    </row>
    <row r="1036" spans="1:11" customFormat="1" ht="15" x14ac:dyDescent="0.25">
      <c r="A1036" s="598">
        <v>3294</v>
      </c>
      <c r="B1036" s="599" t="s">
        <v>37</v>
      </c>
      <c r="C1036" s="528">
        <v>67000</v>
      </c>
      <c r="D1036" s="528">
        <v>67000</v>
      </c>
      <c r="E1036" s="528"/>
      <c r="F1036" s="513">
        <f t="shared" si="864"/>
        <v>0</v>
      </c>
      <c r="G1036" s="528">
        <v>67000</v>
      </c>
      <c r="H1036" s="528">
        <v>67000</v>
      </c>
      <c r="I1036" s="528">
        <v>25000</v>
      </c>
      <c r="J1036" s="528">
        <v>25000</v>
      </c>
      <c r="K1036" s="528">
        <v>25000</v>
      </c>
    </row>
    <row r="1037" spans="1:11" customFormat="1" ht="25.5" x14ac:dyDescent="0.25">
      <c r="A1037" s="505">
        <v>41</v>
      </c>
      <c r="B1037" s="517" t="s">
        <v>335</v>
      </c>
      <c r="C1037" s="518">
        <f t="shared" ref="C1037:K1038" si="873">SUM(C1038)</f>
        <v>1990000</v>
      </c>
      <c r="D1037" s="518">
        <f t="shared" si="873"/>
        <v>1990000</v>
      </c>
      <c r="E1037" s="518">
        <f t="shared" si="873"/>
        <v>0</v>
      </c>
      <c r="F1037" s="518">
        <f t="shared" si="873"/>
        <v>0</v>
      </c>
      <c r="G1037" s="518">
        <f t="shared" si="873"/>
        <v>1990000</v>
      </c>
      <c r="H1037" s="518">
        <f t="shared" si="873"/>
        <v>1990000</v>
      </c>
      <c r="I1037" s="518">
        <f t="shared" si="873"/>
        <v>500000</v>
      </c>
      <c r="J1037" s="518">
        <f t="shared" si="873"/>
        <v>1500000</v>
      </c>
      <c r="K1037" s="518">
        <f t="shared" si="873"/>
        <v>1500000</v>
      </c>
    </row>
    <row r="1038" spans="1:11" customFormat="1" ht="15" x14ac:dyDescent="0.25">
      <c r="A1038" s="615">
        <v>412</v>
      </c>
      <c r="B1038" s="616" t="s">
        <v>67</v>
      </c>
      <c r="C1038" s="552">
        <f t="shared" si="873"/>
        <v>1990000</v>
      </c>
      <c r="D1038" s="552">
        <f t="shared" si="873"/>
        <v>1990000</v>
      </c>
      <c r="E1038" s="552">
        <f t="shared" si="873"/>
        <v>0</v>
      </c>
      <c r="F1038" s="552">
        <f t="shared" si="873"/>
        <v>0</v>
      </c>
      <c r="G1038" s="552">
        <f t="shared" si="873"/>
        <v>1990000</v>
      </c>
      <c r="H1038" s="552">
        <f t="shared" si="873"/>
        <v>1990000</v>
      </c>
      <c r="I1038" s="552">
        <f t="shared" si="873"/>
        <v>500000</v>
      </c>
      <c r="J1038" s="552">
        <f t="shared" si="873"/>
        <v>1500000</v>
      </c>
      <c r="K1038" s="552">
        <f t="shared" si="873"/>
        <v>1500000</v>
      </c>
    </row>
    <row r="1039" spans="1:11" customFormat="1" ht="15" x14ac:dyDescent="0.25">
      <c r="A1039" s="598">
        <v>4123</v>
      </c>
      <c r="B1039" s="599" t="s">
        <v>68</v>
      </c>
      <c r="C1039" s="528">
        <v>1990000</v>
      </c>
      <c r="D1039" s="528">
        <v>1990000</v>
      </c>
      <c r="E1039" s="528"/>
      <c r="F1039" s="513">
        <f t="shared" ref="F1039" si="874">C1039-D1039+E1039</f>
        <v>0</v>
      </c>
      <c r="G1039" s="528">
        <v>1990000</v>
      </c>
      <c r="H1039" s="528">
        <v>1990000</v>
      </c>
      <c r="I1039" s="526">
        <f>1500000-1000000</f>
        <v>500000</v>
      </c>
      <c r="J1039" s="528">
        <v>1500000</v>
      </c>
      <c r="K1039" s="528">
        <v>1500000</v>
      </c>
    </row>
    <row r="1040" spans="1:11" customFormat="1" ht="25.5" x14ac:dyDescent="0.25">
      <c r="A1040" s="613">
        <v>42</v>
      </c>
      <c r="B1040" s="517" t="s">
        <v>331</v>
      </c>
      <c r="C1040" s="518">
        <f t="shared" ref="C1040:F1040" si="875">SUM(C1041,C1046,C1048)</f>
        <v>3695000</v>
      </c>
      <c r="D1040" s="518">
        <f t="shared" si="875"/>
        <v>3695000</v>
      </c>
      <c r="E1040" s="518">
        <f t="shared" si="875"/>
        <v>0</v>
      </c>
      <c r="F1040" s="518">
        <f t="shared" si="875"/>
        <v>0</v>
      </c>
      <c r="G1040" s="518">
        <f t="shared" ref="G1040:H1040" si="876">SUM(G1041,G1046,G1048)</f>
        <v>5246000</v>
      </c>
      <c r="H1040" s="518">
        <f t="shared" si="876"/>
        <v>6679000</v>
      </c>
      <c r="I1040" s="518">
        <f t="shared" ref="I1040:K1040" si="877">SUM(I1041,I1046,I1048)</f>
        <v>2190000</v>
      </c>
      <c r="J1040" s="518">
        <f t="shared" si="877"/>
        <v>2990000</v>
      </c>
      <c r="K1040" s="518">
        <f t="shared" si="877"/>
        <v>2940000</v>
      </c>
    </row>
    <row r="1041" spans="1:11" customFormat="1" ht="15" x14ac:dyDescent="0.25">
      <c r="A1041" s="615">
        <v>422</v>
      </c>
      <c r="B1041" s="616" t="s">
        <v>53</v>
      </c>
      <c r="C1041" s="552">
        <f t="shared" ref="C1041:F1041" si="878">SUM(C1042:C1045)</f>
        <v>2669000</v>
      </c>
      <c r="D1041" s="552">
        <f t="shared" si="878"/>
        <v>2669000</v>
      </c>
      <c r="E1041" s="552">
        <f t="shared" si="878"/>
        <v>0</v>
      </c>
      <c r="F1041" s="552">
        <f t="shared" si="878"/>
        <v>0</v>
      </c>
      <c r="G1041" s="552">
        <f t="shared" ref="G1041:H1041" si="879">SUM(G1042:G1045)</f>
        <v>3922000</v>
      </c>
      <c r="H1041" s="552">
        <f t="shared" si="879"/>
        <v>5156000</v>
      </c>
      <c r="I1041" s="552">
        <f t="shared" ref="I1041:K1041" si="880">SUM(I1042:I1045)</f>
        <v>1190000</v>
      </c>
      <c r="J1041" s="552">
        <f t="shared" si="880"/>
        <v>1690000</v>
      </c>
      <c r="K1041" s="552">
        <f t="shared" si="880"/>
        <v>1690000</v>
      </c>
    </row>
    <row r="1042" spans="1:11" customFormat="1" ht="15" x14ac:dyDescent="0.25">
      <c r="A1042" s="598">
        <v>4221</v>
      </c>
      <c r="B1042" s="599" t="s">
        <v>54</v>
      </c>
      <c r="C1042" s="528">
        <v>339000</v>
      </c>
      <c r="D1042" s="528">
        <v>339000</v>
      </c>
      <c r="E1042" s="528"/>
      <c r="F1042" s="513">
        <f t="shared" ref="F1042:F1049" si="881">C1042-D1042+E1042</f>
        <v>0</v>
      </c>
      <c r="G1042" s="528">
        <v>796000</v>
      </c>
      <c r="H1042" s="528">
        <v>338000</v>
      </c>
      <c r="I1042" s="528">
        <v>150000</v>
      </c>
      <c r="J1042" s="528">
        <v>150000</v>
      </c>
      <c r="K1042" s="528">
        <v>150000</v>
      </c>
    </row>
    <row r="1043" spans="1:11" customFormat="1" ht="15" x14ac:dyDescent="0.25">
      <c r="A1043" s="598">
        <v>4222</v>
      </c>
      <c r="B1043" s="599" t="s">
        <v>58</v>
      </c>
      <c r="C1043" s="528">
        <v>498000</v>
      </c>
      <c r="D1043" s="528">
        <v>498000</v>
      </c>
      <c r="E1043" s="528"/>
      <c r="F1043" s="513">
        <f t="shared" si="881"/>
        <v>0</v>
      </c>
      <c r="G1043" s="528">
        <v>597000</v>
      </c>
      <c r="H1043" s="528">
        <v>796000</v>
      </c>
      <c r="I1043" s="528">
        <v>500000</v>
      </c>
      <c r="J1043" s="528">
        <v>500000</v>
      </c>
      <c r="K1043" s="528">
        <v>500000</v>
      </c>
    </row>
    <row r="1044" spans="1:11" customFormat="1" ht="15" x14ac:dyDescent="0.25">
      <c r="A1044" s="598">
        <v>4223</v>
      </c>
      <c r="B1044" s="599" t="s">
        <v>59</v>
      </c>
      <c r="C1044" s="528">
        <v>1792000</v>
      </c>
      <c r="D1044" s="528">
        <v>1792000</v>
      </c>
      <c r="E1044" s="528"/>
      <c r="F1044" s="513">
        <f t="shared" si="881"/>
        <v>0</v>
      </c>
      <c r="G1044" s="528">
        <v>2489000</v>
      </c>
      <c r="H1044" s="528">
        <v>3982000</v>
      </c>
      <c r="I1044" s="526">
        <f>1000000-500000</f>
        <v>500000</v>
      </c>
      <c r="J1044" s="528">
        <v>1000000</v>
      </c>
      <c r="K1044" s="528">
        <v>1000000</v>
      </c>
    </row>
    <row r="1045" spans="1:11" customFormat="1" ht="25.5" x14ac:dyDescent="0.25">
      <c r="A1045" s="598">
        <v>4227</v>
      </c>
      <c r="B1045" s="599" t="s">
        <v>60</v>
      </c>
      <c r="C1045" s="528">
        <v>40000</v>
      </c>
      <c r="D1045" s="528">
        <v>40000</v>
      </c>
      <c r="E1045" s="528"/>
      <c r="F1045" s="513">
        <f t="shared" si="881"/>
        <v>0</v>
      </c>
      <c r="G1045" s="528">
        <v>40000</v>
      </c>
      <c r="H1045" s="528">
        <v>40000</v>
      </c>
      <c r="I1045" s="528">
        <v>40000</v>
      </c>
      <c r="J1045" s="528">
        <v>40000</v>
      </c>
      <c r="K1045" s="528">
        <v>40000</v>
      </c>
    </row>
    <row r="1046" spans="1:11" customFormat="1" ht="15" x14ac:dyDescent="0.25">
      <c r="A1046" s="615">
        <v>423</v>
      </c>
      <c r="B1046" s="616" t="s">
        <v>61</v>
      </c>
      <c r="C1046" s="552">
        <f t="shared" ref="C1046:K1046" si="882">SUM(C1047)</f>
        <v>528000</v>
      </c>
      <c r="D1046" s="552">
        <f t="shared" si="882"/>
        <v>528000</v>
      </c>
      <c r="E1046" s="552">
        <f t="shared" si="882"/>
        <v>0</v>
      </c>
      <c r="F1046" s="552">
        <f t="shared" si="882"/>
        <v>0</v>
      </c>
      <c r="G1046" s="552">
        <f t="shared" si="882"/>
        <v>528000</v>
      </c>
      <c r="H1046" s="552">
        <f t="shared" si="882"/>
        <v>528000</v>
      </c>
      <c r="I1046" s="552">
        <f t="shared" si="882"/>
        <v>500000</v>
      </c>
      <c r="J1046" s="552">
        <f t="shared" si="882"/>
        <v>300000</v>
      </c>
      <c r="K1046" s="552">
        <f t="shared" si="882"/>
        <v>250000</v>
      </c>
    </row>
    <row r="1047" spans="1:11" customFormat="1" ht="15" x14ac:dyDescent="0.25">
      <c r="A1047" s="598">
        <v>4231</v>
      </c>
      <c r="B1047" s="599" t="s">
        <v>62</v>
      </c>
      <c r="C1047" s="528">
        <v>528000</v>
      </c>
      <c r="D1047" s="528">
        <v>528000</v>
      </c>
      <c r="E1047" s="528"/>
      <c r="F1047" s="513">
        <f t="shared" si="881"/>
        <v>0</v>
      </c>
      <c r="G1047" s="528">
        <v>528000</v>
      </c>
      <c r="H1047" s="528">
        <v>528000</v>
      </c>
      <c r="I1047" s="528">
        <v>500000</v>
      </c>
      <c r="J1047" s="528">
        <v>300000</v>
      </c>
      <c r="K1047" s="528">
        <v>250000</v>
      </c>
    </row>
    <row r="1048" spans="1:11" customFormat="1" ht="15" x14ac:dyDescent="0.25">
      <c r="A1048" s="615">
        <v>426</v>
      </c>
      <c r="B1048" s="616" t="s">
        <v>73</v>
      </c>
      <c r="C1048" s="552">
        <f t="shared" ref="C1048:K1048" si="883">SUM(C1049)</f>
        <v>498000</v>
      </c>
      <c r="D1048" s="552">
        <f t="shared" si="883"/>
        <v>498000</v>
      </c>
      <c r="E1048" s="552">
        <f t="shared" si="883"/>
        <v>0</v>
      </c>
      <c r="F1048" s="552">
        <f t="shared" si="883"/>
        <v>0</v>
      </c>
      <c r="G1048" s="552">
        <f t="shared" si="883"/>
        <v>796000</v>
      </c>
      <c r="H1048" s="552">
        <f t="shared" si="883"/>
        <v>995000</v>
      </c>
      <c r="I1048" s="552">
        <f t="shared" si="883"/>
        <v>500000</v>
      </c>
      <c r="J1048" s="552">
        <f t="shared" si="883"/>
        <v>1000000</v>
      </c>
      <c r="K1048" s="552">
        <f t="shared" si="883"/>
        <v>1000000</v>
      </c>
    </row>
    <row r="1049" spans="1:11" customFormat="1" ht="15" x14ac:dyDescent="0.25">
      <c r="A1049" s="598">
        <v>4262</v>
      </c>
      <c r="B1049" s="599" t="s">
        <v>88</v>
      </c>
      <c r="C1049" s="528">
        <v>498000</v>
      </c>
      <c r="D1049" s="528">
        <v>498000</v>
      </c>
      <c r="E1049" s="528"/>
      <c r="F1049" s="513">
        <f t="shared" si="881"/>
        <v>0</v>
      </c>
      <c r="G1049" s="528">
        <v>796000</v>
      </c>
      <c r="H1049" s="528">
        <v>995000</v>
      </c>
      <c r="I1049" s="526">
        <f>1000000-500000</f>
        <v>500000</v>
      </c>
      <c r="J1049" s="528">
        <v>1000000</v>
      </c>
      <c r="K1049" s="528">
        <v>1000000</v>
      </c>
    </row>
    <row r="1050" spans="1:11" customFormat="1" ht="25.5" x14ac:dyDescent="0.25">
      <c r="A1050" s="613">
        <v>45</v>
      </c>
      <c r="B1050" s="541" t="s">
        <v>333</v>
      </c>
      <c r="C1050" s="518">
        <f t="shared" ref="C1050:K1051" si="884">SUM(C1051)</f>
        <v>299000</v>
      </c>
      <c r="D1050" s="518">
        <f t="shared" si="884"/>
        <v>299000</v>
      </c>
      <c r="E1050" s="518">
        <f t="shared" si="884"/>
        <v>0</v>
      </c>
      <c r="F1050" s="518">
        <f t="shared" si="884"/>
        <v>0</v>
      </c>
      <c r="G1050" s="518">
        <f t="shared" si="884"/>
        <v>697000</v>
      </c>
      <c r="H1050" s="518">
        <f t="shared" si="884"/>
        <v>697000</v>
      </c>
      <c r="I1050" s="518">
        <f t="shared" si="884"/>
        <v>1000000</v>
      </c>
      <c r="J1050" s="518">
        <f t="shared" si="884"/>
        <v>2500000</v>
      </c>
      <c r="K1050" s="518">
        <f t="shared" si="884"/>
        <v>3000000</v>
      </c>
    </row>
    <row r="1051" spans="1:11" customFormat="1" ht="25.5" x14ac:dyDescent="0.25">
      <c r="A1051" s="615">
        <v>451</v>
      </c>
      <c r="B1051" s="616" t="s">
        <v>55</v>
      </c>
      <c r="C1051" s="552">
        <f t="shared" si="884"/>
        <v>299000</v>
      </c>
      <c r="D1051" s="552">
        <f t="shared" si="884"/>
        <v>299000</v>
      </c>
      <c r="E1051" s="552">
        <f t="shared" si="884"/>
        <v>0</v>
      </c>
      <c r="F1051" s="552">
        <f t="shared" si="884"/>
        <v>0</v>
      </c>
      <c r="G1051" s="552">
        <f t="shared" si="884"/>
        <v>697000</v>
      </c>
      <c r="H1051" s="552">
        <f t="shared" si="884"/>
        <v>697000</v>
      </c>
      <c r="I1051" s="552">
        <f t="shared" si="884"/>
        <v>1000000</v>
      </c>
      <c r="J1051" s="552">
        <f t="shared" si="884"/>
        <v>2500000</v>
      </c>
      <c r="K1051" s="552">
        <f t="shared" si="884"/>
        <v>3000000</v>
      </c>
    </row>
    <row r="1052" spans="1:11" customFormat="1" ht="25.5" x14ac:dyDescent="0.25">
      <c r="A1052" s="598">
        <v>4511</v>
      </c>
      <c r="B1052" s="599" t="s">
        <v>55</v>
      </c>
      <c r="C1052" s="528">
        <v>299000</v>
      </c>
      <c r="D1052" s="528">
        <v>299000</v>
      </c>
      <c r="E1052" s="528"/>
      <c r="F1052" s="513">
        <f t="shared" ref="F1052" si="885">C1052-D1052+E1052</f>
        <v>0</v>
      </c>
      <c r="G1052" s="528">
        <v>697000</v>
      </c>
      <c r="H1052" s="528">
        <v>697000</v>
      </c>
      <c r="I1052" s="526">
        <f>2000000-1000000</f>
        <v>1000000</v>
      </c>
      <c r="J1052" s="528">
        <v>2500000</v>
      </c>
      <c r="K1052" s="528">
        <v>3000000</v>
      </c>
    </row>
    <row r="1053" spans="1:11" s="6" customFormat="1" ht="25.5" x14ac:dyDescent="0.25">
      <c r="A1053" s="573" t="s">
        <v>345</v>
      </c>
      <c r="B1053" s="562" t="s">
        <v>346</v>
      </c>
      <c r="C1053" s="589">
        <f t="shared" ref="C1053:K1053" si="886">SUM(C1054)</f>
        <v>5664000</v>
      </c>
      <c r="D1053" s="589">
        <f t="shared" si="886"/>
        <v>5261000</v>
      </c>
      <c r="E1053" s="589">
        <f t="shared" si="886"/>
        <v>487000</v>
      </c>
      <c r="F1053" s="589">
        <f t="shared" si="886"/>
        <v>890000</v>
      </c>
      <c r="G1053" s="589">
        <f t="shared" si="886"/>
        <v>7324000</v>
      </c>
      <c r="H1053" s="589">
        <f t="shared" si="886"/>
        <v>8594000</v>
      </c>
      <c r="I1053" s="589">
        <f t="shared" si="886"/>
        <v>4795000</v>
      </c>
      <c r="J1053" s="589">
        <f t="shared" si="886"/>
        <v>10600000</v>
      </c>
      <c r="K1053" s="589">
        <f t="shared" si="886"/>
        <v>10600000</v>
      </c>
    </row>
    <row r="1054" spans="1:11" s="6" customFormat="1" ht="15" x14ac:dyDescent="0.25">
      <c r="A1054" s="710" t="s">
        <v>118</v>
      </c>
      <c r="B1054" s="710"/>
      <c r="C1054" s="515">
        <f>SUM(C1055,C1060,C1080,C1083,C1094)</f>
        <v>5664000</v>
      </c>
      <c r="D1054" s="515">
        <f t="shared" ref="D1054:F1054" si="887">SUM(D1055,D1060,D1080,D1083,D1094)</f>
        <v>5261000</v>
      </c>
      <c r="E1054" s="515">
        <f t="shared" si="887"/>
        <v>487000</v>
      </c>
      <c r="F1054" s="515">
        <f t="shared" si="887"/>
        <v>890000</v>
      </c>
      <c r="G1054" s="515">
        <f t="shared" ref="G1054:H1054" si="888">SUM(G1055,G1060,G1080,G1083,G1094)</f>
        <v>7324000</v>
      </c>
      <c r="H1054" s="515">
        <f t="shared" si="888"/>
        <v>8594000</v>
      </c>
      <c r="I1054" s="515">
        <f t="shared" ref="I1054:K1054" si="889">SUM(I1055,I1060,I1080,I1083,I1094)</f>
        <v>4795000</v>
      </c>
      <c r="J1054" s="515">
        <f t="shared" si="889"/>
        <v>10600000</v>
      </c>
      <c r="K1054" s="515">
        <f t="shared" si="889"/>
        <v>10600000</v>
      </c>
    </row>
    <row r="1055" spans="1:11" s="6" customFormat="1" ht="15" x14ac:dyDescent="0.25">
      <c r="A1055" s="613">
        <v>31</v>
      </c>
      <c r="B1055" s="614" t="s">
        <v>323</v>
      </c>
      <c r="C1055" s="518">
        <f t="shared" ref="C1055:F1055" si="890">SUM(C1056,C1058)</f>
        <v>259000</v>
      </c>
      <c r="D1055" s="518">
        <f t="shared" si="890"/>
        <v>259000</v>
      </c>
      <c r="E1055" s="518">
        <f t="shared" si="890"/>
        <v>0</v>
      </c>
      <c r="F1055" s="518">
        <f t="shared" si="890"/>
        <v>0</v>
      </c>
      <c r="G1055" s="518">
        <f t="shared" ref="G1055:H1055" si="891">SUM(G1056,G1058)</f>
        <v>259000</v>
      </c>
      <c r="H1055" s="518">
        <f t="shared" si="891"/>
        <v>259000</v>
      </c>
      <c r="I1055" s="518">
        <f t="shared" ref="I1055:J1055" si="892">SUM(I1056,I1058)</f>
        <v>0</v>
      </c>
      <c r="J1055" s="518">
        <f t="shared" si="892"/>
        <v>0</v>
      </c>
      <c r="K1055" s="518">
        <f t="shared" ref="K1055" si="893">SUM(K1056,K1058)</f>
        <v>0</v>
      </c>
    </row>
    <row r="1056" spans="1:11" customFormat="1" ht="15" x14ac:dyDescent="0.25">
      <c r="A1056" s="615">
        <v>311</v>
      </c>
      <c r="B1056" s="616" t="s">
        <v>4</v>
      </c>
      <c r="C1056" s="552">
        <f t="shared" ref="C1056:K1056" si="894">SUM(C1057)</f>
        <v>239000</v>
      </c>
      <c r="D1056" s="552">
        <f t="shared" si="894"/>
        <v>239000</v>
      </c>
      <c r="E1056" s="552">
        <f t="shared" si="894"/>
        <v>0</v>
      </c>
      <c r="F1056" s="552">
        <f t="shared" si="894"/>
        <v>0</v>
      </c>
      <c r="G1056" s="552">
        <f t="shared" si="894"/>
        <v>239000</v>
      </c>
      <c r="H1056" s="552">
        <f t="shared" si="894"/>
        <v>239000</v>
      </c>
      <c r="I1056" s="552">
        <f t="shared" si="894"/>
        <v>0</v>
      </c>
      <c r="J1056" s="552">
        <f t="shared" si="894"/>
        <v>0</v>
      </c>
      <c r="K1056" s="552">
        <f t="shared" si="894"/>
        <v>0</v>
      </c>
    </row>
    <row r="1057" spans="1:11" customFormat="1" ht="15" x14ac:dyDescent="0.25">
      <c r="A1057" s="598">
        <v>3111</v>
      </c>
      <c r="B1057" s="599" t="s">
        <v>5</v>
      </c>
      <c r="C1057" s="528">
        <v>239000</v>
      </c>
      <c r="D1057" s="528">
        <v>239000</v>
      </c>
      <c r="E1057" s="528"/>
      <c r="F1057" s="513">
        <f t="shared" ref="F1057:F1059" si="895">C1057-D1057+E1057</f>
        <v>0</v>
      </c>
      <c r="G1057" s="528">
        <v>239000</v>
      </c>
      <c r="H1057" s="528">
        <v>239000</v>
      </c>
      <c r="I1057" s="528"/>
      <c r="J1057" s="528"/>
      <c r="K1057" s="528"/>
    </row>
    <row r="1058" spans="1:11" customFormat="1" ht="15" x14ac:dyDescent="0.25">
      <c r="A1058" s="615">
        <v>313</v>
      </c>
      <c r="B1058" s="616" t="s">
        <v>8</v>
      </c>
      <c r="C1058" s="552">
        <f t="shared" ref="C1058:K1058" si="896">SUM(C1059)</f>
        <v>20000</v>
      </c>
      <c r="D1058" s="552">
        <f t="shared" si="896"/>
        <v>20000</v>
      </c>
      <c r="E1058" s="552">
        <f t="shared" si="896"/>
        <v>0</v>
      </c>
      <c r="F1058" s="552">
        <f t="shared" si="896"/>
        <v>0</v>
      </c>
      <c r="G1058" s="552">
        <f t="shared" si="896"/>
        <v>20000</v>
      </c>
      <c r="H1058" s="552">
        <f t="shared" si="896"/>
        <v>20000</v>
      </c>
      <c r="I1058" s="552">
        <f t="shared" si="896"/>
        <v>0</v>
      </c>
      <c r="J1058" s="552">
        <f t="shared" si="896"/>
        <v>0</v>
      </c>
      <c r="K1058" s="552">
        <f t="shared" si="896"/>
        <v>0</v>
      </c>
    </row>
    <row r="1059" spans="1:11" customFormat="1" ht="15" x14ac:dyDescent="0.25">
      <c r="A1059" s="598">
        <v>3132</v>
      </c>
      <c r="B1059" s="599" t="s">
        <v>10</v>
      </c>
      <c r="C1059" s="528">
        <v>20000</v>
      </c>
      <c r="D1059" s="528">
        <v>20000</v>
      </c>
      <c r="E1059" s="528"/>
      <c r="F1059" s="513">
        <f t="shared" si="895"/>
        <v>0</v>
      </c>
      <c r="G1059" s="528">
        <v>20000</v>
      </c>
      <c r="H1059" s="528">
        <v>20000</v>
      </c>
      <c r="I1059" s="528"/>
      <c r="J1059" s="528"/>
      <c r="K1059" s="528"/>
    </row>
    <row r="1060" spans="1:11" customFormat="1" ht="15" x14ac:dyDescent="0.25">
      <c r="A1060" s="613">
        <v>32</v>
      </c>
      <c r="B1060" s="614" t="s">
        <v>325</v>
      </c>
      <c r="C1060" s="518">
        <f t="shared" ref="C1060:F1060" si="897">SUM(C1061,C1065,C1069,C1078)</f>
        <v>4228000</v>
      </c>
      <c r="D1060" s="518">
        <f t="shared" si="897"/>
        <v>3958000</v>
      </c>
      <c r="E1060" s="518">
        <f t="shared" si="897"/>
        <v>0</v>
      </c>
      <c r="F1060" s="518">
        <f t="shared" si="897"/>
        <v>270000</v>
      </c>
      <c r="G1060" s="518">
        <f t="shared" ref="G1060:H1060" si="898">SUM(G1061,G1065,G1069,G1078)</f>
        <v>5077000</v>
      </c>
      <c r="H1060" s="518">
        <f t="shared" si="898"/>
        <v>5909000</v>
      </c>
      <c r="I1060" s="518">
        <f t="shared" ref="I1060:K1060" si="899">SUM(I1061,I1065,I1069,I1078)</f>
        <v>1755000</v>
      </c>
      <c r="J1060" s="518">
        <f t="shared" si="899"/>
        <v>3500000</v>
      </c>
      <c r="K1060" s="518">
        <f t="shared" si="899"/>
        <v>3500000</v>
      </c>
    </row>
    <row r="1061" spans="1:11" customFormat="1" ht="15" x14ac:dyDescent="0.25">
      <c r="A1061" s="615">
        <v>321</v>
      </c>
      <c r="B1061" s="616" t="s">
        <v>12</v>
      </c>
      <c r="C1061" s="552">
        <f t="shared" ref="C1061:F1061" si="900">SUM(C1062:C1064)</f>
        <v>124000</v>
      </c>
      <c r="D1061" s="552">
        <f t="shared" si="900"/>
        <v>123000</v>
      </c>
      <c r="E1061" s="552">
        <f t="shared" si="900"/>
        <v>0</v>
      </c>
      <c r="F1061" s="552">
        <f t="shared" si="900"/>
        <v>1000</v>
      </c>
      <c r="G1061" s="552">
        <f t="shared" ref="G1061:H1061" si="901">SUM(G1062:G1064)</f>
        <v>124000</v>
      </c>
      <c r="H1061" s="552">
        <f t="shared" si="901"/>
        <v>126000</v>
      </c>
      <c r="I1061" s="552">
        <f t="shared" ref="I1061:K1061" si="902">SUM(I1062:I1064)</f>
        <v>300000</v>
      </c>
      <c r="J1061" s="552">
        <f t="shared" si="902"/>
        <v>500000</v>
      </c>
      <c r="K1061" s="552">
        <f t="shared" si="902"/>
        <v>500000</v>
      </c>
    </row>
    <row r="1062" spans="1:11" customFormat="1" ht="15" x14ac:dyDescent="0.25">
      <c r="A1062" s="598">
        <v>3211</v>
      </c>
      <c r="B1062" s="599" t="s">
        <v>13</v>
      </c>
      <c r="C1062" s="528">
        <v>20000</v>
      </c>
      <c r="D1062" s="528">
        <v>20000</v>
      </c>
      <c r="E1062" s="528"/>
      <c r="F1062" s="513">
        <f t="shared" ref="F1062:F1079" si="903">C1062-D1062+E1062</f>
        <v>0</v>
      </c>
      <c r="G1062" s="528">
        <v>20000</v>
      </c>
      <c r="H1062" s="528">
        <v>20000</v>
      </c>
      <c r="I1062" s="528">
        <v>50000</v>
      </c>
      <c r="J1062" s="528">
        <v>100000</v>
      </c>
      <c r="K1062" s="528">
        <v>100000</v>
      </c>
    </row>
    <row r="1063" spans="1:11" customFormat="1" ht="25.5" x14ac:dyDescent="0.25">
      <c r="A1063" s="598">
        <v>3212</v>
      </c>
      <c r="B1063" s="599" t="s">
        <v>14</v>
      </c>
      <c r="C1063" s="528">
        <v>93000</v>
      </c>
      <c r="D1063" s="528">
        <v>93000</v>
      </c>
      <c r="E1063" s="528"/>
      <c r="F1063" s="513">
        <f t="shared" si="903"/>
        <v>0</v>
      </c>
      <c r="G1063" s="528">
        <v>93000</v>
      </c>
      <c r="H1063" s="528">
        <v>93000</v>
      </c>
      <c r="I1063" s="528">
        <v>125000</v>
      </c>
      <c r="J1063" s="528">
        <v>200000</v>
      </c>
      <c r="K1063" s="528">
        <v>200000</v>
      </c>
    </row>
    <row r="1064" spans="1:11" s="6" customFormat="1" ht="15" x14ac:dyDescent="0.25">
      <c r="A1064" s="598">
        <v>3213</v>
      </c>
      <c r="B1064" s="599" t="s">
        <v>15</v>
      </c>
      <c r="C1064" s="528">
        <v>11000</v>
      </c>
      <c r="D1064" s="528">
        <v>10000</v>
      </c>
      <c r="E1064" s="528"/>
      <c r="F1064" s="513">
        <f t="shared" si="903"/>
        <v>1000</v>
      </c>
      <c r="G1064" s="528">
        <v>11000</v>
      </c>
      <c r="H1064" s="528">
        <v>13000</v>
      </c>
      <c r="I1064" s="528">
        <v>125000</v>
      </c>
      <c r="J1064" s="528">
        <v>200000</v>
      </c>
      <c r="K1064" s="528">
        <v>200000</v>
      </c>
    </row>
    <row r="1065" spans="1:11" customFormat="1" ht="15" x14ac:dyDescent="0.25">
      <c r="A1065" s="615">
        <v>322</v>
      </c>
      <c r="B1065" s="616" t="s">
        <v>16</v>
      </c>
      <c r="C1065" s="552">
        <f t="shared" ref="C1065:F1065" si="904">SUM(C1066:C1068)</f>
        <v>115000</v>
      </c>
      <c r="D1065" s="552">
        <f t="shared" si="904"/>
        <v>113000</v>
      </c>
      <c r="E1065" s="552">
        <f t="shared" si="904"/>
        <v>0</v>
      </c>
      <c r="F1065" s="552">
        <f t="shared" si="904"/>
        <v>2000</v>
      </c>
      <c r="G1065" s="552">
        <f t="shared" ref="G1065:H1065" si="905">SUM(G1066:G1068)</f>
        <v>115000</v>
      </c>
      <c r="H1065" s="552">
        <f t="shared" si="905"/>
        <v>115000</v>
      </c>
      <c r="I1065" s="552">
        <f t="shared" ref="I1065:K1065" si="906">SUM(I1066:I1068)</f>
        <v>95000</v>
      </c>
      <c r="J1065" s="552">
        <f t="shared" si="906"/>
        <v>100000</v>
      </c>
      <c r="K1065" s="552">
        <f t="shared" si="906"/>
        <v>100000</v>
      </c>
    </row>
    <row r="1066" spans="1:11" customFormat="1" ht="15" x14ac:dyDescent="0.25">
      <c r="A1066" s="598">
        <v>3221</v>
      </c>
      <c r="B1066" s="599" t="s">
        <v>17</v>
      </c>
      <c r="C1066" s="528">
        <v>7000</v>
      </c>
      <c r="D1066" s="528">
        <v>5000</v>
      </c>
      <c r="E1066" s="528"/>
      <c r="F1066" s="513">
        <f t="shared" si="903"/>
        <v>2000</v>
      </c>
      <c r="G1066" s="528">
        <v>7000</v>
      </c>
      <c r="H1066" s="528">
        <v>7000</v>
      </c>
      <c r="I1066" s="528">
        <v>20000</v>
      </c>
      <c r="J1066" s="528">
        <v>20000</v>
      </c>
      <c r="K1066" s="528">
        <v>20000</v>
      </c>
    </row>
    <row r="1067" spans="1:11" customFormat="1" ht="15" x14ac:dyDescent="0.25">
      <c r="A1067" s="598">
        <v>3223</v>
      </c>
      <c r="B1067" s="599" t="s">
        <v>19</v>
      </c>
      <c r="C1067" s="528">
        <v>95000</v>
      </c>
      <c r="D1067" s="528">
        <v>95000</v>
      </c>
      <c r="E1067" s="528"/>
      <c r="F1067" s="513">
        <f t="shared" si="903"/>
        <v>0</v>
      </c>
      <c r="G1067" s="528">
        <v>95000</v>
      </c>
      <c r="H1067" s="528">
        <v>95000</v>
      </c>
      <c r="I1067" s="528">
        <v>60000</v>
      </c>
      <c r="J1067" s="528">
        <v>60000</v>
      </c>
      <c r="K1067" s="528">
        <v>60000</v>
      </c>
    </row>
    <row r="1068" spans="1:11" customFormat="1" ht="15" x14ac:dyDescent="0.25">
      <c r="A1068" s="598">
        <v>3225</v>
      </c>
      <c r="B1068" s="599" t="s">
        <v>117</v>
      </c>
      <c r="C1068" s="528">
        <v>13000</v>
      </c>
      <c r="D1068" s="528">
        <v>13000</v>
      </c>
      <c r="E1068" s="528"/>
      <c r="F1068" s="513">
        <f t="shared" si="903"/>
        <v>0</v>
      </c>
      <c r="G1068" s="528">
        <v>13000</v>
      </c>
      <c r="H1068" s="528">
        <v>13000</v>
      </c>
      <c r="I1068" s="528">
        <v>15000</v>
      </c>
      <c r="J1068" s="528">
        <v>20000</v>
      </c>
      <c r="K1068" s="528">
        <v>20000</v>
      </c>
    </row>
    <row r="1069" spans="1:11" customFormat="1" ht="15" x14ac:dyDescent="0.25">
      <c r="A1069" s="615">
        <v>323</v>
      </c>
      <c r="B1069" s="616" t="s">
        <v>23</v>
      </c>
      <c r="C1069" s="552">
        <f t="shared" ref="C1069:F1069" si="907">SUM(C1070:C1077)</f>
        <v>3823000</v>
      </c>
      <c r="D1069" s="552">
        <f t="shared" si="907"/>
        <v>3556000</v>
      </c>
      <c r="E1069" s="552">
        <f t="shared" si="907"/>
        <v>0</v>
      </c>
      <c r="F1069" s="552">
        <f t="shared" si="907"/>
        <v>267000</v>
      </c>
      <c r="G1069" s="552">
        <f t="shared" ref="G1069:H1069" si="908">SUM(G1070:G1077)</f>
        <v>4672000</v>
      </c>
      <c r="H1069" s="552">
        <f t="shared" si="908"/>
        <v>5502000</v>
      </c>
      <c r="I1069" s="552">
        <f t="shared" ref="I1069:K1069" si="909">SUM(I1070:I1077)</f>
        <v>1360000</v>
      </c>
      <c r="J1069" s="552">
        <f t="shared" si="909"/>
        <v>2900000</v>
      </c>
      <c r="K1069" s="552">
        <f t="shared" si="909"/>
        <v>2900000</v>
      </c>
    </row>
    <row r="1070" spans="1:11" customFormat="1" ht="15" x14ac:dyDescent="0.25">
      <c r="A1070" s="598">
        <v>3231</v>
      </c>
      <c r="B1070" s="599" t="s">
        <v>24</v>
      </c>
      <c r="C1070" s="528">
        <v>140000</v>
      </c>
      <c r="D1070" s="528">
        <v>140000</v>
      </c>
      <c r="E1070" s="528"/>
      <c r="F1070" s="513">
        <f t="shared" si="903"/>
        <v>0</v>
      </c>
      <c r="G1070" s="528">
        <v>133000</v>
      </c>
      <c r="H1070" s="528">
        <v>153000</v>
      </c>
      <c r="I1070" s="528">
        <v>90000</v>
      </c>
      <c r="J1070" s="528">
        <v>100000</v>
      </c>
      <c r="K1070" s="528">
        <v>100000</v>
      </c>
    </row>
    <row r="1071" spans="1:11" customFormat="1" ht="15" x14ac:dyDescent="0.25">
      <c r="A1071" s="598">
        <v>3232</v>
      </c>
      <c r="B1071" s="599" t="s">
        <v>25</v>
      </c>
      <c r="C1071" s="528">
        <v>214000</v>
      </c>
      <c r="D1071" s="528">
        <v>154000</v>
      </c>
      <c r="E1071" s="528"/>
      <c r="F1071" s="513">
        <f t="shared" si="903"/>
        <v>60000</v>
      </c>
      <c r="G1071" s="528">
        <v>240000</v>
      </c>
      <c r="H1071" s="528">
        <v>253000</v>
      </c>
      <c r="I1071" s="528">
        <v>100000</v>
      </c>
      <c r="J1071" s="528">
        <v>100000</v>
      </c>
      <c r="K1071" s="528">
        <v>100000</v>
      </c>
    </row>
    <row r="1072" spans="1:11" customFormat="1" ht="15" x14ac:dyDescent="0.25">
      <c r="A1072" s="598">
        <v>3233</v>
      </c>
      <c r="B1072" s="599" t="s">
        <v>26</v>
      </c>
      <c r="C1072" s="528">
        <v>12000</v>
      </c>
      <c r="D1072" s="528">
        <v>12000</v>
      </c>
      <c r="E1072" s="528"/>
      <c r="F1072" s="513">
        <f t="shared" si="903"/>
        <v>0</v>
      </c>
      <c r="G1072" s="528">
        <v>12000</v>
      </c>
      <c r="H1072" s="528">
        <v>12000</v>
      </c>
      <c r="I1072" s="528">
        <v>70000</v>
      </c>
      <c r="J1072" s="528">
        <v>100000</v>
      </c>
      <c r="K1072" s="528">
        <v>100000</v>
      </c>
    </row>
    <row r="1073" spans="1:11" customFormat="1" ht="15" x14ac:dyDescent="0.25">
      <c r="A1073" s="598">
        <v>3234</v>
      </c>
      <c r="B1073" s="599" t="s">
        <v>27</v>
      </c>
      <c r="C1073" s="528">
        <v>23000</v>
      </c>
      <c r="D1073" s="528">
        <v>20000</v>
      </c>
      <c r="E1073" s="528"/>
      <c r="F1073" s="513">
        <f t="shared" si="903"/>
        <v>3000</v>
      </c>
      <c r="G1073" s="528">
        <v>23000</v>
      </c>
      <c r="H1073" s="528">
        <v>23000</v>
      </c>
      <c r="I1073" s="528">
        <v>100000</v>
      </c>
      <c r="J1073" s="528">
        <v>100000</v>
      </c>
      <c r="K1073" s="528">
        <v>100000</v>
      </c>
    </row>
    <row r="1074" spans="1:11" customFormat="1" ht="15" x14ac:dyDescent="0.25">
      <c r="A1074" s="598">
        <v>3236</v>
      </c>
      <c r="B1074" s="599" t="s">
        <v>29</v>
      </c>
      <c r="C1074" s="528">
        <v>8000</v>
      </c>
      <c r="D1074" s="528">
        <v>8000</v>
      </c>
      <c r="E1074" s="528"/>
      <c r="F1074" s="513">
        <f t="shared" si="903"/>
        <v>0</v>
      </c>
      <c r="G1074" s="528">
        <v>8000</v>
      </c>
      <c r="H1074" s="528">
        <v>8000</v>
      </c>
      <c r="I1074" s="528"/>
      <c r="J1074" s="528"/>
      <c r="K1074" s="528"/>
    </row>
    <row r="1075" spans="1:11" customFormat="1" ht="15" x14ac:dyDescent="0.25">
      <c r="A1075" s="598">
        <v>3237</v>
      </c>
      <c r="B1075" s="599" t="s">
        <v>30</v>
      </c>
      <c r="C1075" s="528">
        <v>664000</v>
      </c>
      <c r="D1075" s="528">
        <v>660000</v>
      </c>
      <c r="E1075" s="528"/>
      <c r="F1075" s="513">
        <f t="shared" si="903"/>
        <v>4000</v>
      </c>
      <c r="G1075" s="528">
        <v>796000</v>
      </c>
      <c r="H1075" s="528">
        <v>929000</v>
      </c>
      <c r="I1075" s="526">
        <f>1000000-500000</f>
        <v>500000</v>
      </c>
      <c r="J1075" s="528">
        <v>1000000</v>
      </c>
      <c r="K1075" s="528">
        <v>1000000</v>
      </c>
    </row>
    <row r="1076" spans="1:11" customFormat="1" ht="15" x14ac:dyDescent="0.25">
      <c r="A1076" s="598">
        <v>3238</v>
      </c>
      <c r="B1076" s="599" t="s">
        <v>70</v>
      </c>
      <c r="C1076" s="528">
        <v>772000</v>
      </c>
      <c r="D1076" s="528">
        <v>572000</v>
      </c>
      <c r="E1076" s="528"/>
      <c r="F1076" s="513">
        <f t="shared" si="903"/>
        <v>200000</v>
      </c>
      <c r="G1076" s="528">
        <v>806000</v>
      </c>
      <c r="H1076" s="528">
        <v>806000</v>
      </c>
      <c r="I1076" s="526">
        <f>1500000-1000000</f>
        <v>500000</v>
      </c>
      <c r="J1076" s="528">
        <v>1500000</v>
      </c>
      <c r="K1076" s="528">
        <v>1500000</v>
      </c>
    </row>
    <row r="1077" spans="1:11" customFormat="1" ht="15" x14ac:dyDescent="0.25">
      <c r="A1077" s="598">
        <v>3239</v>
      </c>
      <c r="B1077" s="599" t="s">
        <v>31</v>
      </c>
      <c r="C1077" s="528">
        <v>1990000</v>
      </c>
      <c r="D1077" s="528">
        <v>1990000</v>
      </c>
      <c r="E1077" s="528"/>
      <c r="F1077" s="513">
        <f t="shared" si="903"/>
        <v>0</v>
      </c>
      <c r="G1077" s="528">
        <v>2654000</v>
      </c>
      <c r="H1077" s="528">
        <v>3318000</v>
      </c>
      <c r="I1077" s="528"/>
      <c r="J1077" s="528"/>
      <c r="K1077" s="528"/>
    </row>
    <row r="1078" spans="1:11" customFormat="1" ht="25.5" x14ac:dyDescent="0.25">
      <c r="A1078" s="615">
        <v>324</v>
      </c>
      <c r="B1078" s="616" t="s">
        <v>32</v>
      </c>
      <c r="C1078" s="552">
        <f t="shared" ref="C1078:K1078" si="910">SUM(C1079)</f>
        <v>166000</v>
      </c>
      <c r="D1078" s="552">
        <f t="shared" si="910"/>
        <v>166000</v>
      </c>
      <c r="E1078" s="552">
        <f t="shared" si="910"/>
        <v>0</v>
      </c>
      <c r="F1078" s="552">
        <f t="shared" si="910"/>
        <v>0</v>
      </c>
      <c r="G1078" s="552">
        <f t="shared" si="910"/>
        <v>166000</v>
      </c>
      <c r="H1078" s="552">
        <f t="shared" si="910"/>
        <v>166000</v>
      </c>
      <c r="I1078" s="552">
        <f t="shared" si="910"/>
        <v>0</v>
      </c>
      <c r="J1078" s="552">
        <f t="shared" si="910"/>
        <v>0</v>
      </c>
      <c r="K1078" s="552">
        <f t="shared" si="910"/>
        <v>0</v>
      </c>
    </row>
    <row r="1079" spans="1:11" s="6" customFormat="1" ht="25.5" x14ac:dyDescent="0.25">
      <c r="A1079" s="598">
        <v>3241</v>
      </c>
      <c r="B1079" s="599" t="s">
        <v>32</v>
      </c>
      <c r="C1079" s="528">
        <v>166000</v>
      </c>
      <c r="D1079" s="528">
        <v>166000</v>
      </c>
      <c r="E1079" s="528"/>
      <c r="F1079" s="513">
        <f t="shared" si="903"/>
        <v>0</v>
      </c>
      <c r="G1079" s="528">
        <v>166000</v>
      </c>
      <c r="H1079" s="528">
        <v>166000</v>
      </c>
      <c r="I1079" s="528"/>
      <c r="J1079" s="528"/>
      <c r="K1079" s="528"/>
    </row>
    <row r="1080" spans="1:11" s="6" customFormat="1" ht="15" x14ac:dyDescent="0.25">
      <c r="A1080" s="613">
        <v>38</v>
      </c>
      <c r="B1080" s="614" t="s">
        <v>321</v>
      </c>
      <c r="C1080" s="518">
        <f t="shared" ref="C1080:K1081" si="911">SUM(C1081)</f>
        <v>133000</v>
      </c>
      <c r="D1080" s="518">
        <f t="shared" si="911"/>
        <v>0</v>
      </c>
      <c r="E1080" s="518">
        <f t="shared" si="911"/>
        <v>487000</v>
      </c>
      <c r="F1080" s="518">
        <f t="shared" si="911"/>
        <v>620000</v>
      </c>
      <c r="G1080" s="518">
        <f t="shared" si="911"/>
        <v>266000</v>
      </c>
      <c r="H1080" s="518">
        <f t="shared" si="911"/>
        <v>266000</v>
      </c>
      <c r="I1080" s="518">
        <f t="shared" si="911"/>
        <v>700000</v>
      </c>
      <c r="J1080" s="518">
        <f t="shared" si="911"/>
        <v>2000000</v>
      </c>
      <c r="K1080" s="518">
        <f t="shared" si="911"/>
        <v>2000000</v>
      </c>
    </row>
    <row r="1081" spans="1:11" customFormat="1" ht="15" x14ac:dyDescent="0.25">
      <c r="A1081" s="615">
        <v>381</v>
      </c>
      <c r="B1081" s="616" t="s">
        <v>46</v>
      </c>
      <c r="C1081" s="552">
        <f t="shared" si="911"/>
        <v>133000</v>
      </c>
      <c r="D1081" s="552">
        <f t="shared" si="911"/>
        <v>0</v>
      </c>
      <c r="E1081" s="552">
        <f t="shared" si="911"/>
        <v>487000</v>
      </c>
      <c r="F1081" s="552">
        <f t="shared" si="911"/>
        <v>620000</v>
      </c>
      <c r="G1081" s="552">
        <f t="shared" si="911"/>
        <v>266000</v>
      </c>
      <c r="H1081" s="552">
        <f t="shared" si="911"/>
        <v>266000</v>
      </c>
      <c r="I1081" s="552">
        <f t="shared" si="911"/>
        <v>700000</v>
      </c>
      <c r="J1081" s="552">
        <f t="shared" si="911"/>
        <v>2000000</v>
      </c>
      <c r="K1081" s="552">
        <f t="shared" si="911"/>
        <v>2000000</v>
      </c>
    </row>
    <row r="1082" spans="1:11" s="6" customFormat="1" ht="15" x14ac:dyDescent="0.25">
      <c r="A1082" s="598" t="s">
        <v>375</v>
      </c>
      <c r="B1082" s="599" t="s">
        <v>119</v>
      </c>
      <c r="C1082" s="528">
        <v>133000</v>
      </c>
      <c r="D1082" s="528"/>
      <c r="E1082" s="528">
        <v>487000</v>
      </c>
      <c r="F1082" s="513">
        <f t="shared" ref="F1082" si="912">C1082-D1082+E1082</f>
        <v>620000</v>
      </c>
      <c r="G1082" s="528">
        <v>266000</v>
      </c>
      <c r="H1082" s="528">
        <v>266000</v>
      </c>
      <c r="I1082" s="526">
        <f>1700000-1000000</f>
        <v>700000</v>
      </c>
      <c r="J1082" s="528">
        <v>2000000</v>
      </c>
      <c r="K1082" s="528">
        <v>2000000</v>
      </c>
    </row>
    <row r="1083" spans="1:11" s="6" customFormat="1" ht="25.5" x14ac:dyDescent="0.25">
      <c r="A1083" s="613">
        <v>42</v>
      </c>
      <c r="B1083" s="517" t="s">
        <v>331</v>
      </c>
      <c r="C1083" s="518">
        <f t="shared" ref="C1083:F1083" si="913">SUM(C1084,C1086,C1092)</f>
        <v>839000</v>
      </c>
      <c r="D1083" s="518">
        <f t="shared" si="913"/>
        <v>839000</v>
      </c>
      <c r="E1083" s="518">
        <f t="shared" si="913"/>
        <v>0</v>
      </c>
      <c r="F1083" s="518">
        <f t="shared" si="913"/>
        <v>0</v>
      </c>
      <c r="G1083" s="518">
        <f t="shared" ref="G1083:H1083" si="914">SUM(G1084,G1086,G1092)</f>
        <v>1457000</v>
      </c>
      <c r="H1083" s="518">
        <f t="shared" si="914"/>
        <v>1762000</v>
      </c>
      <c r="I1083" s="518">
        <f t="shared" ref="I1083:K1083" si="915">SUM(I1084,I1086,I1092)</f>
        <v>1340000</v>
      </c>
      <c r="J1083" s="518">
        <f t="shared" si="915"/>
        <v>3100000</v>
      </c>
      <c r="K1083" s="518">
        <f t="shared" si="915"/>
        <v>3100000</v>
      </c>
    </row>
    <row r="1084" spans="1:11" customFormat="1" ht="15" x14ac:dyDescent="0.25">
      <c r="A1084" s="615">
        <v>421</v>
      </c>
      <c r="B1084" s="616" t="s">
        <v>51</v>
      </c>
      <c r="C1084" s="552">
        <f t="shared" ref="C1084:K1084" si="916">SUM(C1085)</f>
        <v>265000</v>
      </c>
      <c r="D1084" s="552">
        <f t="shared" si="916"/>
        <v>265000</v>
      </c>
      <c r="E1084" s="552">
        <f t="shared" si="916"/>
        <v>0</v>
      </c>
      <c r="F1084" s="552">
        <f t="shared" si="916"/>
        <v>0</v>
      </c>
      <c r="G1084" s="552">
        <f t="shared" si="916"/>
        <v>332000</v>
      </c>
      <c r="H1084" s="552">
        <f t="shared" si="916"/>
        <v>398000</v>
      </c>
      <c r="I1084" s="552">
        <f t="shared" si="916"/>
        <v>500000</v>
      </c>
      <c r="J1084" s="552">
        <f t="shared" si="916"/>
        <v>2000000</v>
      </c>
      <c r="K1084" s="552">
        <f t="shared" si="916"/>
        <v>2000000</v>
      </c>
    </row>
    <row r="1085" spans="1:11" s="6" customFormat="1" ht="15" x14ac:dyDescent="0.25">
      <c r="A1085" s="598">
        <v>4212</v>
      </c>
      <c r="B1085" s="599" t="s">
        <v>52</v>
      </c>
      <c r="C1085" s="528">
        <v>265000</v>
      </c>
      <c r="D1085" s="528">
        <v>265000</v>
      </c>
      <c r="E1085" s="528"/>
      <c r="F1085" s="513">
        <f t="shared" ref="F1085:F1093" si="917">C1085-D1085+E1085</f>
        <v>0</v>
      </c>
      <c r="G1085" s="528">
        <v>332000</v>
      </c>
      <c r="H1085" s="528">
        <v>398000</v>
      </c>
      <c r="I1085" s="526">
        <f>1500000-1000000</f>
        <v>500000</v>
      </c>
      <c r="J1085" s="528">
        <v>2000000</v>
      </c>
      <c r="K1085" s="528">
        <v>2000000</v>
      </c>
    </row>
    <row r="1086" spans="1:11" customFormat="1" ht="15" x14ac:dyDescent="0.25">
      <c r="A1086" s="615">
        <v>422</v>
      </c>
      <c r="B1086" s="616" t="s">
        <v>53</v>
      </c>
      <c r="C1086" s="552">
        <f t="shared" ref="C1086:F1086" si="918">SUM(C1087:C1091)</f>
        <v>568000</v>
      </c>
      <c r="D1086" s="552">
        <f t="shared" si="918"/>
        <v>568000</v>
      </c>
      <c r="E1086" s="552">
        <f t="shared" si="918"/>
        <v>0</v>
      </c>
      <c r="F1086" s="552">
        <f t="shared" si="918"/>
        <v>0</v>
      </c>
      <c r="G1086" s="552">
        <f t="shared" ref="G1086:H1086" si="919">SUM(G1087:G1091)</f>
        <v>1119000</v>
      </c>
      <c r="H1086" s="552">
        <f t="shared" si="919"/>
        <v>1337000</v>
      </c>
      <c r="I1086" s="552">
        <f t="shared" ref="I1086:K1086" si="920">SUM(I1087:I1091)</f>
        <v>740000</v>
      </c>
      <c r="J1086" s="552">
        <f t="shared" si="920"/>
        <v>1000000</v>
      </c>
      <c r="K1086" s="552">
        <f t="shared" si="920"/>
        <v>1000000</v>
      </c>
    </row>
    <row r="1087" spans="1:11" customFormat="1" ht="15" x14ac:dyDescent="0.25">
      <c r="A1087" s="598">
        <v>4221</v>
      </c>
      <c r="B1087" s="599" t="s">
        <v>54</v>
      </c>
      <c r="C1087" s="528">
        <v>106000</v>
      </c>
      <c r="D1087" s="528">
        <v>106000</v>
      </c>
      <c r="E1087" s="528"/>
      <c r="F1087" s="513">
        <f t="shared" si="917"/>
        <v>0</v>
      </c>
      <c r="G1087" s="528">
        <v>120000</v>
      </c>
      <c r="H1087" s="528">
        <v>133000</v>
      </c>
      <c r="I1087" s="528">
        <v>240000</v>
      </c>
      <c r="J1087" s="528">
        <v>300000</v>
      </c>
      <c r="K1087" s="528">
        <v>300000</v>
      </c>
    </row>
    <row r="1088" spans="1:11" customFormat="1" ht="15" x14ac:dyDescent="0.25">
      <c r="A1088" s="598">
        <v>4222</v>
      </c>
      <c r="B1088" s="599" t="s">
        <v>58</v>
      </c>
      <c r="C1088" s="528">
        <v>137000</v>
      </c>
      <c r="D1088" s="528">
        <v>137000</v>
      </c>
      <c r="E1088" s="528"/>
      <c r="F1088" s="513">
        <f t="shared" si="917"/>
        <v>0</v>
      </c>
      <c r="G1088" s="528">
        <v>137000</v>
      </c>
      <c r="H1088" s="528">
        <v>137000</v>
      </c>
      <c r="I1088" s="528">
        <v>200000</v>
      </c>
      <c r="J1088" s="528">
        <v>300000</v>
      </c>
      <c r="K1088" s="528">
        <v>300000</v>
      </c>
    </row>
    <row r="1089" spans="1:17" customFormat="1" ht="15" x14ac:dyDescent="0.25">
      <c r="A1089" s="598">
        <v>4223</v>
      </c>
      <c r="B1089" s="599" t="s">
        <v>59</v>
      </c>
      <c r="C1089" s="528">
        <v>266000</v>
      </c>
      <c r="D1089" s="528">
        <v>266000</v>
      </c>
      <c r="E1089" s="528"/>
      <c r="F1089" s="513">
        <f t="shared" si="917"/>
        <v>0</v>
      </c>
      <c r="G1089" s="528">
        <v>796000</v>
      </c>
      <c r="H1089" s="528">
        <v>995000</v>
      </c>
      <c r="I1089" s="528">
        <v>150000</v>
      </c>
      <c r="J1089" s="528">
        <v>200000</v>
      </c>
      <c r="K1089" s="528">
        <v>200000</v>
      </c>
    </row>
    <row r="1090" spans="1:17" customFormat="1" ht="15" x14ac:dyDescent="0.25">
      <c r="A1090" s="598">
        <v>4224</v>
      </c>
      <c r="B1090" s="599" t="s">
        <v>285</v>
      </c>
      <c r="C1090" s="528">
        <v>6000</v>
      </c>
      <c r="D1090" s="528">
        <v>6000</v>
      </c>
      <c r="E1090" s="528"/>
      <c r="F1090" s="513">
        <f t="shared" si="917"/>
        <v>0</v>
      </c>
      <c r="G1090" s="528">
        <v>6000</v>
      </c>
      <c r="H1090" s="528">
        <v>6000</v>
      </c>
      <c r="I1090" s="528"/>
      <c r="J1090" s="528"/>
      <c r="K1090" s="528"/>
    </row>
    <row r="1091" spans="1:17" s="6" customFormat="1" ht="15" x14ac:dyDescent="0.25">
      <c r="A1091" s="598">
        <v>4225</v>
      </c>
      <c r="B1091" s="599" t="s">
        <v>105</v>
      </c>
      <c r="C1091" s="528">
        <v>53000</v>
      </c>
      <c r="D1091" s="528">
        <v>53000</v>
      </c>
      <c r="E1091" s="528"/>
      <c r="F1091" s="513">
        <f t="shared" si="917"/>
        <v>0</v>
      </c>
      <c r="G1091" s="528">
        <v>60000</v>
      </c>
      <c r="H1091" s="528">
        <v>66000</v>
      </c>
      <c r="I1091" s="528">
        <v>150000</v>
      </c>
      <c r="J1091" s="528">
        <v>200000</v>
      </c>
      <c r="K1091" s="528">
        <v>200000</v>
      </c>
    </row>
    <row r="1092" spans="1:17" customFormat="1" ht="15" x14ac:dyDescent="0.25">
      <c r="A1092" s="615">
        <v>423</v>
      </c>
      <c r="B1092" s="616" t="s">
        <v>61</v>
      </c>
      <c r="C1092" s="552">
        <f t="shared" ref="C1092:K1092" si="921">SUM(C1093)</f>
        <v>6000</v>
      </c>
      <c r="D1092" s="552">
        <f t="shared" si="921"/>
        <v>6000</v>
      </c>
      <c r="E1092" s="552">
        <f t="shared" si="921"/>
        <v>0</v>
      </c>
      <c r="F1092" s="552">
        <f t="shared" si="921"/>
        <v>0</v>
      </c>
      <c r="G1092" s="552">
        <f t="shared" si="921"/>
        <v>6000</v>
      </c>
      <c r="H1092" s="552">
        <f t="shared" si="921"/>
        <v>27000</v>
      </c>
      <c r="I1092" s="552">
        <f t="shared" si="921"/>
        <v>100000</v>
      </c>
      <c r="J1092" s="552">
        <f t="shared" si="921"/>
        <v>100000</v>
      </c>
      <c r="K1092" s="552">
        <f t="shared" si="921"/>
        <v>100000</v>
      </c>
    </row>
    <row r="1093" spans="1:17" s="6" customFormat="1" ht="15" x14ac:dyDescent="0.25">
      <c r="A1093" s="598">
        <v>4231</v>
      </c>
      <c r="B1093" s="599" t="s">
        <v>62</v>
      </c>
      <c r="C1093" s="528">
        <v>6000</v>
      </c>
      <c r="D1093" s="528">
        <v>6000</v>
      </c>
      <c r="E1093" s="528"/>
      <c r="F1093" s="513">
        <f t="shared" si="917"/>
        <v>0</v>
      </c>
      <c r="G1093" s="528">
        <v>6000</v>
      </c>
      <c r="H1093" s="528">
        <v>27000</v>
      </c>
      <c r="I1093" s="528">
        <v>100000</v>
      </c>
      <c r="J1093" s="528">
        <v>100000</v>
      </c>
      <c r="K1093" s="528">
        <v>100000</v>
      </c>
    </row>
    <row r="1094" spans="1:17" s="6" customFormat="1" ht="25.5" x14ac:dyDescent="0.25">
      <c r="A1094" s="613">
        <v>45</v>
      </c>
      <c r="B1094" s="541" t="s">
        <v>333</v>
      </c>
      <c r="C1094" s="518">
        <f t="shared" ref="C1094:F1094" si="922">SUM(C1096)</f>
        <v>205000</v>
      </c>
      <c r="D1094" s="518">
        <f t="shared" si="922"/>
        <v>205000</v>
      </c>
      <c r="E1094" s="518">
        <f t="shared" si="922"/>
        <v>0</v>
      </c>
      <c r="F1094" s="518">
        <f t="shared" si="922"/>
        <v>0</v>
      </c>
      <c r="G1094" s="518">
        <f t="shared" ref="G1094:H1094" si="923">SUM(G1096)</f>
        <v>265000</v>
      </c>
      <c r="H1094" s="518">
        <f t="shared" si="923"/>
        <v>398000</v>
      </c>
      <c r="I1094" s="518">
        <f t="shared" ref="I1094:J1094" si="924">SUM(I1096)</f>
        <v>1000000</v>
      </c>
      <c r="J1094" s="518">
        <f t="shared" si="924"/>
        <v>2000000</v>
      </c>
      <c r="K1094" s="518">
        <f t="shared" ref="K1094" si="925">SUM(K1096)</f>
        <v>2000000</v>
      </c>
    </row>
    <row r="1095" spans="1:17" customFormat="1" ht="25.5" x14ac:dyDescent="0.25">
      <c r="A1095" s="615">
        <v>451</v>
      </c>
      <c r="B1095" s="616" t="s">
        <v>55</v>
      </c>
      <c r="C1095" s="552">
        <f t="shared" ref="C1095:K1095" si="926">SUM(C1096)</f>
        <v>205000</v>
      </c>
      <c r="D1095" s="552">
        <f t="shared" si="926"/>
        <v>205000</v>
      </c>
      <c r="E1095" s="552">
        <f t="shared" si="926"/>
        <v>0</v>
      </c>
      <c r="F1095" s="552">
        <f t="shared" si="926"/>
        <v>0</v>
      </c>
      <c r="G1095" s="552">
        <f t="shared" si="926"/>
        <v>265000</v>
      </c>
      <c r="H1095" s="552">
        <f t="shared" si="926"/>
        <v>398000</v>
      </c>
      <c r="I1095" s="552">
        <f t="shared" si="926"/>
        <v>1000000</v>
      </c>
      <c r="J1095" s="552">
        <f t="shared" si="926"/>
        <v>2000000</v>
      </c>
      <c r="K1095" s="552">
        <f t="shared" si="926"/>
        <v>2000000</v>
      </c>
    </row>
    <row r="1096" spans="1:17" customFormat="1" ht="21.75" customHeight="1" x14ac:dyDescent="0.25">
      <c r="A1096" s="598">
        <v>4511</v>
      </c>
      <c r="B1096" s="599" t="s">
        <v>55</v>
      </c>
      <c r="C1096" s="528">
        <v>205000</v>
      </c>
      <c r="D1096" s="528">
        <v>205000</v>
      </c>
      <c r="E1096" s="528"/>
      <c r="F1096" s="513">
        <f t="shared" ref="F1096" si="927">C1096-D1096+E1096</f>
        <v>0</v>
      </c>
      <c r="G1096" s="528">
        <v>265000</v>
      </c>
      <c r="H1096" s="528">
        <v>398000</v>
      </c>
      <c r="I1096" s="526">
        <f>2000000-1000000</f>
        <v>1000000</v>
      </c>
      <c r="J1096" s="528">
        <v>2000000</v>
      </c>
      <c r="K1096" s="528">
        <v>2000000</v>
      </c>
    </row>
    <row r="1097" spans="1:17" customFormat="1" ht="51" x14ac:dyDescent="0.25">
      <c r="A1097" s="573" t="s">
        <v>356</v>
      </c>
      <c r="B1097" s="562" t="s">
        <v>347</v>
      </c>
      <c r="C1097" s="617">
        <f t="shared" ref="C1097:H1097" si="928">SUM(C1098)</f>
        <v>18171000</v>
      </c>
      <c r="D1097" s="617">
        <f t="shared" si="928"/>
        <v>16715000</v>
      </c>
      <c r="E1097" s="617">
        <f t="shared" si="928"/>
        <v>1147000</v>
      </c>
      <c r="F1097" s="617">
        <f t="shared" si="928"/>
        <v>2603000</v>
      </c>
      <c r="G1097" s="617">
        <f t="shared" si="928"/>
        <v>20238000</v>
      </c>
      <c r="H1097" s="617">
        <f t="shared" si="928"/>
        <v>21851000</v>
      </c>
      <c r="I1097" s="617">
        <f>SUM(I1098)</f>
        <v>15540000</v>
      </c>
      <c r="J1097" s="617">
        <f>SUM(J1098)</f>
        <v>39170000</v>
      </c>
      <c r="K1097" s="617">
        <f>SUM(K1098)</f>
        <v>35016000</v>
      </c>
    </row>
    <row r="1098" spans="1:17" customFormat="1" ht="15" x14ac:dyDescent="0.25">
      <c r="A1098" s="710" t="s">
        <v>118</v>
      </c>
      <c r="B1098" s="710"/>
      <c r="C1098" s="504">
        <f>SUM(C1099,C1108,C1133,C1144,C1130)</f>
        <v>18171000</v>
      </c>
      <c r="D1098" s="504">
        <f>SUM(D1099,D1108,D1130,D1133,D1144)</f>
        <v>16715000</v>
      </c>
      <c r="E1098" s="504">
        <f>SUM(E1099,E1108,E1130,E1133,E1144)</f>
        <v>1147000</v>
      </c>
      <c r="F1098" s="504">
        <f>F1108+F1130+F1133+F1144</f>
        <v>2603000</v>
      </c>
      <c r="G1098" s="504">
        <f>SUM(G1099,G1108,G1133,G1144)</f>
        <v>20238000</v>
      </c>
      <c r="H1098" s="504">
        <f>SUM(H1099,H1108,H1133,H1144)</f>
        <v>21851000</v>
      </c>
      <c r="I1098" s="504">
        <f>SUM(I1099,I1108,I1133,I1144)</f>
        <v>15540000</v>
      </c>
      <c r="J1098" s="504">
        <f>SUM(J1099,J1108,J1133,J1144)</f>
        <v>39170000</v>
      </c>
      <c r="K1098" s="504">
        <f>SUM(K1099,K1108,K1133,K1144)</f>
        <v>35016000</v>
      </c>
      <c r="O1098" s="31"/>
      <c r="P1098" s="31"/>
      <c r="Q1098" s="31"/>
    </row>
    <row r="1099" spans="1:17" customFormat="1" ht="15" x14ac:dyDescent="0.25">
      <c r="A1099" s="613">
        <v>31</v>
      </c>
      <c r="B1099" s="614" t="s">
        <v>323</v>
      </c>
      <c r="C1099" s="518">
        <f t="shared" ref="C1099:F1099" si="929">SUM(C1100,C1103,C1105)</f>
        <v>209000</v>
      </c>
      <c r="D1099" s="518">
        <f t="shared" si="929"/>
        <v>209000</v>
      </c>
      <c r="E1099" s="518">
        <f t="shared" si="929"/>
        <v>0</v>
      </c>
      <c r="F1099" s="518">
        <f t="shared" si="929"/>
        <v>0</v>
      </c>
      <c r="G1099" s="518">
        <f t="shared" ref="G1099:H1099" si="930">SUM(G1100,G1103,G1105)</f>
        <v>209000</v>
      </c>
      <c r="H1099" s="518">
        <f t="shared" si="930"/>
        <v>209000</v>
      </c>
      <c r="I1099" s="518">
        <f t="shared" ref="I1099:J1099" si="931">SUM(I1100,I1103,I1105)</f>
        <v>876000</v>
      </c>
      <c r="J1099" s="518">
        <f t="shared" si="931"/>
        <v>0</v>
      </c>
      <c r="K1099" s="518">
        <f t="shared" ref="K1099" si="932">SUM(K1100,K1103,K1105)</f>
        <v>0</v>
      </c>
    </row>
    <row r="1100" spans="1:17" customFormat="1" ht="15" x14ac:dyDescent="0.25">
      <c r="A1100" s="615">
        <v>311</v>
      </c>
      <c r="B1100" s="616" t="s">
        <v>4</v>
      </c>
      <c r="C1100" s="552">
        <f t="shared" ref="C1100:F1100" si="933">SUM(C1101:C1102)</f>
        <v>119000</v>
      </c>
      <c r="D1100" s="552">
        <f t="shared" si="933"/>
        <v>119000</v>
      </c>
      <c r="E1100" s="552">
        <f t="shared" si="933"/>
        <v>0</v>
      </c>
      <c r="F1100" s="552">
        <f t="shared" si="933"/>
        <v>0</v>
      </c>
      <c r="G1100" s="552">
        <f t="shared" ref="G1100:H1100" si="934">SUM(G1101:G1102)</f>
        <v>119000</v>
      </c>
      <c r="H1100" s="552">
        <f t="shared" si="934"/>
        <v>119000</v>
      </c>
      <c r="I1100" s="552">
        <f t="shared" ref="I1100:J1100" si="935">SUM(I1101:I1102)</f>
        <v>876000</v>
      </c>
      <c r="J1100" s="552">
        <f t="shared" si="935"/>
        <v>0</v>
      </c>
      <c r="K1100" s="552">
        <f t="shared" ref="K1100" si="936">SUM(K1101:K1102)</f>
        <v>0</v>
      </c>
    </row>
    <row r="1101" spans="1:17" customFormat="1" ht="15" x14ac:dyDescent="0.25">
      <c r="A1101" s="598">
        <v>3111</v>
      </c>
      <c r="B1101" s="599" t="s">
        <v>5</v>
      </c>
      <c r="C1101" s="528">
        <v>109000</v>
      </c>
      <c r="D1101" s="528">
        <v>109000</v>
      </c>
      <c r="E1101" s="528"/>
      <c r="F1101" s="513">
        <f t="shared" ref="F1101:F1107" si="937">C1101-D1101+E1101</f>
        <v>0</v>
      </c>
      <c r="G1101" s="528">
        <v>109000</v>
      </c>
      <c r="H1101" s="528">
        <v>109000</v>
      </c>
      <c r="I1101" s="528"/>
      <c r="J1101" s="528"/>
      <c r="K1101" s="528"/>
    </row>
    <row r="1102" spans="1:17" customFormat="1" ht="15" x14ac:dyDescent="0.25">
      <c r="A1102" s="598">
        <v>3113</v>
      </c>
      <c r="B1102" s="599" t="s">
        <v>6</v>
      </c>
      <c r="C1102" s="528">
        <v>10000</v>
      </c>
      <c r="D1102" s="528">
        <v>10000</v>
      </c>
      <c r="E1102" s="528"/>
      <c r="F1102" s="513">
        <f t="shared" si="937"/>
        <v>0</v>
      </c>
      <c r="G1102" s="528">
        <v>10000</v>
      </c>
      <c r="H1102" s="528">
        <v>10000</v>
      </c>
      <c r="I1102" s="528">
        <v>876000</v>
      </c>
      <c r="J1102" s="528"/>
      <c r="K1102" s="528"/>
    </row>
    <row r="1103" spans="1:17" customFormat="1" ht="15" x14ac:dyDescent="0.25">
      <c r="A1103" s="615">
        <v>312</v>
      </c>
      <c r="B1103" s="616" t="s">
        <v>7</v>
      </c>
      <c r="C1103" s="552">
        <f t="shared" ref="C1103:K1103" si="938">SUM(C1104)</f>
        <v>10000</v>
      </c>
      <c r="D1103" s="552">
        <f t="shared" si="938"/>
        <v>10000</v>
      </c>
      <c r="E1103" s="552">
        <f t="shared" si="938"/>
        <v>0</v>
      </c>
      <c r="F1103" s="552">
        <f t="shared" si="938"/>
        <v>0</v>
      </c>
      <c r="G1103" s="552">
        <f t="shared" si="938"/>
        <v>10000</v>
      </c>
      <c r="H1103" s="552">
        <f t="shared" si="938"/>
        <v>10000</v>
      </c>
      <c r="I1103" s="552">
        <f t="shared" si="938"/>
        <v>0</v>
      </c>
      <c r="J1103" s="552">
        <f t="shared" si="938"/>
        <v>0</v>
      </c>
      <c r="K1103" s="552">
        <f t="shared" si="938"/>
        <v>0</v>
      </c>
    </row>
    <row r="1104" spans="1:17" customFormat="1" ht="15" x14ac:dyDescent="0.25">
      <c r="A1104" s="598">
        <v>3121</v>
      </c>
      <c r="B1104" s="599" t="s">
        <v>7</v>
      </c>
      <c r="C1104" s="528">
        <v>10000</v>
      </c>
      <c r="D1104" s="528">
        <v>10000</v>
      </c>
      <c r="E1104" s="528"/>
      <c r="F1104" s="513">
        <f t="shared" si="937"/>
        <v>0</v>
      </c>
      <c r="G1104" s="528">
        <v>10000</v>
      </c>
      <c r="H1104" s="528">
        <v>10000</v>
      </c>
      <c r="I1104" s="528"/>
      <c r="J1104" s="528"/>
      <c r="K1104" s="528"/>
    </row>
    <row r="1105" spans="1:11" customFormat="1" ht="15" x14ac:dyDescent="0.25">
      <c r="A1105" s="615">
        <v>313</v>
      </c>
      <c r="B1105" s="616" t="s">
        <v>8</v>
      </c>
      <c r="C1105" s="552">
        <f t="shared" ref="C1105:F1105" si="939">SUM(C1106:C1107)</f>
        <v>80000</v>
      </c>
      <c r="D1105" s="552">
        <f t="shared" si="939"/>
        <v>80000</v>
      </c>
      <c r="E1105" s="552">
        <f t="shared" si="939"/>
        <v>0</v>
      </c>
      <c r="F1105" s="552">
        <f t="shared" si="939"/>
        <v>0</v>
      </c>
      <c r="G1105" s="552">
        <f t="shared" ref="G1105:H1105" si="940">SUM(G1106:G1107)</f>
        <v>80000</v>
      </c>
      <c r="H1105" s="552">
        <f t="shared" si="940"/>
        <v>80000</v>
      </c>
      <c r="I1105" s="552">
        <f t="shared" ref="I1105:J1105" si="941">SUM(I1106:I1107)</f>
        <v>0</v>
      </c>
      <c r="J1105" s="552">
        <f t="shared" si="941"/>
        <v>0</v>
      </c>
      <c r="K1105" s="552">
        <f t="shared" ref="K1105" si="942">SUM(K1106:K1107)</f>
        <v>0</v>
      </c>
    </row>
    <row r="1106" spans="1:11" customFormat="1" ht="15" x14ac:dyDescent="0.25">
      <c r="A1106" s="598">
        <v>3131</v>
      </c>
      <c r="B1106" s="599" t="s">
        <v>9</v>
      </c>
      <c r="C1106" s="528">
        <v>40000</v>
      </c>
      <c r="D1106" s="528">
        <v>40000</v>
      </c>
      <c r="E1106" s="528"/>
      <c r="F1106" s="513">
        <f t="shared" si="937"/>
        <v>0</v>
      </c>
      <c r="G1106" s="528">
        <v>40000</v>
      </c>
      <c r="H1106" s="528">
        <v>40000</v>
      </c>
      <c r="I1106" s="528"/>
      <c r="J1106" s="528"/>
      <c r="K1106" s="528"/>
    </row>
    <row r="1107" spans="1:11" customFormat="1" ht="15" x14ac:dyDescent="0.25">
      <c r="A1107" s="598">
        <v>3132</v>
      </c>
      <c r="B1107" s="599" t="s">
        <v>10</v>
      </c>
      <c r="C1107" s="528">
        <v>40000</v>
      </c>
      <c r="D1107" s="528">
        <v>40000</v>
      </c>
      <c r="E1107" s="528"/>
      <c r="F1107" s="513">
        <f t="shared" si="937"/>
        <v>0</v>
      </c>
      <c r="G1107" s="528">
        <v>40000</v>
      </c>
      <c r="H1107" s="528">
        <v>40000</v>
      </c>
      <c r="I1107" s="528"/>
      <c r="J1107" s="528"/>
      <c r="K1107" s="528"/>
    </row>
    <row r="1108" spans="1:11" customFormat="1" ht="15" x14ac:dyDescent="0.25">
      <c r="A1108" s="613">
        <v>32</v>
      </c>
      <c r="B1108" s="614" t="s">
        <v>325</v>
      </c>
      <c r="C1108" s="518">
        <f t="shared" ref="C1108:K1108" si="943">SUM(C1109,C1113,C1119,C1126,C1128)</f>
        <v>4674000</v>
      </c>
      <c r="D1108" s="518">
        <f>SUM(D1109,D1113,D1119,D1126,D1128)</f>
        <v>3616000</v>
      </c>
      <c r="E1108" s="518">
        <f>SUM(E1109,E1113,E1119,E1126,E1128)</f>
        <v>470000</v>
      </c>
      <c r="F1108" s="518">
        <f t="shared" si="943"/>
        <v>1528000</v>
      </c>
      <c r="G1108" s="518">
        <f t="shared" si="943"/>
        <v>5249000</v>
      </c>
      <c r="H1108" s="518">
        <f t="shared" si="943"/>
        <v>5818000</v>
      </c>
      <c r="I1108" s="518">
        <f t="shared" si="943"/>
        <v>4164000</v>
      </c>
      <c r="J1108" s="518">
        <f t="shared" si="943"/>
        <v>5470000</v>
      </c>
      <c r="K1108" s="518">
        <f t="shared" si="943"/>
        <v>5966000</v>
      </c>
    </row>
    <row r="1109" spans="1:11" customFormat="1" ht="15" x14ac:dyDescent="0.25">
      <c r="A1109" s="615">
        <v>321</v>
      </c>
      <c r="B1109" s="616" t="s">
        <v>12</v>
      </c>
      <c r="C1109" s="552">
        <f t="shared" ref="C1109:F1109" si="944">SUM(C1110:C1112)</f>
        <v>365000</v>
      </c>
      <c r="D1109" s="552">
        <f t="shared" si="944"/>
        <v>355000</v>
      </c>
      <c r="E1109" s="552">
        <f t="shared" si="944"/>
        <v>0</v>
      </c>
      <c r="F1109" s="552">
        <f t="shared" si="944"/>
        <v>10000</v>
      </c>
      <c r="G1109" s="552">
        <f t="shared" ref="G1109:H1109" si="945">SUM(G1110:G1112)</f>
        <v>365000</v>
      </c>
      <c r="H1109" s="552">
        <f t="shared" si="945"/>
        <v>365000</v>
      </c>
      <c r="I1109" s="552">
        <f t="shared" ref="I1109:K1109" si="946">SUM(I1110:I1112)</f>
        <v>1259000</v>
      </c>
      <c r="J1109" s="552">
        <f t="shared" si="946"/>
        <v>55000</v>
      </c>
      <c r="K1109" s="552">
        <f t="shared" si="946"/>
        <v>61000</v>
      </c>
    </row>
    <row r="1110" spans="1:11" customFormat="1" ht="15" x14ac:dyDescent="0.25">
      <c r="A1110" s="598">
        <v>3211</v>
      </c>
      <c r="B1110" s="599" t="s">
        <v>13</v>
      </c>
      <c r="C1110" s="528">
        <v>50000</v>
      </c>
      <c r="D1110" s="528">
        <v>40000</v>
      </c>
      <c r="E1110" s="528"/>
      <c r="F1110" s="513">
        <f t="shared" ref="F1110:F1129" si="947">C1110-D1110+E1110</f>
        <v>10000</v>
      </c>
      <c r="G1110" s="528">
        <v>50000</v>
      </c>
      <c r="H1110" s="528">
        <v>50000</v>
      </c>
      <c r="I1110" s="528"/>
      <c r="J1110" s="528">
        <v>45000</v>
      </c>
      <c r="K1110" s="528">
        <v>50000</v>
      </c>
    </row>
    <row r="1111" spans="1:11" customFormat="1" ht="25.5" x14ac:dyDescent="0.25">
      <c r="A1111" s="598">
        <v>3212</v>
      </c>
      <c r="B1111" s="599" t="s">
        <v>14</v>
      </c>
      <c r="C1111" s="528">
        <v>15000</v>
      </c>
      <c r="D1111" s="528">
        <v>15000</v>
      </c>
      <c r="E1111" s="528"/>
      <c r="F1111" s="513">
        <f t="shared" si="947"/>
        <v>0</v>
      </c>
      <c r="G1111" s="528">
        <v>15000</v>
      </c>
      <c r="H1111" s="528">
        <v>15000</v>
      </c>
      <c r="I1111" s="528">
        <f>9000+1250000</f>
        <v>1259000</v>
      </c>
      <c r="J1111" s="528">
        <v>10000</v>
      </c>
      <c r="K1111" s="528">
        <v>11000</v>
      </c>
    </row>
    <row r="1112" spans="1:11" s="6" customFormat="1" ht="15" x14ac:dyDescent="0.25">
      <c r="A1112" s="598">
        <v>3213</v>
      </c>
      <c r="B1112" s="599" t="s">
        <v>15</v>
      </c>
      <c r="C1112" s="528">
        <v>300000</v>
      </c>
      <c r="D1112" s="528">
        <v>300000</v>
      </c>
      <c r="E1112" s="528"/>
      <c r="F1112" s="513">
        <f t="shared" si="947"/>
        <v>0</v>
      </c>
      <c r="G1112" s="528">
        <v>300000</v>
      </c>
      <c r="H1112" s="528">
        <v>300000</v>
      </c>
      <c r="I1112" s="528"/>
      <c r="J1112" s="528"/>
      <c r="K1112" s="528"/>
    </row>
    <row r="1113" spans="1:11" customFormat="1" ht="15" x14ac:dyDescent="0.25">
      <c r="A1113" s="615">
        <v>322</v>
      </c>
      <c r="B1113" s="616" t="s">
        <v>16</v>
      </c>
      <c r="C1113" s="552">
        <f t="shared" ref="C1113:F1113" si="948">SUM(C1114:C1118)</f>
        <v>222000</v>
      </c>
      <c r="D1113" s="552">
        <f t="shared" si="948"/>
        <v>180000</v>
      </c>
      <c r="E1113" s="552">
        <f t="shared" si="948"/>
        <v>470000</v>
      </c>
      <c r="F1113" s="552">
        <f t="shared" si="948"/>
        <v>512000</v>
      </c>
      <c r="G1113" s="552">
        <f t="shared" ref="G1113:H1113" si="949">SUM(G1114:G1118)</f>
        <v>272000</v>
      </c>
      <c r="H1113" s="552">
        <f t="shared" si="949"/>
        <v>322000</v>
      </c>
      <c r="I1113" s="552">
        <f t="shared" ref="I1113:K1113" si="950">SUM(I1114:I1118)</f>
        <v>265000</v>
      </c>
      <c r="J1113" s="552">
        <f t="shared" si="950"/>
        <v>275000</v>
      </c>
      <c r="K1113" s="552">
        <f t="shared" si="950"/>
        <v>265000</v>
      </c>
    </row>
    <row r="1114" spans="1:11" customFormat="1" ht="15" x14ac:dyDescent="0.25">
      <c r="A1114" s="598">
        <v>3221</v>
      </c>
      <c r="B1114" s="599" t="s">
        <v>17</v>
      </c>
      <c r="C1114" s="528">
        <v>10000</v>
      </c>
      <c r="D1114" s="528">
        <v>10000</v>
      </c>
      <c r="E1114" s="528"/>
      <c r="F1114" s="513">
        <f t="shared" si="947"/>
        <v>0</v>
      </c>
      <c r="G1114" s="528">
        <v>10000</v>
      </c>
      <c r="H1114" s="528">
        <v>10000</v>
      </c>
      <c r="I1114" s="528"/>
      <c r="J1114" s="528"/>
      <c r="K1114" s="528"/>
    </row>
    <row r="1115" spans="1:11" customFormat="1" ht="15" x14ac:dyDescent="0.25">
      <c r="A1115" s="598">
        <v>3222</v>
      </c>
      <c r="B1115" s="599" t="s">
        <v>18</v>
      </c>
      <c r="C1115" s="528">
        <v>149000</v>
      </c>
      <c r="D1115" s="528">
        <v>140000</v>
      </c>
      <c r="E1115" s="528"/>
      <c r="F1115" s="513">
        <f t="shared" si="947"/>
        <v>9000</v>
      </c>
      <c r="G1115" s="528">
        <v>199000</v>
      </c>
      <c r="H1115" s="528">
        <v>249000</v>
      </c>
      <c r="I1115" s="528">
        <v>200000</v>
      </c>
      <c r="J1115" s="528">
        <v>200000</v>
      </c>
      <c r="K1115" s="528">
        <v>200000</v>
      </c>
    </row>
    <row r="1116" spans="1:11" customFormat="1" ht="15" x14ac:dyDescent="0.25">
      <c r="A1116" s="598">
        <v>3223</v>
      </c>
      <c r="B1116" s="599" t="s">
        <v>19</v>
      </c>
      <c r="C1116" s="528">
        <v>30000</v>
      </c>
      <c r="D1116" s="528"/>
      <c r="E1116" s="528">
        <v>470000</v>
      </c>
      <c r="F1116" s="513">
        <f t="shared" si="947"/>
        <v>500000</v>
      </c>
      <c r="G1116" s="528">
        <v>30000</v>
      </c>
      <c r="H1116" s="528">
        <v>30000</v>
      </c>
      <c r="I1116" s="528">
        <v>30000</v>
      </c>
      <c r="J1116" s="528">
        <v>30000</v>
      </c>
      <c r="K1116" s="528">
        <v>30000</v>
      </c>
    </row>
    <row r="1117" spans="1:11" customFormat="1" ht="26.25" customHeight="1" x14ac:dyDescent="0.25">
      <c r="A1117" s="598">
        <v>3224</v>
      </c>
      <c r="B1117" s="599" t="s">
        <v>112</v>
      </c>
      <c r="C1117" s="528">
        <v>3000</v>
      </c>
      <c r="D1117" s="528">
        <v>2000</v>
      </c>
      <c r="E1117" s="528"/>
      <c r="F1117" s="513">
        <f t="shared" si="947"/>
        <v>1000</v>
      </c>
      <c r="G1117" s="528">
        <v>3000</v>
      </c>
      <c r="H1117" s="528">
        <v>3000</v>
      </c>
      <c r="I1117" s="528">
        <v>5000</v>
      </c>
      <c r="J1117" s="528">
        <v>10000</v>
      </c>
      <c r="K1117" s="528">
        <v>5000</v>
      </c>
    </row>
    <row r="1118" spans="1:11" s="6" customFormat="1" ht="15" x14ac:dyDescent="0.25">
      <c r="A1118" s="598">
        <v>3225</v>
      </c>
      <c r="B1118" s="599" t="s">
        <v>21</v>
      </c>
      <c r="C1118" s="528">
        <v>30000</v>
      </c>
      <c r="D1118" s="528">
        <v>28000</v>
      </c>
      <c r="E1118" s="528"/>
      <c r="F1118" s="513">
        <f t="shared" si="947"/>
        <v>2000</v>
      </c>
      <c r="G1118" s="528">
        <v>30000</v>
      </c>
      <c r="H1118" s="528">
        <v>30000</v>
      </c>
      <c r="I1118" s="528">
        <v>30000</v>
      </c>
      <c r="J1118" s="528">
        <v>35000</v>
      </c>
      <c r="K1118" s="528">
        <v>30000</v>
      </c>
    </row>
    <row r="1119" spans="1:11" customFormat="1" ht="15" x14ac:dyDescent="0.25">
      <c r="A1119" s="615">
        <v>323</v>
      </c>
      <c r="B1119" s="616" t="s">
        <v>23</v>
      </c>
      <c r="C1119" s="552">
        <f t="shared" ref="C1119:F1119" si="951">SUM(C1120:C1125)</f>
        <v>4032000</v>
      </c>
      <c r="D1119" s="552">
        <f t="shared" si="951"/>
        <v>3027000</v>
      </c>
      <c r="E1119" s="552">
        <f t="shared" si="951"/>
        <v>0</v>
      </c>
      <c r="F1119" s="552">
        <f t="shared" si="951"/>
        <v>1005000</v>
      </c>
      <c r="G1119" s="552">
        <f t="shared" ref="G1119:H1119" si="952">SUM(G1120:G1125)</f>
        <v>4557000</v>
      </c>
      <c r="H1119" s="552">
        <f t="shared" si="952"/>
        <v>5076000</v>
      </c>
      <c r="I1119" s="552">
        <f t="shared" ref="I1119:K1119" si="953">SUM(I1120:I1125)</f>
        <v>2610000</v>
      </c>
      <c r="J1119" s="552">
        <f t="shared" si="953"/>
        <v>5110000</v>
      </c>
      <c r="K1119" s="552">
        <f t="shared" si="953"/>
        <v>5610000</v>
      </c>
    </row>
    <row r="1120" spans="1:11" customFormat="1" ht="15" x14ac:dyDescent="0.25">
      <c r="A1120" s="598">
        <v>3232</v>
      </c>
      <c r="B1120" s="599" t="s">
        <v>25</v>
      </c>
      <c r="C1120" s="528">
        <v>1493000</v>
      </c>
      <c r="D1120" s="528">
        <v>1000000</v>
      </c>
      <c r="E1120" s="528"/>
      <c r="F1120" s="513">
        <f t="shared" si="947"/>
        <v>493000</v>
      </c>
      <c r="G1120" s="528">
        <v>1742000</v>
      </c>
      <c r="H1120" s="528">
        <v>1990000</v>
      </c>
      <c r="I1120" s="526">
        <f>1760000-1000000</f>
        <v>760000</v>
      </c>
      <c r="J1120" s="528">
        <v>2000000</v>
      </c>
      <c r="K1120" s="528">
        <v>2500000</v>
      </c>
    </row>
    <row r="1121" spans="1:11" customFormat="1" ht="15" x14ac:dyDescent="0.25">
      <c r="A1121" s="598">
        <v>3233</v>
      </c>
      <c r="B1121" s="599" t="s">
        <v>26</v>
      </c>
      <c r="C1121" s="528">
        <v>50000</v>
      </c>
      <c r="D1121" s="528">
        <v>48000</v>
      </c>
      <c r="E1121" s="528"/>
      <c r="F1121" s="513">
        <f t="shared" si="947"/>
        <v>2000</v>
      </c>
      <c r="G1121" s="528">
        <v>50000</v>
      </c>
      <c r="H1121" s="528">
        <v>50000</v>
      </c>
      <c r="I1121" s="528">
        <v>50000</v>
      </c>
      <c r="J1121" s="528">
        <v>60000</v>
      </c>
      <c r="K1121" s="528">
        <v>60000</v>
      </c>
    </row>
    <row r="1122" spans="1:11" customFormat="1" ht="15" x14ac:dyDescent="0.25">
      <c r="A1122" s="598">
        <v>3235</v>
      </c>
      <c r="B1122" s="599" t="s">
        <v>28</v>
      </c>
      <c r="C1122" s="528">
        <v>597000</v>
      </c>
      <c r="D1122" s="528">
        <v>590000</v>
      </c>
      <c r="E1122" s="528"/>
      <c r="F1122" s="513">
        <f t="shared" si="947"/>
        <v>7000</v>
      </c>
      <c r="G1122" s="528">
        <v>624000</v>
      </c>
      <c r="H1122" s="528">
        <v>647000</v>
      </c>
      <c r="I1122" s="528">
        <v>500000</v>
      </c>
      <c r="J1122" s="528">
        <v>500000</v>
      </c>
      <c r="K1122" s="528">
        <v>500000</v>
      </c>
    </row>
    <row r="1123" spans="1:11" customFormat="1" ht="15" x14ac:dyDescent="0.25">
      <c r="A1123" s="598">
        <v>3237</v>
      </c>
      <c r="B1123" s="599" t="s">
        <v>30</v>
      </c>
      <c r="C1123" s="528">
        <v>100000</v>
      </c>
      <c r="D1123" s="528">
        <v>90000</v>
      </c>
      <c r="E1123" s="528"/>
      <c r="F1123" s="513">
        <f t="shared" si="947"/>
        <v>10000</v>
      </c>
      <c r="G1123" s="528">
        <v>100000</v>
      </c>
      <c r="H1123" s="528">
        <v>100000</v>
      </c>
      <c r="I1123" s="528">
        <v>100000</v>
      </c>
      <c r="J1123" s="528">
        <v>150000</v>
      </c>
      <c r="K1123" s="528">
        <v>150000</v>
      </c>
    </row>
    <row r="1124" spans="1:11" customFormat="1" ht="15" x14ac:dyDescent="0.25">
      <c r="A1124" s="598">
        <v>3238</v>
      </c>
      <c r="B1124" s="599" t="s">
        <v>70</v>
      </c>
      <c r="C1124" s="528">
        <v>1493000</v>
      </c>
      <c r="D1124" s="528">
        <v>1000000</v>
      </c>
      <c r="E1124" s="528"/>
      <c r="F1124" s="513">
        <f t="shared" si="947"/>
        <v>493000</v>
      </c>
      <c r="G1124" s="528">
        <v>1742000</v>
      </c>
      <c r="H1124" s="528">
        <v>1990000</v>
      </c>
      <c r="I1124" s="526">
        <f>1900000-1000000</f>
        <v>900000</v>
      </c>
      <c r="J1124" s="528">
        <v>2000000</v>
      </c>
      <c r="K1124" s="528">
        <v>2000000</v>
      </c>
    </row>
    <row r="1125" spans="1:11" s="6" customFormat="1" ht="15" x14ac:dyDescent="0.25">
      <c r="A1125" s="598">
        <v>3239</v>
      </c>
      <c r="B1125" s="599" t="s">
        <v>31</v>
      </c>
      <c r="C1125" s="528">
        <v>299000</v>
      </c>
      <c r="D1125" s="528">
        <v>299000</v>
      </c>
      <c r="E1125" s="528"/>
      <c r="F1125" s="513">
        <f t="shared" si="947"/>
        <v>0</v>
      </c>
      <c r="G1125" s="528">
        <v>299000</v>
      </c>
      <c r="H1125" s="528">
        <v>299000</v>
      </c>
      <c r="I1125" s="528">
        <v>300000</v>
      </c>
      <c r="J1125" s="528">
        <v>400000</v>
      </c>
      <c r="K1125" s="528">
        <v>400000</v>
      </c>
    </row>
    <row r="1126" spans="1:11" customFormat="1" ht="25.5" x14ac:dyDescent="0.25">
      <c r="A1126" s="615">
        <v>324</v>
      </c>
      <c r="B1126" s="616" t="s">
        <v>32</v>
      </c>
      <c r="C1126" s="552">
        <f t="shared" ref="C1126:K1126" si="954">SUM(C1127)</f>
        <v>25000</v>
      </c>
      <c r="D1126" s="552">
        <f t="shared" si="954"/>
        <v>25000</v>
      </c>
      <c r="E1126" s="552">
        <f t="shared" si="954"/>
        <v>0</v>
      </c>
      <c r="F1126" s="552">
        <f t="shared" si="954"/>
        <v>0</v>
      </c>
      <c r="G1126" s="552">
        <f t="shared" si="954"/>
        <v>25000</v>
      </c>
      <c r="H1126" s="552">
        <f t="shared" si="954"/>
        <v>25000</v>
      </c>
      <c r="I1126" s="552">
        <f t="shared" si="954"/>
        <v>0</v>
      </c>
      <c r="J1126" s="552">
        <f t="shared" si="954"/>
        <v>0</v>
      </c>
      <c r="K1126" s="552">
        <f t="shared" si="954"/>
        <v>0</v>
      </c>
    </row>
    <row r="1127" spans="1:11" customFormat="1" ht="25.5" x14ac:dyDescent="0.25">
      <c r="A1127" s="598">
        <v>3241</v>
      </c>
      <c r="B1127" s="599" t="s">
        <v>32</v>
      </c>
      <c r="C1127" s="528">
        <v>25000</v>
      </c>
      <c r="D1127" s="528">
        <v>25000</v>
      </c>
      <c r="E1127" s="528"/>
      <c r="F1127" s="513">
        <f t="shared" si="947"/>
        <v>0</v>
      </c>
      <c r="G1127" s="528">
        <v>25000</v>
      </c>
      <c r="H1127" s="528">
        <v>25000</v>
      </c>
      <c r="I1127" s="528"/>
      <c r="J1127" s="528"/>
      <c r="K1127" s="528"/>
    </row>
    <row r="1128" spans="1:11" customFormat="1" ht="15" x14ac:dyDescent="0.25">
      <c r="A1128" s="615">
        <v>329</v>
      </c>
      <c r="B1128" s="616" t="s">
        <v>33</v>
      </c>
      <c r="C1128" s="552">
        <f>SUM(C1129:C1129)</f>
        <v>30000</v>
      </c>
      <c r="D1128" s="552">
        <f>SUM(D1129:D1129)</f>
        <v>29000</v>
      </c>
      <c r="E1128" s="552">
        <f>SUM(E1129:E1129)</f>
        <v>0</v>
      </c>
      <c r="F1128" s="552">
        <f>SUM(F1129:F1129)</f>
        <v>1000</v>
      </c>
      <c r="G1128" s="552">
        <f t="shared" ref="G1128:H1128" si="955">SUM(G1129)</f>
        <v>30000</v>
      </c>
      <c r="H1128" s="552">
        <f t="shared" si="955"/>
        <v>30000</v>
      </c>
      <c r="I1128" s="552">
        <f>SUM(I1129:I1129)</f>
        <v>30000</v>
      </c>
      <c r="J1128" s="552">
        <f>SUM(J1129:J1129)</f>
        <v>30000</v>
      </c>
      <c r="K1128" s="552">
        <f>SUM(K1129:K1129)</f>
        <v>30000</v>
      </c>
    </row>
    <row r="1129" spans="1:11" customFormat="1" ht="15" x14ac:dyDescent="0.25">
      <c r="A1129" s="598">
        <v>3299</v>
      </c>
      <c r="B1129" s="599" t="s">
        <v>33</v>
      </c>
      <c r="C1129" s="528">
        <v>30000</v>
      </c>
      <c r="D1129" s="528">
        <v>29000</v>
      </c>
      <c r="E1129" s="528"/>
      <c r="F1129" s="513">
        <f t="shared" si="947"/>
        <v>1000</v>
      </c>
      <c r="G1129" s="528">
        <v>30000</v>
      </c>
      <c r="H1129" s="528">
        <v>30000</v>
      </c>
      <c r="I1129" s="528">
        <v>30000</v>
      </c>
      <c r="J1129" s="528">
        <v>30000</v>
      </c>
      <c r="K1129" s="528">
        <v>30000</v>
      </c>
    </row>
    <row r="1130" spans="1:11" customFormat="1" ht="25.5" x14ac:dyDescent="0.25">
      <c r="A1130" s="618">
        <v>41</v>
      </c>
      <c r="B1130" s="517" t="s">
        <v>335</v>
      </c>
      <c r="C1130" s="619">
        <f>SUM(C1131)</f>
        <v>0</v>
      </c>
      <c r="D1130" s="619">
        <f t="shared" ref="D1130:K1130" si="956">SUM(D1131)</f>
        <v>0</v>
      </c>
      <c r="E1130" s="619">
        <f t="shared" si="956"/>
        <v>75000</v>
      </c>
      <c r="F1130" s="619">
        <f t="shared" si="956"/>
        <v>75000</v>
      </c>
      <c r="G1130" s="619">
        <f t="shared" si="956"/>
        <v>0</v>
      </c>
      <c r="H1130" s="619">
        <f t="shared" si="956"/>
        <v>0</v>
      </c>
      <c r="I1130" s="619">
        <f t="shared" si="956"/>
        <v>0</v>
      </c>
      <c r="J1130" s="619">
        <f t="shared" si="956"/>
        <v>0</v>
      </c>
      <c r="K1130" s="619">
        <f t="shared" si="956"/>
        <v>0</v>
      </c>
    </row>
    <row r="1131" spans="1:11" customFormat="1" ht="15" x14ac:dyDescent="0.25">
      <c r="A1131" s="620">
        <v>412</v>
      </c>
      <c r="B1131" s="621" t="s">
        <v>68</v>
      </c>
      <c r="C1131" s="622">
        <f>SUM(C1132)</f>
        <v>0</v>
      </c>
      <c r="D1131" s="622">
        <f t="shared" ref="D1131:K1131" si="957">SUM(D1132)</f>
        <v>0</v>
      </c>
      <c r="E1131" s="622">
        <f t="shared" si="957"/>
        <v>75000</v>
      </c>
      <c r="F1131" s="622">
        <f t="shared" si="957"/>
        <v>75000</v>
      </c>
      <c r="G1131" s="622">
        <f t="shared" si="957"/>
        <v>0</v>
      </c>
      <c r="H1131" s="622">
        <f t="shared" si="957"/>
        <v>0</v>
      </c>
      <c r="I1131" s="622">
        <f t="shared" si="957"/>
        <v>0</v>
      </c>
      <c r="J1131" s="622">
        <f t="shared" si="957"/>
        <v>0</v>
      </c>
      <c r="K1131" s="622">
        <f t="shared" si="957"/>
        <v>0</v>
      </c>
    </row>
    <row r="1132" spans="1:11" customFormat="1" ht="15" x14ac:dyDescent="0.25">
      <c r="A1132" s="623">
        <v>4123</v>
      </c>
      <c r="B1132" s="624" t="s">
        <v>68</v>
      </c>
      <c r="C1132" s="625"/>
      <c r="D1132" s="625"/>
      <c r="E1132" s="625">
        <v>75000</v>
      </c>
      <c r="F1132" s="551">
        <f t="shared" ref="F1132" si="958">C1132-D1132+E1132</f>
        <v>75000</v>
      </c>
      <c r="G1132" s="625"/>
      <c r="H1132" s="625"/>
      <c r="I1132" s="625"/>
      <c r="J1132" s="625"/>
      <c r="K1132" s="625"/>
    </row>
    <row r="1133" spans="1:11" customFormat="1" ht="25.5" x14ac:dyDescent="0.25">
      <c r="A1133" s="613">
        <v>42</v>
      </c>
      <c r="B1133" s="517" t="s">
        <v>331</v>
      </c>
      <c r="C1133" s="518">
        <f t="shared" ref="C1133:K1133" si="959">SUM(C1134,C1139,C1142)</f>
        <v>12890000</v>
      </c>
      <c r="D1133" s="518">
        <f t="shared" si="959"/>
        <v>12492000</v>
      </c>
      <c r="E1133" s="518">
        <f t="shared" si="959"/>
        <v>602000</v>
      </c>
      <c r="F1133" s="518">
        <f t="shared" si="959"/>
        <v>1000000</v>
      </c>
      <c r="G1133" s="518">
        <f t="shared" si="959"/>
        <v>14382000</v>
      </c>
      <c r="H1133" s="518">
        <f t="shared" si="959"/>
        <v>15426000</v>
      </c>
      <c r="I1133" s="518">
        <f t="shared" si="959"/>
        <v>10000000</v>
      </c>
      <c r="J1133" s="518">
        <f t="shared" si="959"/>
        <v>30700000</v>
      </c>
      <c r="K1133" s="518">
        <f t="shared" si="959"/>
        <v>26050000</v>
      </c>
    </row>
    <row r="1134" spans="1:11" customFormat="1" ht="15" x14ac:dyDescent="0.25">
      <c r="A1134" s="615">
        <v>422</v>
      </c>
      <c r="B1134" s="616" t="s">
        <v>53</v>
      </c>
      <c r="C1134" s="552">
        <f t="shared" ref="C1134:K1134" si="960">SUM(C1135:C1138)</f>
        <v>7914000</v>
      </c>
      <c r="D1134" s="552">
        <f t="shared" si="960"/>
        <v>7516000</v>
      </c>
      <c r="E1134" s="552">
        <f t="shared" si="960"/>
        <v>602000</v>
      </c>
      <c r="F1134" s="552">
        <f t="shared" si="960"/>
        <v>1000000</v>
      </c>
      <c r="G1134" s="552">
        <f t="shared" si="960"/>
        <v>8660000</v>
      </c>
      <c r="H1134" s="552">
        <f t="shared" si="960"/>
        <v>9456000</v>
      </c>
      <c r="I1134" s="552">
        <f t="shared" si="960"/>
        <v>5000000</v>
      </c>
      <c r="J1134" s="552">
        <f t="shared" si="960"/>
        <v>8200000</v>
      </c>
      <c r="K1134" s="552">
        <f t="shared" si="960"/>
        <v>8050000</v>
      </c>
    </row>
    <row r="1135" spans="1:11" customFormat="1" ht="15" x14ac:dyDescent="0.25">
      <c r="A1135" s="598">
        <v>4221</v>
      </c>
      <c r="B1135" s="599" t="s">
        <v>54</v>
      </c>
      <c r="C1135" s="528">
        <v>398000</v>
      </c>
      <c r="D1135" s="528"/>
      <c r="E1135" s="528">
        <v>602000</v>
      </c>
      <c r="F1135" s="513">
        <f t="shared" ref="F1135:F1143" si="961">C1135-D1135+E1135</f>
        <v>1000000</v>
      </c>
      <c r="G1135" s="528">
        <v>498000</v>
      </c>
      <c r="H1135" s="528">
        <v>597000</v>
      </c>
      <c r="I1135" s="528">
        <v>300000</v>
      </c>
      <c r="J1135" s="528">
        <v>300000</v>
      </c>
      <c r="K1135" s="528">
        <v>350000</v>
      </c>
    </row>
    <row r="1136" spans="1:11" customFormat="1" ht="15" x14ac:dyDescent="0.25">
      <c r="A1136" s="598">
        <v>4222</v>
      </c>
      <c r="B1136" s="599" t="s">
        <v>58</v>
      </c>
      <c r="C1136" s="528">
        <v>697000</v>
      </c>
      <c r="D1136" s="528">
        <v>697000</v>
      </c>
      <c r="E1136" s="528"/>
      <c r="F1136" s="513">
        <f t="shared" si="961"/>
        <v>0</v>
      </c>
      <c r="G1136" s="528">
        <v>796000</v>
      </c>
      <c r="H1136" s="528">
        <v>896000</v>
      </c>
      <c r="I1136" s="528">
        <v>800000</v>
      </c>
      <c r="J1136" s="528">
        <v>1000000</v>
      </c>
      <c r="K1136" s="528">
        <v>800000</v>
      </c>
    </row>
    <row r="1137" spans="1:11" customFormat="1" ht="15" x14ac:dyDescent="0.25">
      <c r="A1137" s="598">
        <v>4223</v>
      </c>
      <c r="B1137" s="599" t="s">
        <v>59</v>
      </c>
      <c r="C1137" s="528">
        <v>5973000</v>
      </c>
      <c r="D1137" s="528">
        <v>5973000</v>
      </c>
      <c r="E1137" s="528"/>
      <c r="F1137" s="513">
        <f t="shared" si="961"/>
        <v>0</v>
      </c>
      <c r="G1137" s="528">
        <v>6470000</v>
      </c>
      <c r="H1137" s="528">
        <v>6968000</v>
      </c>
      <c r="I1137" s="526">
        <f>10000000-7000000</f>
        <v>3000000</v>
      </c>
      <c r="J1137" s="528">
        <v>6000000</v>
      </c>
      <c r="K1137" s="528">
        <v>6000000</v>
      </c>
    </row>
    <row r="1138" spans="1:11" customFormat="1" ht="25.5" x14ac:dyDescent="0.25">
      <c r="A1138" s="598">
        <v>4227</v>
      </c>
      <c r="B1138" s="599" t="s">
        <v>60</v>
      </c>
      <c r="C1138" s="528">
        <v>846000</v>
      </c>
      <c r="D1138" s="528">
        <v>846000</v>
      </c>
      <c r="E1138" s="528"/>
      <c r="F1138" s="513">
        <f t="shared" si="961"/>
        <v>0</v>
      </c>
      <c r="G1138" s="528">
        <v>896000</v>
      </c>
      <c r="H1138" s="528">
        <v>995000</v>
      </c>
      <c r="I1138" s="528">
        <v>900000</v>
      </c>
      <c r="J1138" s="528">
        <v>900000</v>
      </c>
      <c r="K1138" s="528">
        <v>900000</v>
      </c>
    </row>
    <row r="1139" spans="1:11" customFormat="1" ht="15" x14ac:dyDescent="0.25">
      <c r="A1139" s="615">
        <v>423</v>
      </c>
      <c r="B1139" s="616" t="s">
        <v>61</v>
      </c>
      <c r="C1139" s="552">
        <f t="shared" ref="C1139:F1139" si="962">SUM(C1140:C1141)</f>
        <v>3483000</v>
      </c>
      <c r="D1139" s="552">
        <f t="shared" si="962"/>
        <v>3483000</v>
      </c>
      <c r="E1139" s="552">
        <f t="shared" si="962"/>
        <v>0</v>
      </c>
      <c r="F1139" s="552">
        <f t="shared" si="962"/>
        <v>0</v>
      </c>
      <c r="G1139" s="552">
        <f t="shared" ref="G1139:H1139" si="963">SUM(G1140:G1141)</f>
        <v>3980000</v>
      </c>
      <c r="H1139" s="552">
        <f t="shared" si="963"/>
        <v>3980000</v>
      </c>
      <c r="I1139" s="552">
        <f t="shared" ref="I1139:K1139" si="964">SUM(I1140:I1141)</f>
        <v>4000000</v>
      </c>
      <c r="J1139" s="552">
        <f t="shared" si="964"/>
        <v>18000000</v>
      </c>
      <c r="K1139" s="552">
        <f t="shared" si="964"/>
        <v>13500000</v>
      </c>
    </row>
    <row r="1140" spans="1:11" customFormat="1" ht="15" x14ac:dyDescent="0.25">
      <c r="A1140" s="598">
        <v>4231</v>
      </c>
      <c r="B1140" s="599" t="s">
        <v>62</v>
      </c>
      <c r="C1140" s="528">
        <v>1990000</v>
      </c>
      <c r="D1140" s="528">
        <v>1990000</v>
      </c>
      <c r="E1140" s="528"/>
      <c r="F1140" s="513">
        <f t="shared" si="961"/>
        <v>0</v>
      </c>
      <c r="G1140" s="528">
        <v>1990000</v>
      </c>
      <c r="H1140" s="528">
        <v>1990000</v>
      </c>
      <c r="I1140" s="526">
        <f>8000000-5000000</f>
        <v>3000000</v>
      </c>
      <c r="J1140" s="528">
        <v>9000000</v>
      </c>
      <c r="K1140" s="528">
        <v>9000000</v>
      </c>
    </row>
    <row r="1141" spans="1:11" s="6" customFormat="1" ht="24" customHeight="1" x14ac:dyDescent="0.25">
      <c r="A1141" s="598">
        <v>4233</v>
      </c>
      <c r="B1141" s="599" t="s">
        <v>227</v>
      </c>
      <c r="C1141" s="528">
        <v>1493000</v>
      </c>
      <c r="D1141" s="528">
        <v>1493000</v>
      </c>
      <c r="E1141" s="528"/>
      <c r="F1141" s="513">
        <f t="shared" si="961"/>
        <v>0</v>
      </c>
      <c r="G1141" s="528">
        <v>1990000</v>
      </c>
      <c r="H1141" s="528">
        <v>1990000</v>
      </c>
      <c r="I1141" s="526">
        <f>1500000-500000</f>
        <v>1000000</v>
      </c>
      <c r="J1141" s="528">
        <v>9000000</v>
      </c>
      <c r="K1141" s="528">
        <v>4500000</v>
      </c>
    </row>
    <row r="1142" spans="1:11" customFormat="1" ht="15" x14ac:dyDescent="0.25">
      <c r="A1142" s="615">
        <v>426</v>
      </c>
      <c r="B1142" s="616" t="s">
        <v>73</v>
      </c>
      <c r="C1142" s="552">
        <f t="shared" ref="C1142:K1142" si="965">SUM(C1143)</f>
        <v>1493000</v>
      </c>
      <c r="D1142" s="552">
        <f t="shared" si="965"/>
        <v>1493000</v>
      </c>
      <c r="E1142" s="552">
        <f t="shared" si="965"/>
        <v>0</v>
      </c>
      <c r="F1142" s="552">
        <f t="shared" si="965"/>
        <v>0</v>
      </c>
      <c r="G1142" s="552">
        <f t="shared" si="965"/>
        <v>1742000</v>
      </c>
      <c r="H1142" s="552">
        <f t="shared" si="965"/>
        <v>1990000</v>
      </c>
      <c r="I1142" s="552">
        <f t="shared" si="965"/>
        <v>1000000</v>
      </c>
      <c r="J1142" s="552">
        <f t="shared" si="965"/>
        <v>4500000</v>
      </c>
      <c r="K1142" s="552">
        <f t="shared" si="965"/>
        <v>4500000</v>
      </c>
    </row>
    <row r="1143" spans="1:11" customFormat="1" ht="15" x14ac:dyDescent="0.25">
      <c r="A1143" s="598">
        <v>4262</v>
      </c>
      <c r="B1143" s="599" t="s">
        <v>88</v>
      </c>
      <c r="C1143" s="528">
        <v>1493000</v>
      </c>
      <c r="D1143" s="528">
        <v>1493000</v>
      </c>
      <c r="E1143" s="528"/>
      <c r="F1143" s="513">
        <f t="shared" si="961"/>
        <v>0</v>
      </c>
      <c r="G1143" s="528">
        <v>1742000</v>
      </c>
      <c r="H1143" s="528">
        <v>1990000</v>
      </c>
      <c r="I1143" s="526">
        <f>4000000-3000000</f>
        <v>1000000</v>
      </c>
      <c r="J1143" s="528">
        <v>4500000</v>
      </c>
      <c r="K1143" s="528">
        <v>4500000</v>
      </c>
    </row>
    <row r="1144" spans="1:11" customFormat="1" ht="25.5" x14ac:dyDescent="0.25">
      <c r="A1144" s="613">
        <v>45</v>
      </c>
      <c r="B1144" s="541" t="s">
        <v>333</v>
      </c>
      <c r="C1144" s="518">
        <f t="shared" ref="C1144:K1145" si="966">SUM(C1145)</f>
        <v>398000</v>
      </c>
      <c r="D1144" s="518">
        <f t="shared" si="966"/>
        <v>398000</v>
      </c>
      <c r="E1144" s="518">
        <f t="shared" si="966"/>
        <v>0</v>
      </c>
      <c r="F1144" s="518">
        <f t="shared" si="966"/>
        <v>0</v>
      </c>
      <c r="G1144" s="518">
        <f t="shared" si="966"/>
        <v>398000</v>
      </c>
      <c r="H1144" s="518">
        <f t="shared" si="966"/>
        <v>398000</v>
      </c>
      <c r="I1144" s="518">
        <f t="shared" si="966"/>
        <v>500000</v>
      </c>
      <c r="J1144" s="518">
        <f t="shared" si="966"/>
        <v>3000000</v>
      </c>
      <c r="K1144" s="518">
        <f t="shared" si="966"/>
        <v>3000000</v>
      </c>
    </row>
    <row r="1145" spans="1:11" customFormat="1" ht="25.5" x14ac:dyDescent="0.25">
      <c r="A1145" s="615">
        <v>451</v>
      </c>
      <c r="B1145" s="616" t="s">
        <v>55</v>
      </c>
      <c r="C1145" s="552">
        <f t="shared" si="966"/>
        <v>398000</v>
      </c>
      <c r="D1145" s="552">
        <f t="shared" si="966"/>
        <v>398000</v>
      </c>
      <c r="E1145" s="552">
        <f t="shared" si="966"/>
        <v>0</v>
      </c>
      <c r="F1145" s="552">
        <f t="shared" si="966"/>
        <v>0</v>
      </c>
      <c r="G1145" s="552">
        <f t="shared" si="966"/>
        <v>398000</v>
      </c>
      <c r="H1145" s="552">
        <f t="shared" si="966"/>
        <v>398000</v>
      </c>
      <c r="I1145" s="552">
        <f t="shared" si="966"/>
        <v>500000</v>
      </c>
      <c r="J1145" s="552">
        <f t="shared" si="966"/>
        <v>3000000</v>
      </c>
      <c r="K1145" s="552">
        <f t="shared" si="966"/>
        <v>3000000</v>
      </c>
    </row>
    <row r="1146" spans="1:11" customFormat="1" ht="16.5" customHeight="1" x14ac:dyDescent="0.25">
      <c r="A1146" s="598">
        <v>4511</v>
      </c>
      <c r="B1146" s="599" t="s">
        <v>55</v>
      </c>
      <c r="C1146" s="528">
        <v>398000</v>
      </c>
      <c r="D1146" s="528">
        <v>398000</v>
      </c>
      <c r="E1146" s="528"/>
      <c r="F1146" s="513">
        <f t="shared" ref="F1146" si="967">C1146-D1146+E1146</f>
        <v>0</v>
      </c>
      <c r="G1146" s="528">
        <v>398000</v>
      </c>
      <c r="H1146" s="528">
        <v>398000</v>
      </c>
      <c r="I1146" s="526">
        <f>1000000-500000</f>
        <v>500000</v>
      </c>
      <c r="J1146" s="528">
        <v>3000000</v>
      </c>
      <c r="K1146" s="528">
        <v>3000000</v>
      </c>
    </row>
    <row r="1147" spans="1:11" customFormat="1" ht="26.25" customHeight="1" x14ac:dyDescent="0.25">
      <c r="A1147" s="573" t="s">
        <v>434</v>
      </c>
      <c r="B1147" s="562" t="s">
        <v>435</v>
      </c>
      <c r="C1147" s="617">
        <f>SUM(C1148)</f>
        <v>0</v>
      </c>
      <c r="D1147" s="617">
        <f t="shared" ref="D1147:I1147" si="968">SUM(D1148)</f>
        <v>0</v>
      </c>
      <c r="E1147" s="617">
        <f t="shared" si="968"/>
        <v>712000</v>
      </c>
      <c r="F1147" s="617">
        <f t="shared" si="968"/>
        <v>712000</v>
      </c>
      <c r="G1147" s="617">
        <f t="shared" si="968"/>
        <v>0</v>
      </c>
      <c r="H1147" s="617">
        <f t="shared" si="968"/>
        <v>0</v>
      </c>
      <c r="I1147" s="617">
        <f t="shared" si="968"/>
        <v>1855000</v>
      </c>
      <c r="J1147" s="617">
        <f t="shared" ref="J1147" si="969">SUM(J1148)</f>
        <v>1848000</v>
      </c>
      <c r="K1147" s="617">
        <f t="shared" ref="K1147" si="970">SUM(K1148)</f>
        <v>1940000</v>
      </c>
    </row>
    <row r="1148" spans="1:11" customFormat="1" ht="16.5" customHeight="1" x14ac:dyDescent="0.25">
      <c r="A1148" s="710" t="s">
        <v>118</v>
      </c>
      <c r="B1148" s="710"/>
      <c r="C1148" s="504">
        <f>SUM(C1149,C1158,C1177,C1180,C1190)</f>
        <v>0</v>
      </c>
      <c r="D1148" s="504">
        <f>SUM(D1149,D1158,D1177,D1180,D1190)</f>
        <v>0</v>
      </c>
      <c r="E1148" s="504">
        <f>E1149+E1158+E1177+E1180+E1190</f>
        <v>712000</v>
      </c>
      <c r="F1148" s="504">
        <f>SUM(F1149+F1158+F1177+F1180+F1190)</f>
        <v>712000</v>
      </c>
      <c r="G1148" s="504">
        <f>SUM(G1149,G1158,G1177,G1180,G1190)</f>
        <v>0</v>
      </c>
      <c r="H1148" s="504">
        <f>SUM(H1149,H1158,H1177,H1180,H1190)</f>
        <v>0</v>
      </c>
      <c r="I1148" s="504">
        <f>SUM(I1149,I1158,I1177,I1180,I1190)</f>
        <v>1855000</v>
      </c>
      <c r="J1148" s="504">
        <f>SUM(J1149,J1158,J1177,J1180,J1190)</f>
        <v>1848000</v>
      </c>
      <c r="K1148" s="504">
        <f>SUM(K1149,K1158,K1177,K1180,K1190)</f>
        <v>1940000</v>
      </c>
    </row>
    <row r="1149" spans="1:11" customFormat="1" ht="16.5" customHeight="1" x14ac:dyDescent="0.25">
      <c r="A1149" s="613">
        <v>31</v>
      </c>
      <c r="B1149" s="614" t="s">
        <v>323</v>
      </c>
      <c r="C1149" s="518">
        <f t="shared" ref="C1149:K1149" si="971">SUM(C1150,C1153,C1155)</f>
        <v>0</v>
      </c>
      <c r="D1149" s="518">
        <f t="shared" si="971"/>
        <v>0</v>
      </c>
      <c r="E1149" s="518">
        <f t="shared" si="971"/>
        <v>314000</v>
      </c>
      <c r="F1149" s="518">
        <f>SUM(F1150+F1153+F1155)</f>
        <v>314000</v>
      </c>
      <c r="G1149" s="518">
        <f t="shared" si="971"/>
        <v>0</v>
      </c>
      <c r="H1149" s="518">
        <f t="shared" si="971"/>
        <v>0</v>
      </c>
      <c r="I1149" s="518">
        <f t="shared" si="971"/>
        <v>790000</v>
      </c>
      <c r="J1149" s="518">
        <f t="shared" si="971"/>
        <v>610000</v>
      </c>
      <c r="K1149" s="518">
        <f t="shared" si="971"/>
        <v>630000</v>
      </c>
    </row>
    <row r="1150" spans="1:11" customFormat="1" ht="16.5" customHeight="1" x14ac:dyDescent="0.25">
      <c r="A1150" s="615">
        <v>311</v>
      </c>
      <c r="B1150" s="616" t="s">
        <v>4</v>
      </c>
      <c r="C1150" s="552">
        <f>SUM(C1151:C1152)</f>
        <v>0</v>
      </c>
      <c r="D1150" s="552">
        <f t="shared" ref="D1150:I1150" si="972">SUM(D1151:D1152)</f>
        <v>0</v>
      </c>
      <c r="E1150" s="552">
        <f t="shared" si="972"/>
        <v>270000</v>
      </c>
      <c r="F1150" s="552">
        <f t="shared" si="972"/>
        <v>270000</v>
      </c>
      <c r="G1150" s="552">
        <f t="shared" si="972"/>
        <v>0</v>
      </c>
      <c r="H1150" s="552">
        <f t="shared" si="972"/>
        <v>0</v>
      </c>
      <c r="I1150" s="552">
        <f t="shared" si="972"/>
        <v>520000</v>
      </c>
      <c r="J1150" s="552">
        <f t="shared" ref="J1150" si="973">SUM(J1151:J1152)</f>
        <v>380000</v>
      </c>
      <c r="K1150" s="552">
        <f t="shared" ref="K1150" si="974">SUM(K1151:K1152)</f>
        <v>400000</v>
      </c>
    </row>
    <row r="1151" spans="1:11" customFormat="1" ht="16.5" customHeight="1" x14ac:dyDescent="0.25">
      <c r="A1151" s="598">
        <v>3111</v>
      </c>
      <c r="B1151" s="599" t="s">
        <v>5</v>
      </c>
      <c r="C1151" s="528"/>
      <c r="D1151" s="528"/>
      <c r="E1151" s="528">
        <v>270000</v>
      </c>
      <c r="F1151" s="513">
        <f t="shared" ref="F1151" si="975">C1151-D1151+E1151</f>
        <v>270000</v>
      </c>
      <c r="G1151" s="528"/>
      <c r="H1151" s="528"/>
      <c r="I1151" s="528">
        <v>490000</v>
      </c>
      <c r="J1151" s="528">
        <v>350000</v>
      </c>
      <c r="K1151" s="528">
        <v>370000</v>
      </c>
    </row>
    <row r="1152" spans="1:11" customFormat="1" ht="16.5" customHeight="1" x14ac:dyDescent="0.25">
      <c r="A1152" s="626">
        <v>3113</v>
      </c>
      <c r="B1152" s="624" t="s">
        <v>6</v>
      </c>
      <c r="C1152" s="627"/>
      <c r="D1152" s="627"/>
      <c r="E1152" s="627"/>
      <c r="F1152" s="551"/>
      <c r="G1152" s="627"/>
      <c r="H1152" s="627"/>
      <c r="I1152" s="627">
        <v>30000</v>
      </c>
      <c r="J1152" s="627">
        <v>30000</v>
      </c>
      <c r="K1152" s="627">
        <v>30000</v>
      </c>
    </row>
    <row r="1153" spans="1:11" customFormat="1" ht="16.5" customHeight="1" x14ac:dyDescent="0.25">
      <c r="A1153" s="615">
        <v>312</v>
      </c>
      <c r="B1153" s="616" t="s">
        <v>7</v>
      </c>
      <c r="C1153" s="552">
        <f t="shared" ref="C1153:K1153" si="976">SUM(C1154)</f>
        <v>0</v>
      </c>
      <c r="D1153" s="552">
        <f t="shared" si="976"/>
        <v>0</v>
      </c>
      <c r="E1153" s="552">
        <f t="shared" si="976"/>
        <v>10000</v>
      </c>
      <c r="F1153" s="552">
        <f t="shared" si="976"/>
        <v>10000</v>
      </c>
      <c r="G1153" s="552">
        <f t="shared" si="976"/>
        <v>0</v>
      </c>
      <c r="H1153" s="552">
        <f t="shared" si="976"/>
        <v>0</v>
      </c>
      <c r="I1153" s="552">
        <f t="shared" si="976"/>
        <v>20000</v>
      </c>
      <c r="J1153" s="552">
        <f t="shared" si="976"/>
        <v>20000</v>
      </c>
      <c r="K1153" s="552">
        <f t="shared" si="976"/>
        <v>20000</v>
      </c>
    </row>
    <row r="1154" spans="1:11" customFormat="1" ht="16.5" customHeight="1" x14ac:dyDescent="0.25">
      <c r="A1154" s="598">
        <v>3121</v>
      </c>
      <c r="B1154" s="599" t="s">
        <v>7</v>
      </c>
      <c r="C1154" s="528"/>
      <c r="D1154" s="528"/>
      <c r="E1154" s="528">
        <v>10000</v>
      </c>
      <c r="F1154" s="513">
        <f t="shared" ref="F1154" si="977">C1154-D1154+E1154</f>
        <v>10000</v>
      </c>
      <c r="G1154" s="528"/>
      <c r="H1154" s="528"/>
      <c r="I1154" s="528">
        <v>20000</v>
      </c>
      <c r="J1154" s="528">
        <v>20000</v>
      </c>
      <c r="K1154" s="528">
        <v>20000</v>
      </c>
    </row>
    <row r="1155" spans="1:11" customFormat="1" ht="16.5" customHeight="1" x14ac:dyDescent="0.25">
      <c r="A1155" s="615">
        <v>313</v>
      </c>
      <c r="B1155" s="616" t="s">
        <v>8</v>
      </c>
      <c r="C1155" s="552">
        <f t="shared" ref="C1155:K1155" si="978">SUM(C1156:C1157)</f>
        <v>0</v>
      </c>
      <c r="D1155" s="552">
        <f t="shared" si="978"/>
        <v>0</v>
      </c>
      <c r="E1155" s="552">
        <f t="shared" si="978"/>
        <v>34000</v>
      </c>
      <c r="F1155" s="552">
        <f t="shared" si="978"/>
        <v>34000</v>
      </c>
      <c r="G1155" s="552">
        <f t="shared" si="978"/>
        <v>0</v>
      </c>
      <c r="H1155" s="552">
        <f t="shared" si="978"/>
        <v>0</v>
      </c>
      <c r="I1155" s="552">
        <f t="shared" si="978"/>
        <v>250000</v>
      </c>
      <c r="J1155" s="552">
        <f t="shared" si="978"/>
        <v>210000</v>
      </c>
      <c r="K1155" s="552">
        <f t="shared" si="978"/>
        <v>210000</v>
      </c>
    </row>
    <row r="1156" spans="1:11" customFormat="1" ht="16.5" customHeight="1" x14ac:dyDescent="0.25">
      <c r="A1156" s="598">
        <v>3131</v>
      </c>
      <c r="B1156" s="599" t="s">
        <v>9</v>
      </c>
      <c r="C1156" s="528"/>
      <c r="D1156" s="528"/>
      <c r="E1156" s="528"/>
      <c r="F1156" s="513">
        <f t="shared" ref="F1156:F1157" si="979">C1156-D1156+E1156</f>
        <v>0</v>
      </c>
      <c r="G1156" s="528"/>
      <c r="H1156" s="528"/>
      <c r="I1156" s="528">
        <v>100000</v>
      </c>
      <c r="J1156" s="528">
        <v>100000</v>
      </c>
      <c r="K1156" s="528">
        <v>100000</v>
      </c>
    </row>
    <row r="1157" spans="1:11" customFormat="1" ht="16.5" customHeight="1" x14ac:dyDescent="0.25">
      <c r="A1157" s="598">
        <v>3132</v>
      </c>
      <c r="B1157" s="599" t="s">
        <v>10</v>
      </c>
      <c r="C1157" s="528"/>
      <c r="D1157" s="528"/>
      <c r="E1157" s="528">
        <v>34000</v>
      </c>
      <c r="F1157" s="513">
        <f t="shared" si="979"/>
        <v>34000</v>
      </c>
      <c r="G1157" s="528"/>
      <c r="H1157" s="528"/>
      <c r="I1157" s="528">
        <v>150000</v>
      </c>
      <c r="J1157" s="528">
        <v>110000</v>
      </c>
      <c r="K1157" s="528">
        <v>110000</v>
      </c>
    </row>
    <row r="1158" spans="1:11" customFormat="1" ht="16.5" customHeight="1" x14ac:dyDescent="0.25">
      <c r="A1158" s="613">
        <v>32</v>
      </c>
      <c r="B1158" s="614" t="s">
        <v>325</v>
      </c>
      <c r="C1158" s="518">
        <f t="shared" ref="C1158:K1158" si="980">SUM(C1159,C1163,C1169,C1173)</f>
        <v>0</v>
      </c>
      <c r="D1158" s="518">
        <f t="shared" si="980"/>
        <v>0</v>
      </c>
      <c r="E1158" s="518">
        <f>SUM(E1159+E1163+E1169+E1173+E1175)</f>
        <v>188000</v>
      </c>
      <c r="F1158" s="518">
        <f>SUM(F1159+F1163+F1169+F1173+F1175)</f>
        <v>188000</v>
      </c>
      <c r="G1158" s="518">
        <f t="shared" si="980"/>
        <v>0</v>
      </c>
      <c r="H1158" s="518">
        <f t="shared" si="980"/>
        <v>0</v>
      </c>
      <c r="I1158" s="518">
        <f t="shared" si="980"/>
        <v>990000</v>
      </c>
      <c r="J1158" s="518">
        <f t="shared" si="980"/>
        <v>603000</v>
      </c>
      <c r="K1158" s="518">
        <f t="shared" si="980"/>
        <v>1095000</v>
      </c>
    </row>
    <row r="1159" spans="1:11" customFormat="1" ht="16.5" customHeight="1" x14ac:dyDescent="0.25">
      <c r="A1159" s="615">
        <v>321</v>
      </c>
      <c r="B1159" s="616" t="s">
        <v>12</v>
      </c>
      <c r="C1159" s="552">
        <f>SUM(C1160:C1161,C1162)</f>
        <v>0</v>
      </c>
      <c r="D1159" s="552">
        <f t="shared" ref="D1159:I1159" si="981">SUM(D1160:D1161,D1162)</f>
        <v>0</v>
      </c>
      <c r="E1159" s="552">
        <f t="shared" si="981"/>
        <v>8000</v>
      </c>
      <c r="F1159" s="552">
        <f t="shared" si="981"/>
        <v>8000</v>
      </c>
      <c r="G1159" s="552">
        <f t="shared" si="981"/>
        <v>0</v>
      </c>
      <c r="H1159" s="552">
        <f t="shared" si="981"/>
        <v>0</v>
      </c>
      <c r="I1159" s="552">
        <f t="shared" si="981"/>
        <v>13000</v>
      </c>
      <c r="J1159" s="552">
        <f t="shared" ref="J1159" si="982">SUM(J1160:J1161,J1162)</f>
        <v>16000</v>
      </c>
      <c r="K1159" s="552">
        <f t="shared" ref="K1159" si="983">SUM(K1160:K1161,K1162)</f>
        <v>18000</v>
      </c>
    </row>
    <row r="1160" spans="1:11" customFormat="1" ht="16.5" customHeight="1" x14ac:dyDescent="0.25">
      <c r="A1160" s="598">
        <v>3211</v>
      </c>
      <c r="B1160" s="599" t="s">
        <v>13</v>
      </c>
      <c r="C1160" s="528"/>
      <c r="D1160" s="528"/>
      <c r="E1160" s="528"/>
      <c r="F1160" s="513">
        <f t="shared" ref="F1160:F1161" si="984">C1160-D1160+E1160</f>
        <v>0</v>
      </c>
      <c r="G1160" s="528"/>
      <c r="H1160" s="528"/>
      <c r="I1160" s="528">
        <v>7000</v>
      </c>
      <c r="J1160" s="528">
        <v>8000</v>
      </c>
      <c r="K1160" s="528">
        <v>9000</v>
      </c>
    </row>
    <row r="1161" spans="1:11" customFormat="1" ht="16.5" customHeight="1" x14ac:dyDescent="0.25">
      <c r="A1161" s="598">
        <v>3212</v>
      </c>
      <c r="B1161" s="599" t="s">
        <v>14</v>
      </c>
      <c r="C1161" s="528"/>
      <c r="D1161" s="528"/>
      <c r="E1161" s="528">
        <v>8000</v>
      </c>
      <c r="F1161" s="513">
        <f t="shared" si="984"/>
        <v>8000</v>
      </c>
      <c r="G1161" s="528"/>
      <c r="H1161" s="528"/>
      <c r="I1161" s="528">
        <v>2000</v>
      </c>
      <c r="J1161" s="528">
        <v>3000</v>
      </c>
      <c r="K1161" s="528">
        <v>3000</v>
      </c>
    </row>
    <row r="1162" spans="1:11" customFormat="1" ht="16.5" customHeight="1" x14ac:dyDescent="0.25">
      <c r="A1162" s="626">
        <v>3213</v>
      </c>
      <c r="B1162" s="624" t="s">
        <v>15</v>
      </c>
      <c r="C1162" s="627"/>
      <c r="D1162" s="627"/>
      <c r="E1162" s="627"/>
      <c r="F1162" s="551"/>
      <c r="G1162" s="627"/>
      <c r="H1162" s="627"/>
      <c r="I1162" s="627">
        <v>4000</v>
      </c>
      <c r="J1162" s="627">
        <v>5000</v>
      </c>
      <c r="K1162" s="627">
        <v>6000</v>
      </c>
    </row>
    <row r="1163" spans="1:11" customFormat="1" ht="16.5" customHeight="1" x14ac:dyDescent="0.25">
      <c r="A1163" s="615">
        <v>322</v>
      </c>
      <c r="B1163" s="616" t="s">
        <v>16</v>
      </c>
      <c r="C1163" s="628">
        <f>SUM(C1164,C1165,C1166,C1167,C1168)</f>
        <v>0</v>
      </c>
      <c r="D1163" s="628">
        <f t="shared" ref="D1163:I1163" si="985">SUM(D1164,D1165,D1166,D1167,D1168)</f>
        <v>0</v>
      </c>
      <c r="E1163" s="628">
        <f t="shared" si="985"/>
        <v>0</v>
      </c>
      <c r="F1163" s="628">
        <f t="shared" si="985"/>
        <v>0</v>
      </c>
      <c r="G1163" s="628">
        <f t="shared" si="985"/>
        <v>0</v>
      </c>
      <c r="H1163" s="628">
        <f t="shared" si="985"/>
        <v>0</v>
      </c>
      <c r="I1163" s="628">
        <f t="shared" si="985"/>
        <v>12000</v>
      </c>
      <c r="J1163" s="628">
        <f t="shared" ref="J1163" si="986">SUM(J1164,J1165,J1166,J1167,J1168)</f>
        <v>12000</v>
      </c>
      <c r="K1163" s="628">
        <f t="shared" ref="K1163" si="987">SUM(K1164,K1165,K1166,K1167,K1168)</f>
        <v>12000</v>
      </c>
    </row>
    <row r="1164" spans="1:11" customFormat="1" ht="16.5" customHeight="1" x14ac:dyDescent="0.25">
      <c r="A1164" s="598">
        <v>3221</v>
      </c>
      <c r="B1164" s="599" t="s">
        <v>17</v>
      </c>
      <c r="C1164" s="627"/>
      <c r="D1164" s="627"/>
      <c r="E1164" s="627"/>
      <c r="F1164" s="551"/>
      <c r="G1164" s="627"/>
      <c r="H1164" s="627"/>
      <c r="I1164" s="627">
        <v>2000</v>
      </c>
      <c r="J1164" s="627">
        <v>2000</v>
      </c>
      <c r="K1164" s="627">
        <v>2000</v>
      </c>
    </row>
    <row r="1165" spans="1:11" customFormat="1" ht="16.5" customHeight="1" x14ac:dyDescent="0.25">
      <c r="A1165" s="598">
        <v>3222</v>
      </c>
      <c r="B1165" s="599" t="s">
        <v>18</v>
      </c>
      <c r="C1165" s="627"/>
      <c r="D1165" s="627"/>
      <c r="E1165" s="627"/>
      <c r="F1165" s="551"/>
      <c r="G1165" s="627"/>
      <c r="H1165" s="627"/>
      <c r="I1165" s="627"/>
      <c r="J1165" s="627"/>
      <c r="K1165" s="627"/>
    </row>
    <row r="1166" spans="1:11" customFormat="1" ht="16.5" customHeight="1" x14ac:dyDescent="0.25">
      <c r="A1166" s="598">
        <v>3223</v>
      </c>
      <c r="B1166" s="599" t="s">
        <v>19</v>
      </c>
      <c r="C1166" s="627"/>
      <c r="D1166" s="627"/>
      <c r="E1166" s="627"/>
      <c r="F1166" s="551"/>
      <c r="G1166" s="627"/>
      <c r="H1166" s="627"/>
      <c r="I1166" s="627"/>
      <c r="J1166" s="627"/>
      <c r="K1166" s="627"/>
    </row>
    <row r="1167" spans="1:11" customFormat="1" ht="16.5" customHeight="1" x14ac:dyDescent="0.25">
      <c r="A1167" s="598">
        <v>3224</v>
      </c>
      <c r="B1167" s="599" t="s">
        <v>112</v>
      </c>
      <c r="C1167" s="627"/>
      <c r="D1167" s="627"/>
      <c r="E1167" s="627"/>
      <c r="F1167" s="551"/>
      <c r="G1167" s="627"/>
      <c r="H1167" s="627"/>
      <c r="I1167" s="627"/>
      <c r="J1167" s="627"/>
      <c r="K1167" s="627"/>
    </row>
    <row r="1168" spans="1:11" customFormat="1" ht="16.5" customHeight="1" x14ac:dyDescent="0.25">
      <c r="A1168" s="598">
        <v>3225</v>
      </c>
      <c r="B1168" s="599" t="s">
        <v>21</v>
      </c>
      <c r="C1168" s="627"/>
      <c r="D1168" s="627"/>
      <c r="E1168" s="627"/>
      <c r="F1168" s="551"/>
      <c r="G1168" s="627"/>
      <c r="H1168" s="627"/>
      <c r="I1168" s="627">
        <v>10000</v>
      </c>
      <c r="J1168" s="627">
        <v>10000</v>
      </c>
      <c r="K1168" s="627">
        <v>10000</v>
      </c>
    </row>
    <row r="1169" spans="1:11" customFormat="1" ht="16.5" customHeight="1" x14ac:dyDescent="0.25">
      <c r="A1169" s="615">
        <v>323</v>
      </c>
      <c r="B1169" s="616" t="s">
        <v>23</v>
      </c>
      <c r="C1169" s="552">
        <f>SUM(C1170,C1171,C1172)</f>
        <v>0</v>
      </c>
      <c r="D1169" s="552">
        <f t="shared" ref="D1169:I1169" si="988">SUM(D1170,D1171,D1172)</f>
        <v>0</v>
      </c>
      <c r="E1169" s="552">
        <f t="shared" si="988"/>
        <v>150000</v>
      </c>
      <c r="F1169" s="552">
        <f t="shared" si="988"/>
        <v>150000</v>
      </c>
      <c r="G1169" s="552">
        <f t="shared" si="988"/>
        <v>0</v>
      </c>
      <c r="H1169" s="552">
        <f t="shared" si="988"/>
        <v>0</v>
      </c>
      <c r="I1169" s="552">
        <f t="shared" si="988"/>
        <v>575000</v>
      </c>
      <c r="J1169" s="552">
        <f t="shared" ref="J1169" si="989">SUM(J1170,J1171,J1172)</f>
        <v>325000</v>
      </c>
      <c r="K1169" s="552">
        <f t="shared" ref="K1169" si="990">SUM(K1170,K1171,K1172)</f>
        <v>725000</v>
      </c>
    </row>
    <row r="1170" spans="1:11" customFormat="1" ht="16.5" customHeight="1" x14ac:dyDescent="0.25">
      <c r="A1170" s="598">
        <v>3232</v>
      </c>
      <c r="B1170" s="599" t="s">
        <v>25</v>
      </c>
      <c r="C1170" s="628"/>
      <c r="D1170" s="628"/>
      <c r="E1170" s="628"/>
      <c r="F1170" s="628"/>
      <c r="G1170" s="628"/>
      <c r="H1170" s="628"/>
      <c r="I1170" s="627">
        <v>25000</v>
      </c>
      <c r="J1170" s="627">
        <v>25000</v>
      </c>
      <c r="K1170" s="627">
        <v>25000</v>
      </c>
    </row>
    <row r="1171" spans="1:11" customFormat="1" ht="16.5" customHeight="1" x14ac:dyDescent="0.25">
      <c r="A1171" s="598">
        <v>3233</v>
      </c>
      <c r="B1171" s="599" t="s">
        <v>26</v>
      </c>
      <c r="C1171" s="628"/>
      <c r="D1171" s="628"/>
      <c r="E1171" s="628"/>
      <c r="F1171" s="628"/>
      <c r="G1171" s="628"/>
      <c r="H1171" s="628"/>
      <c r="I1171" s="627">
        <v>50000</v>
      </c>
      <c r="J1171" s="627">
        <v>50000</v>
      </c>
      <c r="K1171" s="627">
        <v>50000</v>
      </c>
    </row>
    <row r="1172" spans="1:11" customFormat="1" ht="16.5" customHeight="1" x14ac:dyDescent="0.25">
      <c r="A1172" s="598">
        <v>3237</v>
      </c>
      <c r="B1172" s="599" t="s">
        <v>30</v>
      </c>
      <c r="C1172" s="627"/>
      <c r="D1172" s="627"/>
      <c r="E1172" s="627">
        <v>150000</v>
      </c>
      <c r="F1172" s="513">
        <f t="shared" ref="F1172" si="991">C1172-D1172+E1172</f>
        <v>150000</v>
      </c>
      <c r="G1172" s="627"/>
      <c r="H1172" s="627"/>
      <c r="I1172" s="629">
        <f>1000000-500000</f>
        <v>500000</v>
      </c>
      <c r="J1172" s="627">
        <v>250000</v>
      </c>
      <c r="K1172" s="627">
        <v>650000</v>
      </c>
    </row>
    <row r="1173" spans="1:11" customFormat="1" ht="27" customHeight="1" x14ac:dyDescent="0.25">
      <c r="A1173" s="615">
        <v>324</v>
      </c>
      <c r="B1173" s="616" t="s">
        <v>32</v>
      </c>
      <c r="C1173" s="628">
        <f>SUM(C1174)</f>
        <v>0</v>
      </c>
      <c r="D1173" s="628">
        <f t="shared" ref="D1173:K1173" si="992">SUM(D1174)</f>
        <v>0</v>
      </c>
      <c r="E1173" s="628">
        <f t="shared" si="992"/>
        <v>0</v>
      </c>
      <c r="F1173" s="628">
        <f t="shared" si="992"/>
        <v>0</v>
      </c>
      <c r="G1173" s="628">
        <f t="shared" si="992"/>
        <v>0</v>
      </c>
      <c r="H1173" s="628">
        <f t="shared" si="992"/>
        <v>0</v>
      </c>
      <c r="I1173" s="628">
        <f t="shared" si="992"/>
        <v>390000</v>
      </c>
      <c r="J1173" s="628">
        <f t="shared" si="992"/>
        <v>250000</v>
      </c>
      <c r="K1173" s="628">
        <f t="shared" si="992"/>
        <v>340000</v>
      </c>
    </row>
    <row r="1174" spans="1:11" customFormat="1" ht="16.5" customHeight="1" x14ac:dyDescent="0.25">
      <c r="A1174" s="598">
        <v>3241</v>
      </c>
      <c r="B1174" s="599" t="s">
        <v>32</v>
      </c>
      <c r="C1174" s="627"/>
      <c r="D1174" s="627"/>
      <c r="E1174" s="627"/>
      <c r="F1174" s="551"/>
      <c r="G1174" s="627"/>
      <c r="H1174" s="627"/>
      <c r="I1174" s="627">
        <v>390000</v>
      </c>
      <c r="J1174" s="627">
        <v>250000</v>
      </c>
      <c r="K1174" s="627">
        <v>340000</v>
      </c>
    </row>
    <row r="1175" spans="1:11" customFormat="1" ht="16.5" customHeight="1" x14ac:dyDescent="0.25">
      <c r="A1175" s="630">
        <v>329</v>
      </c>
      <c r="B1175" s="616" t="s">
        <v>33</v>
      </c>
      <c r="C1175" s="628">
        <f>SUM(C1176)</f>
        <v>0</v>
      </c>
      <c r="D1175" s="628">
        <f t="shared" ref="D1175" si="993">SUM(D1176)</f>
        <v>0</v>
      </c>
      <c r="E1175" s="628">
        <f>SUM(E1176)</f>
        <v>30000</v>
      </c>
      <c r="F1175" s="628">
        <f>SUM(F1176)</f>
        <v>30000</v>
      </c>
      <c r="G1175" s="628"/>
      <c r="H1175" s="628"/>
      <c r="I1175" s="628"/>
      <c r="J1175" s="628"/>
      <c r="K1175" s="628"/>
    </row>
    <row r="1176" spans="1:11" customFormat="1" ht="16.5" customHeight="1" x14ac:dyDescent="0.25">
      <c r="A1176" s="626">
        <v>3293</v>
      </c>
      <c r="B1176" s="624" t="s">
        <v>36</v>
      </c>
      <c r="C1176" s="627"/>
      <c r="D1176" s="627"/>
      <c r="E1176" s="627">
        <v>30000</v>
      </c>
      <c r="F1176" s="513">
        <f t="shared" ref="F1176" si="994">C1176-D1176+E1176</f>
        <v>30000</v>
      </c>
      <c r="G1176" s="627"/>
      <c r="H1176" s="627"/>
      <c r="I1176" s="627"/>
      <c r="J1176" s="627"/>
      <c r="K1176" s="627"/>
    </row>
    <row r="1177" spans="1:11" customFormat="1" ht="27.75" customHeight="1" x14ac:dyDescent="0.25">
      <c r="A1177" s="505">
        <v>41</v>
      </c>
      <c r="B1177" s="517" t="s">
        <v>335</v>
      </c>
      <c r="C1177" s="518">
        <f t="shared" ref="C1177:K1178" si="995">SUM(C1178)</f>
        <v>0</v>
      </c>
      <c r="D1177" s="518">
        <f t="shared" si="995"/>
        <v>0</v>
      </c>
      <c r="E1177" s="518">
        <f t="shared" si="995"/>
        <v>0</v>
      </c>
      <c r="F1177" s="518">
        <f t="shared" si="995"/>
        <v>0</v>
      </c>
      <c r="G1177" s="518">
        <f t="shared" si="995"/>
        <v>0</v>
      </c>
      <c r="H1177" s="518">
        <f t="shared" si="995"/>
        <v>0</v>
      </c>
      <c r="I1177" s="518">
        <f t="shared" si="995"/>
        <v>5000</v>
      </c>
      <c r="J1177" s="518">
        <f t="shared" si="995"/>
        <v>5000</v>
      </c>
      <c r="K1177" s="518">
        <f t="shared" si="995"/>
        <v>5000</v>
      </c>
    </row>
    <row r="1178" spans="1:11" customFormat="1" ht="16.5" customHeight="1" x14ac:dyDescent="0.25">
      <c r="A1178" s="615">
        <v>412</v>
      </c>
      <c r="B1178" s="616" t="s">
        <v>67</v>
      </c>
      <c r="C1178" s="552">
        <f t="shared" si="995"/>
        <v>0</v>
      </c>
      <c r="D1178" s="552">
        <f t="shared" si="995"/>
        <v>0</v>
      </c>
      <c r="E1178" s="552">
        <f t="shared" si="995"/>
        <v>0</v>
      </c>
      <c r="F1178" s="552">
        <f t="shared" si="995"/>
        <v>0</v>
      </c>
      <c r="G1178" s="552">
        <f t="shared" si="995"/>
        <v>0</v>
      </c>
      <c r="H1178" s="552">
        <f t="shared" si="995"/>
        <v>0</v>
      </c>
      <c r="I1178" s="552">
        <f t="shared" si="995"/>
        <v>5000</v>
      </c>
      <c r="J1178" s="552">
        <f t="shared" si="995"/>
        <v>5000</v>
      </c>
      <c r="K1178" s="552">
        <f t="shared" si="995"/>
        <v>5000</v>
      </c>
    </row>
    <row r="1179" spans="1:11" customFormat="1" ht="16.5" customHeight="1" x14ac:dyDescent="0.25">
      <c r="A1179" s="598">
        <v>4123</v>
      </c>
      <c r="B1179" s="599" t="s">
        <v>68</v>
      </c>
      <c r="C1179" s="528">
        <v>0</v>
      </c>
      <c r="D1179" s="528"/>
      <c r="E1179" s="528"/>
      <c r="F1179" s="513">
        <f t="shared" ref="F1179" si="996">C1179-D1179+E1179</f>
        <v>0</v>
      </c>
      <c r="G1179" s="528">
        <v>0</v>
      </c>
      <c r="H1179" s="528">
        <v>0</v>
      </c>
      <c r="I1179" s="528">
        <v>5000</v>
      </c>
      <c r="J1179" s="528">
        <v>5000</v>
      </c>
      <c r="K1179" s="528">
        <v>5000</v>
      </c>
    </row>
    <row r="1180" spans="1:11" customFormat="1" ht="30.75" customHeight="1" x14ac:dyDescent="0.25">
      <c r="A1180" s="613">
        <v>42</v>
      </c>
      <c r="B1180" s="517" t="s">
        <v>331</v>
      </c>
      <c r="C1180" s="518">
        <f>SUM(C1181,C1186,C1188)</f>
        <v>0</v>
      </c>
      <c r="D1180" s="518">
        <f t="shared" ref="D1180:I1180" si="997">SUM(D1181,D1186,D1188)</f>
        <v>0</v>
      </c>
      <c r="E1180" s="518">
        <f t="shared" si="997"/>
        <v>10000</v>
      </c>
      <c r="F1180" s="518">
        <f t="shared" si="997"/>
        <v>10000</v>
      </c>
      <c r="G1180" s="518">
        <f t="shared" si="997"/>
        <v>0</v>
      </c>
      <c r="H1180" s="518">
        <f t="shared" si="997"/>
        <v>0</v>
      </c>
      <c r="I1180" s="518">
        <f t="shared" si="997"/>
        <v>70000</v>
      </c>
      <c r="J1180" s="518">
        <f t="shared" ref="J1180" si="998">SUM(J1181,J1186,J1188)</f>
        <v>610000</v>
      </c>
      <c r="K1180" s="518">
        <f t="shared" ref="K1180" si="999">SUM(K1181,K1186,K1188)</f>
        <v>160000</v>
      </c>
    </row>
    <row r="1181" spans="1:11" customFormat="1" ht="16.5" customHeight="1" x14ac:dyDescent="0.25">
      <c r="A1181" s="615">
        <v>422</v>
      </c>
      <c r="B1181" s="616" t="s">
        <v>53</v>
      </c>
      <c r="C1181" s="552">
        <f>SUM(C1182,C1183,C1184,C1185)</f>
        <v>0</v>
      </c>
      <c r="D1181" s="552">
        <f t="shared" ref="D1181:I1181" si="1000">SUM(D1182,D1183,D1184,D1185)</f>
        <v>0</v>
      </c>
      <c r="E1181" s="552">
        <f t="shared" si="1000"/>
        <v>10000</v>
      </c>
      <c r="F1181" s="552">
        <f t="shared" si="1000"/>
        <v>10000</v>
      </c>
      <c r="G1181" s="552">
        <f t="shared" si="1000"/>
        <v>0</v>
      </c>
      <c r="H1181" s="552">
        <f t="shared" si="1000"/>
        <v>0</v>
      </c>
      <c r="I1181" s="552">
        <f t="shared" si="1000"/>
        <v>65000</v>
      </c>
      <c r="J1181" s="552">
        <f t="shared" ref="J1181" si="1001">SUM(J1182,J1183,J1184,J1185)</f>
        <v>105000</v>
      </c>
      <c r="K1181" s="552">
        <f t="shared" ref="K1181" si="1002">SUM(K1182,K1183,K1184,K1185)</f>
        <v>155000</v>
      </c>
    </row>
    <row r="1182" spans="1:11" customFormat="1" ht="16.5" customHeight="1" x14ac:dyDescent="0.25">
      <c r="A1182" s="598">
        <v>4221</v>
      </c>
      <c r="B1182" s="599" t="s">
        <v>54</v>
      </c>
      <c r="C1182" s="528"/>
      <c r="D1182" s="528"/>
      <c r="E1182" s="528">
        <v>10000</v>
      </c>
      <c r="F1182" s="513">
        <f t="shared" ref="F1182" si="1003">C1182-D1182+E1182</f>
        <v>10000</v>
      </c>
      <c r="G1182" s="528"/>
      <c r="H1182" s="528"/>
      <c r="I1182" s="528">
        <v>50000</v>
      </c>
      <c r="J1182" s="528">
        <v>50000</v>
      </c>
      <c r="K1182" s="528">
        <v>100000</v>
      </c>
    </row>
    <row r="1183" spans="1:11" customFormat="1" ht="16.5" customHeight="1" x14ac:dyDescent="0.25">
      <c r="A1183" s="598">
        <v>4222</v>
      </c>
      <c r="B1183" s="599" t="s">
        <v>58</v>
      </c>
      <c r="C1183" s="528"/>
      <c r="D1183" s="528"/>
      <c r="E1183" s="528"/>
      <c r="F1183" s="513"/>
      <c r="G1183" s="528"/>
      <c r="H1183" s="528"/>
      <c r="I1183" s="528">
        <v>10000</v>
      </c>
      <c r="J1183" s="528">
        <v>50000</v>
      </c>
      <c r="K1183" s="528">
        <v>50000</v>
      </c>
    </row>
    <row r="1184" spans="1:11" customFormat="1" ht="16.5" customHeight="1" x14ac:dyDescent="0.25">
      <c r="A1184" s="598">
        <v>4223</v>
      </c>
      <c r="B1184" s="599" t="s">
        <v>59</v>
      </c>
      <c r="C1184" s="528"/>
      <c r="D1184" s="528"/>
      <c r="E1184" s="528"/>
      <c r="F1184" s="513"/>
      <c r="G1184" s="528"/>
      <c r="H1184" s="528"/>
      <c r="I1184" s="528"/>
      <c r="J1184" s="528"/>
      <c r="K1184" s="528"/>
    </row>
    <row r="1185" spans="1:14" customFormat="1" ht="16.5" customHeight="1" x14ac:dyDescent="0.25">
      <c r="A1185" s="598">
        <v>4227</v>
      </c>
      <c r="B1185" s="599" t="s">
        <v>60</v>
      </c>
      <c r="C1185" s="528"/>
      <c r="D1185" s="528"/>
      <c r="E1185" s="528"/>
      <c r="F1185" s="513"/>
      <c r="G1185" s="528"/>
      <c r="H1185" s="528"/>
      <c r="I1185" s="528">
        <v>5000</v>
      </c>
      <c r="J1185" s="528">
        <v>5000</v>
      </c>
      <c r="K1185" s="528">
        <v>5000</v>
      </c>
    </row>
    <row r="1186" spans="1:14" customFormat="1" ht="16.5" customHeight="1" x14ac:dyDescent="0.25">
      <c r="A1186" s="615">
        <v>423</v>
      </c>
      <c r="B1186" s="616" t="s">
        <v>61</v>
      </c>
      <c r="C1186" s="552">
        <f>SUM(C1187)</f>
        <v>0</v>
      </c>
      <c r="D1186" s="552">
        <f t="shared" ref="D1186:K1186" si="1004">SUM(D1187)</f>
        <v>0</v>
      </c>
      <c r="E1186" s="552">
        <f t="shared" si="1004"/>
        <v>0</v>
      </c>
      <c r="F1186" s="552">
        <f t="shared" si="1004"/>
        <v>0</v>
      </c>
      <c r="G1186" s="552">
        <f t="shared" si="1004"/>
        <v>0</v>
      </c>
      <c r="H1186" s="552">
        <f t="shared" si="1004"/>
        <v>0</v>
      </c>
      <c r="I1186" s="552">
        <f t="shared" si="1004"/>
        <v>0</v>
      </c>
      <c r="J1186" s="552">
        <f t="shared" si="1004"/>
        <v>500000</v>
      </c>
      <c r="K1186" s="552">
        <f t="shared" si="1004"/>
        <v>0</v>
      </c>
    </row>
    <row r="1187" spans="1:14" customFormat="1" ht="16.5" customHeight="1" x14ac:dyDescent="0.25">
      <c r="A1187" s="598">
        <v>4231</v>
      </c>
      <c r="B1187" s="599" t="s">
        <v>62</v>
      </c>
      <c r="C1187" s="528"/>
      <c r="D1187" s="528"/>
      <c r="E1187" s="528"/>
      <c r="F1187" s="513"/>
      <c r="G1187" s="528"/>
      <c r="H1187" s="528"/>
      <c r="I1187" s="528"/>
      <c r="J1187" s="528">
        <v>500000</v>
      </c>
      <c r="K1187" s="528"/>
    </row>
    <row r="1188" spans="1:14" customFormat="1" ht="16.5" customHeight="1" x14ac:dyDescent="0.25">
      <c r="A1188" s="615">
        <v>426</v>
      </c>
      <c r="B1188" s="616" t="s">
        <v>73</v>
      </c>
      <c r="C1188" s="552">
        <f t="shared" ref="C1188:K1188" si="1005">SUM(C1189)</f>
        <v>0</v>
      </c>
      <c r="D1188" s="552">
        <f t="shared" si="1005"/>
        <v>0</v>
      </c>
      <c r="E1188" s="552">
        <f t="shared" si="1005"/>
        <v>0</v>
      </c>
      <c r="F1188" s="552">
        <f t="shared" si="1005"/>
        <v>0</v>
      </c>
      <c r="G1188" s="552">
        <f t="shared" si="1005"/>
        <v>0</v>
      </c>
      <c r="H1188" s="552">
        <f t="shared" si="1005"/>
        <v>0</v>
      </c>
      <c r="I1188" s="552">
        <f t="shared" si="1005"/>
        <v>5000</v>
      </c>
      <c r="J1188" s="552">
        <f t="shared" si="1005"/>
        <v>5000</v>
      </c>
      <c r="K1188" s="552">
        <f t="shared" si="1005"/>
        <v>5000</v>
      </c>
    </row>
    <row r="1189" spans="1:14" customFormat="1" ht="16.5" customHeight="1" x14ac:dyDescent="0.25">
      <c r="A1189" s="598">
        <v>4262</v>
      </c>
      <c r="B1189" s="599" t="s">
        <v>88</v>
      </c>
      <c r="C1189" s="528"/>
      <c r="D1189" s="528"/>
      <c r="E1189" s="528"/>
      <c r="F1189" s="513"/>
      <c r="G1189" s="528"/>
      <c r="H1189" s="528"/>
      <c r="I1189" s="528">
        <v>5000</v>
      </c>
      <c r="J1189" s="528">
        <v>5000</v>
      </c>
      <c r="K1189" s="528">
        <v>5000</v>
      </c>
    </row>
    <row r="1190" spans="1:14" customFormat="1" ht="32.25" customHeight="1" x14ac:dyDescent="0.25">
      <c r="A1190" s="613">
        <v>45</v>
      </c>
      <c r="B1190" s="541" t="s">
        <v>333</v>
      </c>
      <c r="C1190" s="518">
        <f t="shared" ref="C1190:K1191" si="1006">SUM(C1191)</f>
        <v>0</v>
      </c>
      <c r="D1190" s="518">
        <f t="shared" si="1006"/>
        <v>0</v>
      </c>
      <c r="E1190" s="518">
        <f t="shared" si="1006"/>
        <v>200000</v>
      </c>
      <c r="F1190" s="518">
        <f t="shared" si="1006"/>
        <v>200000</v>
      </c>
      <c r="G1190" s="518">
        <f t="shared" si="1006"/>
        <v>0</v>
      </c>
      <c r="H1190" s="518">
        <f t="shared" si="1006"/>
        <v>0</v>
      </c>
      <c r="I1190" s="518">
        <f t="shared" si="1006"/>
        <v>0</v>
      </c>
      <c r="J1190" s="518">
        <f t="shared" si="1006"/>
        <v>20000</v>
      </c>
      <c r="K1190" s="518">
        <f t="shared" si="1006"/>
        <v>50000</v>
      </c>
    </row>
    <row r="1191" spans="1:14" customFormat="1" ht="16.5" customHeight="1" x14ac:dyDescent="0.25">
      <c r="A1191" s="615">
        <v>451</v>
      </c>
      <c r="B1191" s="616" t="s">
        <v>55</v>
      </c>
      <c r="C1191" s="552">
        <f t="shared" si="1006"/>
        <v>0</v>
      </c>
      <c r="D1191" s="552">
        <f t="shared" si="1006"/>
        <v>0</v>
      </c>
      <c r="E1191" s="552">
        <f t="shared" si="1006"/>
        <v>200000</v>
      </c>
      <c r="F1191" s="628">
        <f>SUM(F1192)</f>
        <v>200000</v>
      </c>
      <c r="G1191" s="552">
        <f t="shared" si="1006"/>
        <v>0</v>
      </c>
      <c r="H1191" s="552">
        <f t="shared" si="1006"/>
        <v>0</v>
      </c>
      <c r="I1191" s="552">
        <f t="shared" si="1006"/>
        <v>0</v>
      </c>
      <c r="J1191" s="552">
        <f t="shared" si="1006"/>
        <v>20000</v>
      </c>
      <c r="K1191" s="552">
        <f t="shared" si="1006"/>
        <v>50000</v>
      </c>
    </row>
    <row r="1192" spans="1:14" customFormat="1" ht="16.5" customHeight="1" x14ac:dyDescent="0.25">
      <c r="A1192" s="598">
        <v>4511</v>
      </c>
      <c r="B1192" s="599" t="s">
        <v>55</v>
      </c>
      <c r="C1192" s="528"/>
      <c r="D1192" s="528"/>
      <c r="E1192" s="528">
        <v>200000</v>
      </c>
      <c r="F1192" s="513">
        <f t="shared" ref="F1192" si="1007">C1192-D1192+E1192</f>
        <v>200000</v>
      </c>
      <c r="G1192" s="528"/>
      <c r="H1192" s="528"/>
      <c r="I1192" s="528"/>
      <c r="J1192" s="528">
        <v>20000</v>
      </c>
      <c r="K1192" s="528">
        <v>50000</v>
      </c>
    </row>
    <row r="1193" spans="1:14" customFormat="1" ht="29.25" customHeight="1" x14ac:dyDescent="0.25">
      <c r="A1193" s="573" t="s">
        <v>303</v>
      </c>
      <c r="B1193" s="562" t="s">
        <v>314</v>
      </c>
      <c r="C1193" s="617">
        <f>SUM(C1194,C1207)</f>
        <v>13125015</v>
      </c>
      <c r="D1193" s="617">
        <f t="shared" ref="D1193:F1193" si="1008">SUM(D1194,D1207)</f>
        <v>0</v>
      </c>
      <c r="E1193" s="617">
        <f t="shared" si="1008"/>
        <v>0</v>
      </c>
      <c r="F1193" s="617">
        <f t="shared" si="1008"/>
        <v>13125015</v>
      </c>
      <c r="G1193" s="617">
        <f t="shared" ref="G1193:H1193" si="1009">SUM(G1194,G1207)</f>
        <v>0</v>
      </c>
      <c r="H1193" s="617">
        <f t="shared" si="1009"/>
        <v>0</v>
      </c>
      <c r="I1193" s="617">
        <f t="shared" ref="I1193:J1193" si="1010">SUM(I1194,I1207)</f>
        <v>0</v>
      </c>
      <c r="J1193" s="617">
        <f t="shared" si="1010"/>
        <v>0</v>
      </c>
      <c r="K1193" s="617">
        <f t="shared" ref="K1193" si="1011">SUM(K1194,K1207)</f>
        <v>0</v>
      </c>
    </row>
    <row r="1194" spans="1:14" customFormat="1" ht="17.100000000000001" customHeight="1" x14ac:dyDescent="0.25">
      <c r="A1194" s="710" t="s">
        <v>309</v>
      </c>
      <c r="B1194" s="710"/>
      <c r="C1194" s="504">
        <f>SUM(C1195,C1199,C1204)</f>
        <v>1461544</v>
      </c>
      <c r="D1194" s="504">
        <f t="shared" ref="D1194:F1194" si="1012">SUM(D1195,D1199,D1204)</f>
        <v>0</v>
      </c>
      <c r="E1194" s="504">
        <f t="shared" si="1012"/>
        <v>0</v>
      </c>
      <c r="F1194" s="504">
        <f t="shared" si="1012"/>
        <v>1461544</v>
      </c>
      <c r="G1194" s="504">
        <f t="shared" ref="G1194:H1194" si="1013">SUM(G1195,G1199,G1204)</f>
        <v>0</v>
      </c>
      <c r="H1194" s="504">
        <f t="shared" si="1013"/>
        <v>0</v>
      </c>
      <c r="I1194" s="504">
        <f t="shared" ref="I1194:J1194" si="1014">SUM(I1195,I1199,I1204)</f>
        <v>0</v>
      </c>
      <c r="J1194" s="504">
        <f t="shared" si="1014"/>
        <v>0</v>
      </c>
      <c r="K1194" s="504">
        <f t="shared" ref="K1194" si="1015">SUM(K1195,K1199,K1204)</f>
        <v>0</v>
      </c>
      <c r="N1194" s="30"/>
    </row>
    <row r="1195" spans="1:14" customFormat="1" ht="27" customHeight="1" x14ac:dyDescent="0.25">
      <c r="A1195" s="505">
        <v>36</v>
      </c>
      <c r="B1195" s="517" t="s">
        <v>341</v>
      </c>
      <c r="C1195" s="549">
        <f>SUM(C1196)</f>
        <v>551000</v>
      </c>
      <c r="D1195" s="549">
        <f t="shared" ref="D1195:K1195" si="1016">SUM(D1196)</f>
        <v>0</v>
      </c>
      <c r="E1195" s="549">
        <f t="shared" si="1016"/>
        <v>0</v>
      </c>
      <c r="F1195" s="549">
        <f t="shared" si="1016"/>
        <v>551000</v>
      </c>
      <c r="G1195" s="549">
        <f t="shared" si="1016"/>
        <v>0</v>
      </c>
      <c r="H1195" s="549">
        <f t="shared" si="1016"/>
        <v>0</v>
      </c>
      <c r="I1195" s="549">
        <f t="shared" si="1016"/>
        <v>0</v>
      </c>
      <c r="J1195" s="549">
        <f t="shared" si="1016"/>
        <v>0</v>
      </c>
      <c r="K1195" s="549">
        <f t="shared" si="1016"/>
        <v>0</v>
      </c>
      <c r="N1195" s="30"/>
    </row>
    <row r="1196" spans="1:14" customFormat="1" ht="17.100000000000001" customHeight="1" x14ac:dyDescent="0.25">
      <c r="A1196" s="596">
        <v>368</v>
      </c>
      <c r="B1196" s="608" t="s">
        <v>312</v>
      </c>
      <c r="C1196" s="631">
        <f t="shared" ref="C1196:F1196" si="1017">SUM(C1197,C1198)</f>
        <v>551000</v>
      </c>
      <c r="D1196" s="631">
        <f t="shared" si="1017"/>
        <v>0</v>
      </c>
      <c r="E1196" s="631">
        <f t="shared" si="1017"/>
        <v>0</v>
      </c>
      <c r="F1196" s="631">
        <f t="shared" si="1017"/>
        <v>551000</v>
      </c>
      <c r="G1196" s="631">
        <f t="shared" ref="G1196:H1196" si="1018">SUM(G1197,G1198)</f>
        <v>0</v>
      </c>
      <c r="H1196" s="631">
        <f t="shared" si="1018"/>
        <v>0</v>
      </c>
      <c r="I1196" s="631">
        <f t="shared" ref="I1196:J1196" si="1019">SUM(I1197,I1198)</f>
        <v>0</v>
      </c>
      <c r="J1196" s="631">
        <f t="shared" si="1019"/>
        <v>0</v>
      </c>
      <c r="K1196" s="631">
        <f t="shared" ref="K1196" si="1020">SUM(K1197,K1198)</f>
        <v>0</v>
      </c>
      <c r="N1196" s="32"/>
    </row>
    <row r="1197" spans="1:14" customFormat="1" ht="17.100000000000001" customHeight="1" x14ac:dyDescent="0.25">
      <c r="A1197" s="531">
        <v>3681</v>
      </c>
      <c r="B1197" s="584" t="s">
        <v>310</v>
      </c>
      <c r="C1197" s="526">
        <v>500000</v>
      </c>
      <c r="D1197" s="526"/>
      <c r="E1197" s="526"/>
      <c r="F1197" s="513">
        <f t="shared" ref="F1197:F1203" si="1021">C1197-D1197+E1197</f>
        <v>500000</v>
      </c>
      <c r="G1197" s="526"/>
      <c r="H1197" s="526"/>
      <c r="I1197" s="526"/>
      <c r="J1197" s="526"/>
      <c r="K1197" s="526"/>
    </row>
    <row r="1198" spans="1:14" customFormat="1" ht="17.100000000000001" customHeight="1" x14ac:dyDescent="0.25">
      <c r="A1198" s="531">
        <v>3682</v>
      </c>
      <c r="B1198" s="584" t="s">
        <v>311</v>
      </c>
      <c r="C1198" s="526">
        <v>51000</v>
      </c>
      <c r="D1198" s="525"/>
      <c r="E1198" s="525"/>
      <c r="F1198" s="513">
        <f t="shared" si="1021"/>
        <v>51000</v>
      </c>
      <c r="G1198" s="525"/>
      <c r="H1198" s="525"/>
      <c r="I1198" s="525"/>
      <c r="J1198" s="525"/>
      <c r="K1198" s="525"/>
    </row>
    <row r="1199" spans="1:14" customFormat="1" ht="17.100000000000001" customHeight="1" x14ac:dyDescent="0.25">
      <c r="A1199" s="613">
        <v>38</v>
      </c>
      <c r="B1199" s="614" t="s">
        <v>321</v>
      </c>
      <c r="C1199" s="518">
        <f>SUM(C1200,C1202)</f>
        <v>200000</v>
      </c>
      <c r="D1199" s="518">
        <f t="shared" ref="D1199:F1199" si="1022">SUM(D1200,D1202)</f>
        <v>0</v>
      </c>
      <c r="E1199" s="518">
        <f t="shared" si="1022"/>
        <v>0</v>
      </c>
      <c r="F1199" s="518">
        <f t="shared" si="1022"/>
        <v>200000</v>
      </c>
      <c r="G1199" s="518">
        <f t="shared" ref="G1199:H1199" si="1023">SUM(G1200,G1202)</f>
        <v>0</v>
      </c>
      <c r="H1199" s="518">
        <f t="shared" si="1023"/>
        <v>0</v>
      </c>
      <c r="I1199" s="518">
        <f t="shared" ref="I1199:J1199" si="1024">SUM(I1200,I1202)</f>
        <v>0</v>
      </c>
      <c r="J1199" s="518">
        <f t="shared" si="1024"/>
        <v>0</v>
      </c>
      <c r="K1199" s="518">
        <f t="shared" ref="K1199" si="1025">SUM(K1200,K1202)</f>
        <v>0</v>
      </c>
    </row>
    <row r="1200" spans="1:14" customFormat="1" ht="17.100000000000001" customHeight="1" x14ac:dyDescent="0.25">
      <c r="A1200" s="596">
        <v>381</v>
      </c>
      <c r="B1200" s="608" t="s">
        <v>124</v>
      </c>
      <c r="C1200" s="631">
        <f t="shared" ref="C1200:K1205" si="1026">SUM(C1201)</f>
        <v>100000</v>
      </c>
      <c r="D1200" s="631">
        <f t="shared" si="1026"/>
        <v>0</v>
      </c>
      <c r="E1200" s="631">
        <f t="shared" si="1026"/>
        <v>0</v>
      </c>
      <c r="F1200" s="631">
        <f t="shared" si="1026"/>
        <v>100000</v>
      </c>
      <c r="G1200" s="631">
        <f t="shared" si="1026"/>
        <v>0</v>
      </c>
      <c r="H1200" s="631">
        <f t="shared" si="1026"/>
        <v>0</v>
      </c>
      <c r="I1200" s="631">
        <f t="shared" si="1026"/>
        <v>0</v>
      </c>
      <c r="J1200" s="631">
        <f t="shared" si="1026"/>
        <v>0</v>
      </c>
      <c r="K1200" s="631">
        <f t="shared" si="1026"/>
        <v>0</v>
      </c>
    </row>
    <row r="1201" spans="1:14" customFormat="1" ht="17.100000000000001" customHeight="1" x14ac:dyDescent="0.25">
      <c r="A1201" s="531">
        <v>3811</v>
      </c>
      <c r="B1201" s="584" t="s">
        <v>46</v>
      </c>
      <c r="C1201" s="526">
        <v>100000</v>
      </c>
      <c r="D1201" s="526"/>
      <c r="E1201" s="525"/>
      <c r="F1201" s="513">
        <f t="shared" si="1021"/>
        <v>100000</v>
      </c>
      <c r="G1201" s="525"/>
      <c r="H1201" s="525"/>
      <c r="I1201" s="525"/>
      <c r="J1201" s="525"/>
      <c r="K1201" s="525"/>
      <c r="N1201" s="30"/>
    </row>
    <row r="1202" spans="1:14" customFormat="1" ht="17.100000000000001" customHeight="1" x14ac:dyDescent="0.25">
      <c r="A1202" s="596">
        <v>382</v>
      </c>
      <c r="B1202" s="608" t="s">
        <v>211</v>
      </c>
      <c r="C1202" s="631">
        <f t="shared" si="1026"/>
        <v>100000</v>
      </c>
      <c r="D1202" s="631">
        <f t="shared" si="1026"/>
        <v>0</v>
      </c>
      <c r="E1202" s="631">
        <f t="shared" si="1026"/>
        <v>0</v>
      </c>
      <c r="F1202" s="631">
        <f t="shared" si="1026"/>
        <v>100000</v>
      </c>
      <c r="G1202" s="631">
        <f t="shared" si="1026"/>
        <v>0</v>
      </c>
      <c r="H1202" s="631">
        <f t="shared" si="1026"/>
        <v>0</v>
      </c>
      <c r="I1202" s="631">
        <f t="shared" si="1026"/>
        <v>0</v>
      </c>
      <c r="J1202" s="631">
        <f t="shared" si="1026"/>
        <v>0</v>
      </c>
      <c r="K1202" s="631">
        <f t="shared" si="1026"/>
        <v>0</v>
      </c>
    </row>
    <row r="1203" spans="1:14" customFormat="1" ht="17.100000000000001" customHeight="1" x14ac:dyDescent="0.25">
      <c r="A1203" s="531">
        <v>3821</v>
      </c>
      <c r="B1203" s="584" t="s">
        <v>130</v>
      </c>
      <c r="C1203" s="526">
        <v>100000</v>
      </c>
      <c r="D1203" s="526"/>
      <c r="E1203" s="525"/>
      <c r="F1203" s="513">
        <f t="shared" si="1021"/>
        <v>100000</v>
      </c>
      <c r="G1203" s="525"/>
      <c r="H1203" s="525"/>
      <c r="I1203" s="525"/>
      <c r="J1203" s="525"/>
      <c r="K1203" s="525"/>
    </row>
    <row r="1204" spans="1:14" customFormat="1" ht="25.5" x14ac:dyDescent="0.25">
      <c r="A1204" s="613">
        <v>45</v>
      </c>
      <c r="B1204" s="541" t="s">
        <v>333</v>
      </c>
      <c r="C1204" s="518">
        <f>SUM(C1205)</f>
        <v>710544</v>
      </c>
      <c r="D1204" s="518">
        <f t="shared" ref="D1204:K1204" si="1027">SUM(D1205)</f>
        <v>0</v>
      </c>
      <c r="E1204" s="518">
        <f t="shared" si="1027"/>
        <v>0</v>
      </c>
      <c r="F1204" s="518">
        <f t="shared" si="1027"/>
        <v>710544</v>
      </c>
      <c r="G1204" s="518">
        <f t="shared" si="1027"/>
        <v>0</v>
      </c>
      <c r="H1204" s="518">
        <f t="shared" si="1027"/>
        <v>0</v>
      </c>
      <c r="I1204" s="518">
        <f t="shared" si="1027"/>
        <v>0</v>
      </c>
      <c r="J1204" s="518">
        <f t="shared" si="1027"/>
        <v>0</v>
      </c>
      <c r="K1204" s="518">
        <f t="shared" si="1027"/>
        <v>0</v>
      </c>
    </row>
    <row r="1205" spans="1:14" customFormat="1" ht="15" customHeight="1" x14ac:dyDescent="0.25">
      <c r="A1205" s="601">
        <v>451</v>
      </c>
      <c r="B1205" s="578" t="s">
        <v>55</v>
      </c>
      <c r="C1205" s="631">
        <f t="shared" si="1026"/>
        <v>710544</v>
      </c>
      <c r="D1205" s="631">
        <f t="shared" si="1026"/>
        <v>0</v>
      </c>
      <c r="E1205" s="631">
        <f t="shared" si="1026"/>
        <v>0</v>
      </c>
      <c r="F1205" s="631">
        <f t="shared" si="1026"/>
        <v>710544</v>
      </c>
      <c r="G1205" s="631">
        <f t="shared" si="1026"/>
        <v>0</v>
      </c>
      <c r="H1205" s="631">
        <f t="shared" si="1026"/>
        <v>0</v>
      </c>
      <c r="I1205" s="631">
        <f t="shared" si="1026"/>
        <v>0</v>
      </c>
      <c r="J1205" s="631">
        <f t="shared" si="1026"/>
        <v>0</v>
      </c>
      <c r="K1205" s="631">
        <f t="shared" si="1026"/>
        <v>0</v>
      </c>
    </row>
    <row r="1206" spans="1:14" customFormat="1" ht="15" customHeight="1" x14ac:dyDescent="0.25">
      <c r="A1206" s="580">
        <v>4511</v>
      </c>
      <c r="B1206" s="632" t="s">
        <v>55</v>
      </c>
      <c r="C1206" s="609">
        <v>710544</v>
      </c>
      <c r="D1206" s="609"/>
      <c r="E1206" s="609"/>
      <c r="F1206" s="513">
        <f t="shared" ref="F1206" si="1028">C1206-D1206+E1206</f>
        <v>710544</v>
      </c>
      <c r="G1206" s="609"/>
      <c r="H1206" s="609"/>
      <c r="I1206" s="609"/>
      <c r="J1206" s="609"/>
      <c r="K1206" s="609"/>
    </row>
    <row r="1207" spans="1:14" customFormat="1" ht="15" customHeight="1" x14ac:dyDescent="0.25">
      <c r="A1207" s="710" t="s">
        <v>315</v>
      </c>
      <c r="B1207" s="710"/>
      <c r="C1207" s="504">
        <f>SUM(C1208,C1212,)</f>
        <v>11663471</v>
      </c>
      <c r="D1207" s="504">
        <f t="shared" ref="D1207:K1207" si="1029">SUM(D1208,D1212,)</f>
        <v>0</v>
      </c>
      <c r="E1207" s="504">
        <f t="shared" si="1029"/>
        <v>0</v>
      </c>
      <c r="F1207" s="504">
        <f t="shared" si="1029"/>
        <v>11663471</v>
      </c>
      <c r="G1207" s="504">
        <f t="shared" si="1029"/>
        <v>0</v>
      </c>
      <c r="H1207" s="504">
        <f t="shared" si="1029"/>
        <v>0</v>
      </c>
      <c r="I1207" s="504">
        <f t="shared" si="1029"/>
        <v>0</v>
      </c>
      <c r="J1207" s="504">
        <f t="shared" si="1029"/>
        <v>0</v>
      </c>
      <c r="K1207" s="504">
        <f t="shared" si="1029"/>
        <v>0</v>
      </c>
    </row>
    <row r="1208" spans="1:14" customFormat="1" ht="24" customHeight="1" x14ac:dyDescent="0.25">
      <c r="A1208" s="505">
        <v>36</v>
      </c>
      <c r="B1208" s="517" t="s">
        <v>341</v>
      </c>
      <c r="C1208" s="549">
        <f t="shared" ref="C1208:K1208" si="1030">SUM(C1209)</f>
        <v>2529471</v>
      </c>
      <c r="D1208" s="549">
        <f t="shared" si="1030"/>
        <v>0</v>
      </c>
      <c r="E1208" s="549">
        <f t="shared" si="1030"/>
        <v>0</v>
      </c>
      <c r="F1208" s="549">
        <f t="shared" si="1030"/>
        <v>2529471</v>
      </c>
      <c r="G1208" s="549">
        <f t="shared" si="1030"/>
        <v>0</v>
      </c>
      <c r="H1208" s="549">
        <f t="shared" si="1030"/>
        <v>0</v>
      </c>
      <c r="I1208" s="549">
        <f t="shared" si="1030"/>
        <v>0</v>
      </c>
      <c r="J1208" s="549">
        <f t="shared" si="1030"/>
        <v>0</v>
      </c>
      <c r="K1208" s="549">
        <f t="shared" si="1030"/>
        <v>0</v>
      </c>
    </row>
    <row r="1209" spans="1:14" customFormat="1" ht="15" customHeight="1" x14ac:dyDescent="0.25">
      <c r="A1209" s="596">
        <v>368</v>
      </c>
      <c r="B1209" s="608" t="s">
        <v>312</v>
      </c>
      <c r="C1209" s="631">
        <f t="shared" ref="C1209:F1209" si="1031">SUM(C1210,C1211)</f>
        <v>2529471</v>
      </c>
      <c r="D1209" s="631">
        <f t="shared" si="1031"/>
        <v>0</v>
      </c>
      <c r="E1209" s="631">
        <f t="shared" si="1031"/>
        <v>0</v>
      </c>
      <c r="F1209" s="631">
        <f t="shared" si="1031"/>
        <v>2529471</v>
      </c>
      <c r="G1209" s="631">
        <f t="shared" ref="G1209:H1209" si="1032">SUM(G1210,G1211)</f>
        <v>0</v>
      </c>
      <c r="H1209" s="631">
        <f t="shared" si="1032"/>
        <v>0</v>
      </c>
      <c r="I1209" s="631">
        <f t="shared" ref="I1209:J1209" si="1033">SUM(I1210,I1211)</f>
        <v>0</v>
      </c>
      <c r="J1209" s="631">
        <f t="shared" si="1033"/>
        <v>0</v>
      </c>
      <c r="K1209" s="631">
        <f t="shared" ref="K1209" si="1034">SUM(K1210,K1211)</f>
        <v>0</v>
      </c>
    </row>
    <row r="1210" spans="1:14" customFormat="1" ht="15" customHeight="1" x14ac:dyDescent="0.25">
      <c r="A1210" s="531">
        <v>3681</v>
      </c>
      <c r="B1210" s="584" t="s">
        <v>310</v>
      </c>
      <c r="C1210" s="526">
        <v>1011471</v>
      </c>
      <c r="D1210" s="526"/>
      <c r="E1210" s="525"/>
      <c r="F1210" s="513">
        <f t="shared" ref="F1210" si="1035">C1210-D1210+E1210</f>
        <v>1011471</v>
      </c>
      <c r="G1210" s="525"/>
      <c r="H1210" s="525"/>
      <c r="I1210" s="525"/>
      <c r="J1210" s="525"/>
      <c r="K1210" s="525"/>
    </row>
    <row r="1211" spans="1:14" customFormat="1" ht="15" customHeight="1" x14ac:dyDescent="0.25">
      <c r="A1211" s="531">
        <v>3682</v>
      </c>
      <c r="B1211" s="584" t="s">
        <v>311</v>
      </c>
      <c r="C1211" s="526">
        <v>1518000</v>
      </c>
      <c r="D1211" s="526"/>
      <c r="E1211" s="525"/>
      <c r="F1211" s="513">
        <f t="shared" ref="F1211" si="1036">C1211-D1211+E1211</f>
        <v>1518000</v>
      </c>
      <c r="G1211" s="525"/>
      <c r="H1211" s="525"/>
      <c r="I1211" s="525"/>
      <c r="J1211" s="525"/>
      <c r="K1211" s="525"/>
    </row>
    <row r="1212" spans="1:14" customFormat="1" ht="15" x14ac:dyDescent="0.25">
      <c r="A1212" s="613">
        <v>38</v>
      </c>
      <c r="B1212" s="614" t="s">
        <v>321</v>
      </c>
      <c r="C1212" s="518">
        <f>SUM(C1213,C1215)</f>
        <v>9134000</v>
      </c>
      <c r="D1212" s="518">
        <f t="shared" ref="D1212:F1212" si="1037">SUM(D1213,D1215)</f>
        <v>0</v>
      </c>
      <c r="E1212" s="518">
        <f t="shared" si="1037"/>
        <v>0</v>
      </c>
      <c r="F1212" s="518">
        <f t="shared" si="1037"/>
        <v>9134000</v>
      </c>
      <c r="G1212" s="518">
        <f t="shared" ref="G1212:H1212" si="1038">SUM(G1213,G1215)</f>
        <v>0</v>
      </c>
      <c r="H1212" s="518">
        <f t="shared" si="1038"/>
        <v>0</v>
      </c>
      <c r="I1212" s="518">
        <f t="shared" ref="I1212:J1212" si="1039">SUM(I1213,I1215)</f>
        <v>0</v>
      </c>
      <c r="J1212" s="518">
        <f t="shared" si="1039"/>
        <v>0</v>
      </c>
      <c r="K1212" s="518">
        <f t="shared" ref="K1212" si="1040">SUM(K1213,K1215)</f>
        <v>0</v>
      </c>
    </row>
    <row r="1213" spans="1:14" customFormat="1" ht="15.75" customHeight="1" x14ac:dyDescent="0.25">
      <c r="A1213" s="596">
        <v>381</v>
      </c>
      <c r="B1213" s="608" t="s">
        <v>124</v>
      </c>
      <c r="C1213" s="631">
        <f t="shared" ref="C1213:K1213" si="1041">SUM(C1214)</f>
        <v>6557000</v>
      </c>
      <c r="D1213" s="631">
        <f t="shared" si="1041"/>
        <v>0</v>
      </c>
      <c r="E1213" s="631">
        <f t="shared" si="1041"/>
        <v>0</v>
      </c>
      <c r="F1213" s="631">
        <f t="shared" si="1041"/>
        <v>6557000</v>
      </c>
      <c r="G1213" s="631">
        <f t="shared" si="1041"/>
        <v>0</v>
      </c>
      <c r="H1213" s="631">
        <f t="shared" si="1041"/>
        <v>0</v>
      </c>
      <c r="I1213" s="631">
        <f t="shared" si="1041"/>
        <v>0</v>
      </c>
      <c r="J1213" s="631">
        <f t="shared" si="1041"/>
        <v>0</v>
      </c>
      <c r="K1213" s="631">
        <f t="shared" si="1041"/>
        <v>0</v>
      </c>
    </row>
    <row r="1214" spans="1:14" customFormat="1" ht="15" x14ac:dyDescent="0.25">
      <c r="A1214" s="531">
        <v>3811</v>
      </c>
      <c r="B1214" s="584" t="s">
        <v>46</v>
      </c>
      <c r="C1214" s="526">
        <v>6557000</v>
      </c>
      <c r="D1214" s="526"/>
      <c r="E1214" s="526"/>
      <c r="F1214" s="513">
        <f t="shared" ref="F1214:F1216" si="1042">C1214-D1214+E1214</f>
        <v>6557000</v>
      </c>
      <c r="G1214" s="526"/>
      <c r="H1214" s="526"/>
      <c r="I1214" s="526"/>
      <c r="J1214" s="526"/>
      <c r="K1214" s="526"/>
    </row>
    <row r="1215" spans="1:14" customFormat="1" ht="15" x14ac:dyDescent="0.25">
      <c r="A1215" s="596">
        <v>382</v>
      </c>
      <c r="B1215" s="608" t="s">
        <v>211</v>
      </c>
      <c r="C1215" s="631">
        <f t="shared" ref="C1215:K1215" si="1043">SUM(C1216)</f>
        <v>2577000</v>
      </c>
      <c r="D1215" s="631">
        <f t="shared" si="1043"/>
        <v>0</v>
      </c>
      <c r="E1215" s="631">
        <f t="shared" si="1043"/>
        <v>0</v>
      </c>
      <c r="F1215" s="631">
        <f t="shared" si="1043"/>
        <v>2577000</v>
      </c>
      <c r="G1215" s="631">
        <f t="shared" si="1043"/>
        <v>0</v>
      </c>
      <c r="H1215" s="631">
        <f t="shared" si="1043"/>
        <v>0</v>
      </c>
      <c r="I1215" s="631">
        <f t="shared" si="1043"/>
        <v>0</v>
      </c>
      <c r="J1215" s="631">
        <f t="shared" si="1043"/>
        <v>0</v>
      </c>
      <c r="K1215" s="631">
        <f t="shared" si="1043"/>
        <v>0</v>
      </c>
    </row>
    <row r="1216" spans="1:14" customFormat="1" ht="15" x14ac:dyDescent="0.25">
      <c r="A1216" s="531">
        <v>3821</v>
      </c>
      <c r="B1216" s="584" t="s">
        <v>130</v>
      </c>
      <c r="C1216" s="526">
        <v>2577000</v>
      </c>
      <c r="D1216" s="526"/>
      <c r="E1216" s="525"/>
      <c r="F1216" s="513">
        <f t="shared" si="1042"/>
        <v>2577000</v>
      </c>
      <c r="G1216" s="525"/>
      <c r="H1216" s="525"/>
      <c r="I1216" s="525"/>
      <c r="J1216" s="525"/>
      <c r="K1216" s="525"/>
    </row>
    <row r="1217" spans="1:11" customFormat="1" ht="25.5" hidden="1" x14ac:dyDescent="0.25">
      <c r="A1217" s="601">
        <v>451</v>
      </c>
      <c r="B1217" s="578" t="s">
        <v>55</v>
      </c>
      <c r="C1217" s="631">
        <f t="shared" ref="C1217:K1217" si="1044">SUM(C1218)</f>
        <v>0</v>
      </c>
      <c r="D1217" s="631">
        <f t="shared" si="1044"/>
        <v>0</v>
      </c>
      <c r="E1217" s="631">
        <f t="shared" si="1044"/>
        <v>0</v>
      </c>
      <c r="F1217" s="631">
        <f t="shared" si="1044"/>
        <v>0</v>
      </c>
      <c r="G1217" s="631">
        <f t="shared" si="1044"/>
        <v>0</v>
      </c>
      <c r="H1217" s="631">
        <f t="shared" si="1044"/>
        <v>0</v>
      </c>
      <c r="I1217" s="631">
        <f t="shared" si="1044"/>
        <v>0</v>
      </c>
      <c r="J1217" s="631">
        <f t="shared" si="1044"/>
        <v>0</v>
      </c>
      <c r="K1217" s="631">
        <f t="shared" si="1044"/>
        <v>0</v>
      </c>
    </row>
    <row r="1218" spans="1:11" s="10" customFormat="1" ht="25.5" hidden="1" x14ac:dyDescent="0.25">
      <c r="A1218" s="580">
        <v>4511</v>
      </c>
      <c r="B1218" s="632" t="s">
        <v>55</v>
      </c>
      <c r="C1218" s="609"/>
      <c r="D1218" s="609"/>
      <c r="E1218" s="609"/>
      <c r="F1218" s="513">
        <f t="shared" ref="F1218" si="1045">C1218-D1218+E1218</f>
        <v>0</v>
      </c>
      <c r="G1218" s="609"/>
      <c r="H1218" s="609"/>
      <c r="I1218" s="609"/>
      <c r="J1218" s="609"/>
      <c r="K1218" s="609"/>
    </row>
    <row r="1219" spans="1:11" s="10" customFormat="1" ht="25.5" customHeight="1" x14ac:dyDescent="0.25">
      <c r="A1219" s="573" t="s">
        <v>304</v>
      </c>
      <c r="B1219" s="562" t="s">
        <v>302</v>
      </c>
      <c r="C1219" s="617">
        <f t="shared" ref="C1219:K1219" si="1046">SUM(C1220)</f>
        <v>7473000</v>
      </c>
      <c r="D1219" s="617">
        <f t="shared" si="1046"/>
        <v>0</v>
      </c>
      <c r="E1219" s="617">
        <f t="shared" si="1046"/>
        <v>0</v>
      </c>
      <c r="F1219" s="617">
        <f>SUM(F1220)</f>
        <v>7473000</v>
      </c>
      <c r="G1219" s="617">
        <f t="shared" si="1046"/>
        <v>2813000</v>
      </c>
      <c r="H1219" s="617">
        <f t="shared" si="1046"/>
        <v>85000</v>
      </c>
      <c r="I1219" s="617">
        <f t="shared" si="1046"/>
        <v>1699000</v>
      </c>
      <c r="J1219" s="617">
        <f t="shared" si="1046"/>
        <v>879000</v>
      </c>
      <c r="K1219" s="617">
        <f t="shared" si="1046"/>
        <v>0</v>
      </c>
    </row>
    <row r="1220" spans="1:11" s="10" customFormat="1" ht="15" x14ac:dyDescent="0.25">
      <c r="A1220" s="710" t="s">
        <v>306</v>
      </c>
      <c r="B1220" s="710"/>
      <c r="C1220" s="504">
        <f>C1231+C1235+C1240</f>
        <v>7473000</v>
      </c>
      <c r="D1220" s="504">
        <f>SUM(D1223,D1235,D1240)</f>
        <v>0</v>
      </c>
      <c r="E1220" s="504">
        <f>E1231+E1235+E1240</f>
        <v>0</v>
      </c>
      <c r="F1220" s="504">
        <f t="shared" ref="F1220:K1220" si="1047">SUM(F1223,F1235,F1240)</f>
        <v>7473000</v>
      </c>
      <c r="G1220" s="504">
        <f t="shared" si="1047"/>
        <v>2813000</v>
      </c>
      <c r="H1220" s="504">
        <f t="shared" si="1047"/>
        <v>85000</v>
      </c>
      <c r="I1220" s="504">
        <f t="shared" si="1047"/>
        <v>1699000</v>
      </c>
      <c r="J1220" s="504">
        <f t="shared" si="1047"/>
        <v>879000</v>
      </c>
      <c r="K1220" s="504">
        <f t="shared" si="1047"/>
        <v>0</v>
      </c>
    </row>
    <row r="1221" spans="1:11" s="10" customFormat="1" ht="15" hidden="1" customHeight="1" x14ac:dyDescent="0.25">
      <c r="A1221" s="508">
        <v>321</v>
      </c>
      <c r="B1221" s="509" t="s">
        <v>12</v>
      </c>
      <c r="C1221" s="525">
        <f t="shared" ref="C1221:K1221" si="1048">SUM(C1222)</f>
        <v>0</v>
      </c>
      <c r="D1221" s="525">
        <f t="shared" si="1048"/>
        <v>0</v>
      </c>
      <c r="E1221" s="525">
        <f t="shared" si="1048"/>
        <v>0</v>
      </c>
      <c r="F1221" s="525">
        <f t="shared" si="1048"/>
        <v>0</v>
      </c>
      <c r="G1221" s="525">
        <f t="shared" si="1048"/>
        <v>0</v>
      </c>
      <c r="H1221" s="525">
        <f t="shared" si="1048"/>
        <v>0</v>
      </c>
      <c r="I1221" s="525">
        <f t="shared" si="1048"/>
        <v>0</v>
      </c>
      <c r="J1221" s="525">
        <f t="shared" si="1048"/>
        <v>0</v>
      </c>
      <c r="K1221" s="525">
        <f t="shared" si="1048"/>
        <v>0</v>
      </c>
    </row>
    <row r="1222" spans="1:11" s="10" customFormat="1" ht="15" hidden="1" x14ac:dyDescent="0.25">
      <c r="A1222" s="511">
        <v>3213</v>
      </c>
      <c r="B1222" s="512" t="s">
        <v>15</v>
      </c>
      <c r="C1222" s="526"/>
      <c r="D1222" s="526"/>
      <c r="E1222" s="526"/>
      <c r="F1222" s="526"/>
      <c r="G1222" s="526"/>
      <c r="H1222" s="526"/>
      <c r="I1222" s="526"/>
      <c r="J1222" s="526"/>
      <c r="K1222" s="526"/>
    </row>
    <row r="1223" spans="1:11" s="10" customFormat="1" ht="15" hidden="1" x14ac:dyDescent="0.25">
      <c r="A1223" s="633">
        <v>32</v>
      </c>
      <c r="B1223" s="634" t="s">
        <v>325</v>
      </c>
      <c r="C1223" s="582">
        <f>SUM(C1224)</f>
        <v>40000</v>
      </c>
      <c r="D1223" s="582">
        <f t="shared" ref="D1223:K1223" si="1049">SUM(D1224)</f>
        <v>0</v>
      </c>
      <c r="E1223" s="582">
        <f t="shared" si="1049"/>
        <v>50000</v>
      </c>
      <c r="F1223" s="582">
        <f t="shared" si="1049"/>
        <v>90000</v>
      </c>
      <c r="G1223" s="582">
        <f t="shared" si="1049"/>
        <v>66000</v>
      </c>
      <c r="H1223" s="582">
        <f t="shared" si="1049"/>
        <v>85000</v>
      </c>
      <c r="I1223" s="582">
        <f t="shared" si="1049"/>
        <v>390000</v>
      </c>
      <c r="J1223" s="582">
        <f t="shared" si="1049"/>
        <v>702000</v>
      </c>
      <c r="K1223" s="582">
        <f t="shared" si="1049"/>
        <v>0</v>
      </c>
    </row>
    <row r="1224" spans="1:11" s="10" customFormat="1" ht="15" hidden="1" x14ac:dyDescent="0.25">
      <c r="A1224" s="596">
        <v>323</v>
      </c>
      <c r="B1224" s="603" t="s">
        <v>23</v>
      </c>
      <c r="C1224" s="533">
        <f t="shared" ref="C1224:F1224" si="1050">SUM(C1225,C1226,C1227)</f>
        <v>40000</v>
      </c>
      <c r="D1224" s="533">
        <f t="shared" si="1050"/>
        <v>0</v>
      </c>
      <c r="E1224" s="533">
        <f t="shared" si="1050"/>
        <v>50000</v>
      </c>
      <c r="F1224" s="533">
        <f t="shared" si="1050"/>
        <v>90000</v>
      </c>
      <c r="G1224" s="533">
        <f t="shared" ref="G1224:H1224" si="1051">SUM(G1225,G1226,G1227)</f>
        <v>66000</v>
      </c>
      <c r="H1224" s="533">
        <f t="shared" si="1051"/>
        <v>85000</v>
      </c>
      <c r="I1224" s="533">
        <f t="shared" ref="I1224:K1224" si="1052">SUM(I1225,I1226,I1227)</f>
        <v>390000</v>
      </c>
      <c r="J1224" s="533">
        <f t="shared" si="1052"/>
        <v>702000</v>
      </c>
      <c r="K1224" s="533">
        <f t="shared" si="1052"/>
        <v>0</v>
      </c>
    </row>
    <row r="1225" spans="1:11" s="10" customFormat="1" ht="39.75" hidden="1" customHeight="1" x14ac:dyDescent="0.25">
      <c r="A1225" s="511">
        <v>3233</v>
      </c>
      <c r="B1225" s="512" t="s">
        <v>26</v>
      </c>
      <c r="C1225" s="522"/>
      <c r="D1225" s="522"/>
      <c r="E1225" s="522">
        <v>50000</v>
      </c>
      <c r="F1225" s="522">
        <f t="shared" ref="F1225" si="1053">C1225-D1225+E1225</f>
        <v>50000</v>
      </c>
      <c r="G1225" s="522"/>
      <c r="H1225" s="522"/>
      <c r="I1225" s="522"/>
      <c r="J1225" s="522"/>
      <c r="K1225" s="522"/>
    </row>
    <row r="1226" spans="1:11" customFormat="1" ht="15" hidden="1" x14ac:dyDescent="0.25">
      <c r="A1226" s="531">
        <v>3237</v>
      </c>
      <c r="B1226" s="532" t="s">
        <v>30</v>
      </c>
      <c r="C1226" s="522">
        <v>40000</v>
      </c>
      <c r="D1226" s="522"/>
      <c r="E1226" s="522"/>
      <c r="F1226" s="513">
        <f>C1226-D1226+E1226</f>
        <v>40000</v>
      </c>
      <c r="G1226" s="522">
        <v>66000</v>
      </c>
      <c r="H1226" s="522">
        <v>85000</v>
      </c>
      <c r="I1226" s="522">
        <v>390000</v>
      </c>
      <c r="J1226" s="522">
        <v>702000</v>
      </c>
      <c r="K1226" s="522"/>
    </row>
    <row r="1227" spans="1:11" customFormat="1" ht="15" hidden="1" x14ac:dyDescent="0.25">
      <c r="A1227" s="531">
        <v>3238</v>
      </c>
      <c r="B1227" s="532" t="s">
        <v>70</v>
      </c>
      <c r="C1227" s="522"/>
      <c r="D1227" s="522"/>
      <c r="E1227" s="522"/>
      <c r="F1227" s="522"/>
      <c r="G1227" s="522"/>
      <c r="H1227" s="522"/>
      <c r="I1227" s="522"/>
      <c r="J1227" s="522"/>
      <c r="K1227" s="522"/>
    </row>
    <row r="1228" spans="1:11" customFormat="1" ht="13.5" hidden="1" customHeight="1" x14ac:dyDescent="0.25">
      <c r="A1228" s="531"/>
      <c r="B1228" s="532"/>
      <c r="C1228" s="522"/>
      <c r="D1228" s="522"/>
      <c r="E1228" s="522"/>
      <c r="F1228" s="522"/>
      <c r="G1228" s="522"/>
      <c r="H1228" s="522"/>
      <c r="I1228" s="522"/>
      <c r="J1228" s="522"/>
      <c r="K1228" s="522"/>
    </row>
    <row r="1229" spans="1:11" customFormat="1" ht="12.75" hidden="1" customHeight="1" x14ac:dyDescent="0.25">
      <c r="A1229" s="596">
        <v>353</v>
      </c>
      <c r="B1229" s="635" t="s">
        <v>235</v>
      </c>
      <c r="C1229" s="533">
        <f t="shared" ref="C1229:D1229" si="1054">SUM(C1230)</f>
        <v>0</v>
      </c>
      <c r="D1229" s="533">
        <f t="shared" si="1054"/>
        <v>0</v>
      </c>
      <c r="E1229" s="533"/>
      <c r="F1229" s="533"/>
      <c r="G1229" s="533"/>
      <c r="H1229" s="533"/>
      <c r="I1229" s="533"/>
      <c r="J1229" s="533"/>
      <c r="K1229" s="533"/>
    </row>
    <row r="1230" spans="1:11" customFormat="1" ht="1.5" hidden="1" customHeight="1" x14ac:dyDescent="0.25">
      <c r="A1230" s="531">
        <v>3531</v>
      </c>
      <c r="B1230" s="636" t="s">
        <v>235</v>
      </c>
      <c r="C1230" s="522"/>
      <c r="D1230" s="522"/>
      <c r="E1230" s="522"/>
      <c r="F1230" s="522"/>
      <c r="G1230" s="522"/>
      <c r="H1230" s="522"/>
      <c r="I1230" s="522"/>
      <c r="J1230" s="522"/>
      <c r="K1230" s="522"/>
    </row>
    <row r="1231" spans="1:11" s="10" customFormat="1" ht="15" x14ac:dyDescent="0.25">
      <c r="A1231" s="637">
        <v>32</v>
      </c>
      <c r="B1231" s="638" t="s">
        <v>325</v>
      </c>
      <c r="C1231" s="639">
        <f>SUM(C1232)</f>
        <v>90000</v>
      </c>
      <c r="D1231" s="639">
        <f t="shared" ref="D1231:K1231" si="1055">SUM(D1235,D1237,D1239)</f>
        <v>0</v>
      </c>
      <c r="E1231" s="639">
        <f t="shared" si="1055"/>
        <v>0</v>
      </c>
      <c r="F1231" s="639">
        <f>F1232</f>
        <v>90000</v>
      </c>
      <c r="G1231" s="639">
        <f t="shared" si="1055"/>
        <v>796000</v>
      </c>
      <c r="H1231" s="639">
        <f t="shared" si="1055"/>
        <v>0</v>
      </c>
      <c r="I1231" s="639">
        <f t="shared" si="1055"/>
        <v>2618000</v>
      </c>
      <c r="J1231" s="639">
        <f t="shared" si="1055"/>
        <v>354000</v>
      </c>
      <c r="K1231" s="639">
        <f t="shared" si="1055"/>
        <v>0</v>
      </c>
    </row>
    <row r="1232" spans="1:11" s="10" customFormat="1" ht="15" x14ac:dyDescent="0.25">
      <c r="A1232" s="596">
        <v>323</v>
      </c>
      <c r="B1232" s="603" t="s">
        <v>23</v>
      </c>
      <c r="C1232" s="640">
        <f>SUM(C1233:C1234)</f>
        <v>90000</v>
      </c>
      <c r="D1232" s="640"/>
      <c r="E1232" s="640"/>
      <c r="F1232" s="640">
        <f>SUM(F1233:F1234)</f>
        <v>90000</v>
      </c>
      <c r="G1232" s="640"/>
      <c r="H1232" s="640"/>
      <c r="I1232" s="640"/>
      <c r="J1232" s="640"/>
      <c r="K1232" s="640"/>
    </row>
    <row r="1233" spans="1:13" s="10" customFormat="1" ht="15" x14ac:dyDescent="0.25">
      <c r="A1233" s="598">
        <v>3233</v>
      </c>
      <c r="B1233" s="599" t="s">
        <v>26</v>
      </c>
      <c r="C1233" s="641">
        <v>50000</v>
      </c>
      <c r="D1233" s="641"/>
      <c r="E1233" s="641"/>
      <c r="F1233" s="513">
        <f t="shared" ref="F1233:F1234" si="1056">C1233-D1233+E1233</f>
        <v>50000</v>
      </c>
      <c r="G1233" s="641"/>
      <c r="H1233" s="641"/>
      <c r="I1233" s="641"/>
      <c r="J1233" s="641"/>
      <c r="K1233" s="641"/>
    </row>
    <row r="1234" spans="1:13" s="10" customFormat="1" ht="15" x14ac:dyDescent="0.25">
      <c r="A1234" s="531">
        <v>3237</v>
      </c>
      <c r="B1234" s="532" t="s">
        <v>30</v>
      </c>
      <c r="C1234" s="641">
        <v>40000</v>
      </c>
      <c r="D1234" s="641"/>
      <c r="E1234" s="641"/>
      <c r="F1234" s="513">
        <f t="shared" si="1056"/>
        <v>40000</v>
      </c>
      <c r="G1234" s="641"/>
      <c r="H1234" s="641"/>
      <c r="I1234" s="641">
        <v>390000</v>
      </c>
      <c r="J1234" s="641">
        <v>702000</v>
      </c>
      <c r="K1234" s="641"/>
    </row>
    <row r="1235" spans="1:13" s="10" customFormat="1" ht="25.5" x14ac:dyDescent="0.25">
      <c r="A1235" s="613">
        <v>42</v>
      </c>
      <c r="B1235" s="517" t="s">
        <v>331</v>
      </c>
      <c r="C1235" s="518">
        <f>SUM(C1236)</f>
        <v>3401000</v>
      </c>
      <c r="D1235" s="518">
        <f t="shared" ref="D1235:K1235" si="1057">SUM(D1236)</f>
        <v>0</v>
      </c>
      <c r="E1235" s="518">
        <f t="shared" si="1057"/>
        <v>0</v>
      </c>
      <c r="F1235" s="518">
        <f t="shared" si="1057"/>
        <v>3401000</v>
      </c>
      <c r="G1235" s="518">
        <f t="shared" si="1057"/>
        <v>398000</v>
      </c>
      <c r="H1235" s="518">
        <f t="shared" si="1057"/>
        <v>0</v>
      </c>
      <c r="I1235" s="518">
        <f t="shared" si="1057"/>
        <v>1309000</v>
      </c>
      <c r="J1235" s="518">
        <f t="shared" si="1057"/>
        <v>177000</v>
      </c>
      <c r="K1235" s="518">
        <f t="shared" si="1057"/>
        <v>0</v>
      </c>
    </row>
    <row r="1236" spans="1:13" s="10" customFormat="1" ht="15" x14ac:dyDescent="0.25">
      <c r="A1236" s="577" t="s">
        <v>177</v>
      </c>
      <c r="B1236" s="578" t="s">
        <v>129</v>
      </c>
      <c r="C1236" s="631">
        <f t="shared" ref="C1236:F1236" si="1058">SUM(C1237,C1238,C1239)</f>
        <v>3401000</v>
      </c>
      <c r="D1236" s="631">
        <f t="shared" si="1058"/>
        <v>0</v>
      </c>
      <c r="E1236" s="631">
        <f t="shared" si="1058"/>
        <v>0</v>
      </c>
      <c r="F1236" s="631">
        <f t="shared" si="1058"/>
        <v>3401000</v>
      </c>
      <c r="G1236" s="631">
        <f t="shared" ref="G1236:H1236" si="1059">SUM(G1237,G1238,G1239)</f>
        <v>398000</v>
      </c>
      <c r="H1236" s="631">
        <f t="shared" si="1059"/>
        <v>0</v>
      </c>
      <c r="I1236" s="631">
        <f t="shared" ref="I1236:J1236" si="1060">SUM(I1237,I1238,I1239)</f>
        <v>1309000</v>
      </c>
      <c r="J1236" s="631">
        <f t="shared" si="1060"/>
        <v>177000</v>
      </c>
      <c r="K1236" s="631">
        <f t="shared" ref="K1236" si="1061">SUM(K1237,K1238,K1239)</f>
        <v>0</v>
      </c>
    </row>
    <row r="1237" spans="1:13" ht="17.25" customHeight="1" x14ac:dyDescent="0.2">
      <c r="A1237" s="580">
        <v>4221</v>
      </c>
      <c r="B1237" s="546" t="s">
        <v>54</v>
      </c>
      <c r="C1237" s="642">
        <v>1543000</v>
      </c>
      <c r="D1237" s="642"/>
      <c r="E1237" s="642"/>
      <c r="F1237" s="513">
        <f t="shared" ref="F1237:F1239" si="1062">C1237-D1237+E1237</f>
        <v>1543000</v>
      </c>
      <c r="G1237" s="642">
        <v>133000</v>
      </c>
      <c r="H1237" s="642"/>
      <c r="I1237" s="642">
        <v>1309000</v>
      </c>
      <c r="J1237" s="642">
        <v>177000</v>
      </c>
      <c r="K1237" s="642"/>
      <c r="L1237" s="26"/>
      <c r="M1237" s="3"/>
    </row>
    <row r="1238" spans="1:13" s="4" customFormat="1" ht="14.25" customHeight="1" x14ac:dyDescent="0.2">
      <c r="A1238" s="580">
        <v>4222</v>
      </c>
      <c r="B1238" s="546" t="s">
        <v>58</v>
      </c>
      <c r="C1238" s="642"/>
      <c r="D1238" s="642"/>
      <c r="E1238" s="642"/>
      <c r="F1238" s="513">
        <f t="shared" si="1062"/>
        <v>0</v>
      </c>
      <c r="G1238" s="642"/>
      <c r="H1238" s="642"/>
      <c r="I1238" s="642"/>
      <c r="J1238" s="642"/>
      <c r="K1238" s="642"/>
    </row>
    <row r="1239" spans="1:13" s="4" customFormat="1" x14ac:dyDescent="0.2">
      <c r="A1239" s="580">
        <v>4223</v>
      </c>
      <c r="B1239" s="521" t="s">
        <v>59</v>
      </c>
      <c r="C1239" s="609">
        <v>1858000</v>
      </c>
      <c r="D1239" s="609"/>
      <c r="E1239" s="609"/>
      <c r="F1239" s="513">
        <f t="shared" si="1062"/>
        <v>1858000</v>
      </c>
      <c r="G1239" s="609">
        <v>265000</v>
      </c>
      <c r="H1239" s="609"/>
      <c r="I1239" s="609"/>
      <c r="J1239" s="609"/>
      <c r="K1239" s="609"/>
    </row>
    <row r="1240" spans="1:13" s="6" customFormat="1" ht="25.5" x14ac:dyDescent="0.25">
      <c r="A1240" s="613">
        <v>45</v>
      </c>
      <c r="B1240" s="541" t="s">
        <v>333</v>
      </c>
      <c r="C1240" s="518">
        <f>SUM(C1241)</f>
        <v>3982000</v>
      </c>
      <c r="D1240" s="518">
        <f t="shared" ref="D1240:K1240" si="1063">SUM(D1241)</f>
        <v>0</v>
      </c>
      <c r="E1240" s="518">
        <f t="shared" si="1063"/>
        <v>0</v>
      </c>
      <c r="F1240" s="518">
        <f t="shared" si="1063"/>
        <v>3982000</v>
      </c>
      <c r="G1240" s="518">
        <f t="shared" si="1063"/>
        <v>2349000</v>
      </c>
      <c r="H1240" s="518">
        <f t="shared" si="1063"/>
        <v>0</v>
      </c>
      <c r="I1240" s="518">
        <f t="shared" si="1063"/>
        <v>0</v>
      </c>
      <c r="J1240" s="518">
        <f t="shared" si="1063"/>
        <v>0</v>
      </c>
      <c r="K1240" s="518">
        <f t="shared" si="1063"/>
        <v>0</v>
      </c>
    </row>
    <row r="1241" spans="1:13" customFormat="1" ht="25.5" x14ac:dyDescent="0.25">
      <c r="A1241" s="557">
        <v>451</v>
      </c>
      <c r="B1241" s="558" t="s">
        <v>55</v>
      </c>
      <c r="C1241" s="533">
        <f t="shared" ref="C1241:K1241" si="1064">SUM(C1242)</f>
        <v>3982000</v>
      </c>
      <c r="D1241" s="533">
        <f t="shared" si="1064"/>
        <v>0</v>
      </c>
      <c r="E1241" s="533">
        <f t="shared" si="1064"/>
        <v>0</v>
      </c>
      <c r="F1241" s="533">
        <f t="shared" si="1064"/>
        <v>3982000</v>
      </c>
      <c r="G1241" s="533">
        <f t="shared" si="1064"/>
        <v>2349000</v>
      </c>
      <c r="H1241" s="533">
        <f t="shared" si="1064"/>
        <v>0</v>
      </c>
      <c r="I1241" s="533">
        <f t="shared" si="1064"/>
        <v>0</v>
      </c>
      <c r="J1241" s="533">
        <f t="shared" si="1064"/>
        <v>0</v>
      </c>
      <c r="K1241" s="533">
        <f t="shared" si="1064"/>
        <v>0</v>
      </c>
    </row>
    <row r="1242" spans="1:13" customFormat="1" ht="25.5" x14ac:dyDescent="0.25">
      <c r="A1242" s="559">
        <v>4511</v>
      </c>
      <c r="B1242" s="560" t="s">
        <v>55</v>
      </c>
      <c r="C1242" s="522">
        <v>3982000</v>
      </c>
      <c r="D1242" s="522"/>
      <c r="E1242" s="522"/>
      <c r="F1242" s="513">
        <f t="shared" ref="F1242" si="1065">C1242-D1242+E1242</f>
        <v>3982000</v>
      </c>
      <c r="G1242" s="522">
        <v>2349000</v>
      </c>
      <c r="H1242" s="522"/>
      <c r="I1242" s="522">
        <v>0</v>
      </c>
      <c r="J1242" s="522">
        <v>0</v>
      </c>
      <c r="K1242" s="522"/>
    </row>
    <row r="1243" spans="1:13" ht="25.5" x14ac:dyDescent="0.2">
      <c r="A1243" s="573" t="s">
        <v>383</v>
      </c>
      <c r="B1243" s="562" t="s">
        <v>384</v>
      </c>
      <c r="C1243" s="643">
        <f>C1244</f>
        <v>737900</v>
      </c>
      <c r="D1243" s="589">
        <f>D1244</f>
        <v>657900</v>
      </c>
      <c r="E1243" s="589">
        <f t="shared" ref="E1243:K1243" si="1066">SUM(E1244)</f>
        <v>0</v>
      </c>
      <c r="F1243" s="643">
        <f t="shared" si="1066"/>
        <v>80000</v>
      </c>
      <c r="G1243" s="589">
        <f t="shared" si="1066"/>
        <v>0</v>
      </c>
      <c r="H1243" s="589">
        <f t="shared" si="1066"/>
        <v>0</v>
      </c>
      <c r="I1243" s="589">
        <f t="shared" si="1066"/>
        <v>11010000</v>
      </c>
      <c r="J1243" s="589">
        <f t="shared" si="1066"/>
        <v>23700000</v>
      </c>
      <c r="K1243" s="589">
        <f t="shared" si="1066"/>
        <v>295000</v>
      </c>
    </row>
    <row r="1244" spans="1:13" x14ac:dyDescent="0.2">
      <c r="A1244" s="710" t="s">
        <v>118</v>
      </c>
      <c r="B1244" s="710"/>
      <c r="C1244" s="644">
        <f>C1245+C1248+C1255+C1259</f>
        <v>737900</v>
      </c>
      <c r="D1244" s="590">
        <f>D1245+D1248+D1255+D1259</f>
        <v>657900</v>
      </c>
      <c r="E1244" s="590">
        <f>SUM(E1248+E1255+E1259+E1245)</f>
        <v>0</v>
      </c>
      <c r="F1244" s="590">
        <f>SUM(F1245+F1248+F1255+F1259)</f>
        <v>80000</v>
      </c>
      <c r="G1244" s="590">
        <f>SUM(G1248+G1255+G1259+G1245)</f>
        <v>0</v>
      </c>
      <c r="H1244" s="590">
        <f>SUM(H1248+H1255+H1259+H1245)</f>
        <v>0</v>
      </c>
      <c r="I1244" s="590">
        <f>SUM(I1248+I1255+I1259+I1245)</f>
        <v>11010000</v>
      </c>
      <c r="J1244" s="590">
        <f>SUM(J1248+J1255+J1259+J1245)</f>
        <v>23700000</v>
      </c>
      <c r="K1244" s="590">
        <f>SUM(K1248+K1255+K1259+K1245)</f>
        <v>295000</v>
      </c>
    </row>
    <row r="1245" spans="1:13" x14ac:dyDescent="0.2">
      <c r="A1245" s="613">
        <v>31</v>
      </c>
      <c r="B1245" s="614" t="s">
        <v>323</v>
      </c>
      <c r="C1245" s="645">
        <f>SUM(C1246)</f>
        <v>125000</v>
      </c>
      <c r="D1245" s="518">
        <f>SUM(D1246)</f>
        <v>75000</v>
      </c>
      <c r="E1245" s="518">
        <f t="shared" ref="E1245:K1245" si="1067">SUM(E1246,)</f>
        <v>0</v>
      </c>
      <c r="F1245" s="518">
        <f t="shared" si="1067"/>
        <v>50000</v>
      </c>
      <c r="G1245" s="518">
        <f t="shared" si="1067"/>
        <v>0</v>
      </c>
      <c r="H1245" s="518">
        <f t="shared" si="1067"/>
        <v>0</v>
      </c>
      <c r="I1245" s="518">
        <f t="shared" si="1067"/>
        <v>125000</v>
      </c>
      <c r="J1245" s="518">
        <f t="shared" si="1067"/>
        <v>125000</v>
      </c>
      <c r="K1245" s="518">
        <f t="shared" si="1067"/>
        <v>125000</v>
      </c>
    </row>
    <row r="1246" spans="1:13" s="10" customFormat="1" ht="15" x14ac:dyDescent="0.25">
      <c r="A1246" s="615">
        <v>311</v>
      </c>
      <c r="B1246" s="616" t="s">
        <v>4</v>
      </c>
      <c r="C1246" s="646">
        <f t="shared" ref="C1246:K1246" si="1068">SUM(C1247)</f>
        <v>125000</v>
      </c>
      <c r="D1246" s="552">
        <f t="shared" si="1068"/>
        <v>75000</v>
      </c>
      <c r="E1246" s="552">
        <f t="shared" si="1068"/>
        <v>0</v>
      </c>
      <c r="F1246" s="552">
        <f t="shared" si="1068"/>
        <v>50000</v>
      </c>
      <c r="G1246" s="552">
        <f t="shared" si="1068"/>
        <v>0</v>
      </c>
      <c r="H1246" s="552">
        <f t="shared" si="1068"/>
        <v>0</v>
      </c>
      <c r="I1246" s="552">
        <f t="shared" si="1068"/>
        <v>125000</v>
      </c>
      <c r="J1246" s="552">
        <f t="shared" si="1068"/>
        <v>125000</v>
      </c>
      <c r="K1246" s="552">
        <f t="shared" si="1068"/>
        <v>125000</v>
      </c>
    </row>
    <row r="1247" spans="1:13" s="10" customFormat="1" ht="15" x14ac:dyDescent="0.25">
      <c r="A1247" s="598">
        <v>3111</v>
      </c>
      <c r="B1247" s="599" t="s">
        <v>5</v>
      </c>
      <c r="C1247" s="647">
        <v>125000</v>
      </c>
      <c r="D1247" s="528">
        <v>75000</v>
      </c>
      <c r="E1247" s="528"/>
      <c r="F1247" s="513">
        <f t="shared" ref="F1247" si="1069">C1247-D1247+E1247</f>
        <v>50000</v>
      </c>
      <c r="G1247" s="528"/>
      <c r="H1247" s="528"/>
      <c r="I1247" s="528">
        <v>125000</v>
      </c>
      <c r="J1247" s="528">
        <v>125000</v>
      </c>
      <c r="K1247" s="528">
        <v>125000</v>
      </c>
    </row>
    <row r="1248" spans="1:13" x14ac:dyDescent="0.2">
      <c r="A1248" s="637">
        <v>32</v>
      </c>
      <c r="B1248" s="638" t="s">
        <v>325</v>
      </c>
      <c r="C1248" s="639">
        <f>SUM(C1249,C1251,C1253)</f>
        <v>212900</v>
      </c>
      <c r="D1248" s="639">
        <f t="shared" ref="D1248:K1248" si="1070">SUM(D1249,D1251,D1253)</f>
        <v>182900</v>
      </c>
      <c r="E1248" s="639">
        <f t="shared" si="1070"/>
        <v>0</v>
      </c>
      <c r="F1248" s="639">
        <f t="shared" si="1070"/>
        <v>30000</v>
      </c>
      <c r="G1248" s="639">
        <f t="shared" si="1070"/>
        <v>0</v>
      </c>
      <c r="H1248" s="639">
        <f t="shared" si="1070"/>
        <v>0</v>
      </c>
      <c r="I1248" s="639">
        <f t="shared" si="1070"/>
        <v>8235000</v>
      </c>
      <c r="J1248" s="639">
        <f t="shared" si="1070"/>
        <v>21175000</v>
      </c>
      <c r="K1248" s="639">
        <f t="shared" si="1070"/>
        <v>170000</v>
      </c>
    </row>
    <row r="1249" spans="1:11" x14ac:dyDescent="0.2">
      <c r="A1249" s="615">
        <v>322</v>
      </c>
      <c r="B1249" s="616" t="s">
        <v>16</v>
      </c>
      <c r="C1249" s="552">
        <f>SUM(C1250)</f>
        <v>0</v>
      </c>
      <c r="D1249" s="552">
        <f t="shared" ref="D1249:K1249" si="1071">SUM(D1250)</f>
        <v>0</v>
      </c>
      <c r="E1249" s="552">
        <f t="shared" si="1071"/>
        <v>0</v>
      </c>
      <c r="F1249" s="552">
        <f t="shared" si="1071"/>
        <v>0</v>
      </c>
      <c r="G1249" s="552">
        <f t="shared" si="1071"/>
        <v>0</v>
      </c>
      <c r="H1249" s="552">
        <f t="shared" si="1071"/>
        <v>0</v>
      </c>
      <c r="I1249" s="552">
        <f t="shared" si="1071"/>
        <v>8000000</v>
      </c>
      <c r="J1249" s="552">
        <f t="shared" si="1071"/>
        <v>20940000</v>
      </c>
      <c r="K1249" s="552">
        <f t="shared" si="1071"/>
        <v>0</v>
      </c>
    </row>
    <row r="1250" spans="1:11" x14ac:dyDescent="0.2">
      <c r="A1250" s="598">
        <v>3221</v>
      </c>
      <c r="B1250" s="599" t="s">
        <v>17</v>
      </c>
      <c r="C1250" s="528"/>
      <c r="D1250" s="528"/>
      <c r="E1250" s="528"/>
      <c r="F1250" s="513">
        <f t="shared" ref="F1250" si="1072">C1250-D1250+E1250</f>
        <v>0</v>
      </c>
      <c r="G1250" s="528"/>
      <c r="H1250" s="528"/>
      <c r="I1250" s="526">
        <f>22000000-14000000</f>
        <v>8000000</v>
      </c>
      <c r="J1250" s="528">
        <v>20940000</v>
      </c>
      <c r="K1250" s="528">
        <v>0</v>
      </c>
    </row>
    <row r="1251" spans="1:11" x14ac:dyDescent="0.2">
      <c r="A1251" s="596">
        <v>323</v>
      </c>
      <c r="B1251" s="603" t="s">
        <v>23</v>
      </c>
      <c r="C1251" s="648">
        <f>SUM(C1252)</f>
        <v>200000</v>
      </c>
      <c r="D1251" s="533">
        <f t="shared" ref="D1251:K1251" si="1073">SUM(D1252)</f>
        <v>170000</v>
      </c>
      <c r="E1251" s="533">
        <f t="shared" si="1073"/>
        <v>0</v>
      </c>
      <c r="F1251" s="533">
        <f t="shared" si="1073"/>
        <v>30000</v>
      </c>
      <c r="G1251" s="533">
        <f t="shared" si="1073"/>
        <v>0</v>
      </c>
      <c r="H1251" s="533">
        <f t="shared" si="1073"/>
        <v>0</v>
      </c>
      <c r="I1251" s="533">
        <f t="shared" si="1073"/>
        <v>200000</v>
      </c>
      <c r="J1251" s="533">
        <f t="shared" si="1073"/>
        <v>200000</v>
      </c>
      <c r="K1251" s="533">
        <f t="shared" si="1073"/>
        <v>150000</v>
      </c>
    </row>
    <row r="1252" spans="1:11" s="4" customFormat="1" x14ac:dyDescent="0.2">
      <c r="A1252" s="531">
        <v>3237</v>
      </c>
      <c r="B1252" s="532" t="s">
        <v>30</v>
      </c>
      <c r="C1252" s="649">
        <v>200000</v>
      </c>
      <c r="D1252" s="522">
        <v>170000</v>
      </c>
      <c r="E1252" s="522"/>
      <c r="F1252" s="513">
        <f t="shared" ref="F1252:F1261" si="1074">C1252-D1252+E1252</f>
        <v>30000</v>
      </c>
      <c r="G1252" s="522"/>
      <c r="H1252" s="522"/>
      <c r="I1252" s="522">
        <v>200000</v>
      </c>
      <c r="J1252" s="522">
        <v>200000</v>
      </c>
      <c r="K1252" s="522">
        <v>150000</v>
      </c>
    </row>
    <row r="1253" spans="1:11" s="4" customFormat="1" x14ac:dyDescent="0.2">
      <c r="A1253" s="508">
        <v>329</v>
      </c>
      <c r="B1253" s="509" t="s">
        <v>33</v>
      </c>
      <c r="C1253" s="650">
        <f t="shared" ref="C1253:K1253" si="1075">SUM(C1254)</f>
        <v>12900</v>
      </c>
      <c r="D1253" s="510">
        <f t="shared" si="1075"/>
        <v>12900</v>
      </c>
      <c r="E1253" s="510">
        <f t="shared" si="1075"/>
        <v>0</v>
      </c>
      <c r="F1253" s="510">
        <f t="shared" si="1074"/>
        <v>0</v>
      </c>
      <c r="G1253" s="510">
        <f t="shared" si="1075"/>
        <v>0</v>
      </c>
      <c r="H1253" s="510">
        <f t="shared" si="1075"/>
        <v>0</v>
      </c>
      <c r="I1253" s="510">
        <f t="shared" si="1075"/>
        <v>35000</v>
      </c>
      <c r="J1253" s="510">
        <f t="shared" si="1075"/>
        <v>35000</v>
      </c>
      <c r="K1253" s="510">
        <f t="shared" si="1075"/>
        <v>20000</v>
      </c>
    </row>
    <row r="1254" spans="1:11" x14ac:dyDescent="0.2">
      <c r="A1254" s="511">
        <v>3292</v>
      </c>
      <c r="B1254" s="512" t="s">
        <v>35</v>
      </c>
      <c r="C1254" s="651">
        <v>12900</v>
      </c>
      <c r="D1254" s="513">
        <v>12900</v>
      </c>
      <c r="E1254" s="513"/>
      <c r="F1254" s="513">
        <f t="shared" si="1074"/>
        <v>0</v>
      </c>
      <c r="G1254" s="513"/>
      <c r="H1254" s="513"/>
      <c r="I1254" s="513">
        <v>35000</v>
      </c>
      <c r="J1254" s="513">
        <v>35000</v>
      </c>
      <c r="K1254" s="513">
        <v>20000</v>
      </c>
    </row>
    <row r="1255" spans="1:11" ht="25.5" x14ac:dyDescent="0.2">
      <c r="A1255" s="613">
        <v>42</v>
      </c>
      <c r="B1255" s="541" t="s">
        <v>331</v>
      </c>
      <c r="C1255" s="639">
        <f>SUM(C1256)</f>
        <v>88500</v>
      </c>
      <c r="D1255" s="652">
        <f>SUM(D1256)</f>
        <v>88500</v>
      </c>
      <c r="E1255" s="652">
        <f>SUM(E1256)</f>
        <v>0</v>
      </c>
      <c r="F1255" s="507">
        <f t="shared" si="1074"/>
        <v>0</v>
      </c>
      <c r="G1255" s="652">
        <f>SUM(G1256)</f>
        <v>0</v>
      </c>
      <c r="H1255" s="652">
        <f>SUM(H1256)</f>
        <v>0</v>
      </c>
      <c r="I1255" s="652">
        <f>SUM(I1256)</f>
        <v>2150000</v>
      </c>
      <c r="J1255" s="652">
        <f>SUM(J1256)</f>
        <v>2400000</v>
      </c>
      <c r="K1255" s="652">
        <f>SUM(K1256)</f>
        <v>0</v>
      </c>
    </row>
    <row r="1256" spans="1:11" s="4" customFormat="1" x14ac:dyDescent="0.2">
      <c r="A1256" s="615">
        <v>422</v>
      </c>
      <c r="B1256" s="616" t="s">
        <v>53</v>
      </c>
      <c r="C1256" s="653">
        <f>SUM(C1257:C1258)</f>
        <v>88500</v>
      </c>
      <c r="D1256" s="591">
        <f>SUM(D1257:D1258)</f>
        <v>88500</v>
      </c>
      <c r="E1256" s="591">
        <f>SUM(E1257:E1258)</f>
        <v>0</v>
      </c>
      <c r="F1256" s="510">
        <f t="shared" si="1074"/>
        <v>0</v>
      </c>
      <c r="G1256" s="591">
        <f>SUM(G1257:G1258)</f>
        <v>0</v>
      </c>
      <c r="H1256" s="591">
        <f>SUM(H1257:H1258)</f>
        <v>0</v>
      </c>
      <c r="I1256" s="591">
        <f>SUM(I1257:I1258)</f>
        <v>2150000</v>
      </c>
      <c r="J1256" s="591">
        <f>SUM(J1257:J1258)</f>
        <v>2400000</v>
      </c>
      <c r="K1256" s="591">
        <f>SUM(K1257:K1258)</f>
        <v>0</v>
      </c>
    </row>
    <row r="1257" spans="1:11" s="4" customFormat="1" ht="43.5" customHeight="1" x14ac:dyDescent="0.2">
      <c r="A1257" s="598">
        <v>4221</v>
      </c>
      <c r="B1257" s="599" t="s">
        <v>54</v>
      </c>
      <c r="C1257" s="654">
        <v>75000</v>
      </c>
      <c r="D1257" s="592">
        <v>75000</v>
      </c>
      <c r="E1257" s="592"/>
      <c r="F1257" s="513">
        <f t="shared" si="1074"/>
        <v>0</v>
      </c>
      <c r="G1257" s="592"/>
      <c r="H1257" s="592"/>
      <c r="I1257" s="592">
        <v>150000</v>
      </c>
      <c r="J1257" s="592"/>
      <c r="K1257" s="592"/>
    </row>
    <row r="1258" spans="1:11" s="4" customFormat="1" ht="25.5" x14ac:dyDescent="0.2">
      <c r="A1258" s="655">
        <v>4227</v>
      </c>
      <c r="B1258" s="656" t="s">
        <v>60</v>
      </c>
      <c r="C1258" s="654">
        <v>13500</v>
      </c>
      <c r="D1258" s="592">
        <v>13500</v>
      </c>
      <c r="E1258" s="592"/>
      <c r="F1258" s="513">
        <f t="shared" si="1074"/>
        <v>0</v>
      </c>
      <c r="G1258" s="592"/>
      <c r="H1258" s="592"/>
      <c r="I1258" s="607">
        <f>6000000-4000000</f>
        <v>2000000</v>
      </c>
      <c r="J1258" s="592">
        <v>2400000</v>
      </c>
      <c r="K1258" s="592"/>
    </row>
    <row r="1259" spans="1:11" s="4" customFormat="1" ht="25.5" x14ac:dyDescent="0.2">
      <c r="A1259" s="613">
        <v>45</v>
      </c>
      <c r="B1259" s="541" t="s">
        <v>333</v>
      </c>
      <c r="C1259" s="639">
        <f t="shared" ref="C1259:K1259" si="1076">SUM(C1260)</f>
        <v>311500</v>
      </c>
      <c r="D1259" s="652">
        <f t="shared" si="1076"/>
        <v>311500</v>
      </c>
      <c r="E1259" s="652">
        <f t="shared" si="1076"/>
        <v>0</v>
      </c>
      <c r="F1259" s="507">
        <f t="shared" si="1074"/>
        <v>0</v>
      </c>
      <c r="G1259" s="652">
        <f t="shared" si="1076"/>
        <v>0</v>
      </c>
      <c r="H1259" s="652">
        <f t="shared" si="1076"/>
        <v>0</v>
      </c>
      <c r="I1259" s="652">
        <f t="shared" si="1076"/>
        <v>500000</v>
      </c>
      <c r="J1259" s="652">
        <f t="shared" si="1076"/>
        <v>0</v>
      </c>
      <c r="K1259" s="652">
        <f t="shared" si="1076"/>
        <v>0</v>
      </c>
    </row>
    <row r="1260" spans="1:11" s="4" customFormat="1" ht="25.5" x14ac:dyDescent="0.2">
      <c r="A1260" s="615">
        <v>451</v>
      </c>
      <c r="B1260" s="616" t="s">
        <v>55</v>
      </c>
      <c r="C1260" s="653">
        <f t="shared" ref="C1260:K1260" si="1077">SUM(C1261)</f>
        <v>311500</v>
      </c>
      <c r="D1260" s="591">
        <f t="shared" si="1077"/>
        <v>311500</v>
      </c>
      <c r="E1260" s="591">
        <f t="shared" si="1077"/>
        <v>0</v>
      </c>
      <c r="F1260" s="510">
        <f t="shared" si="1074"/>
        <v>0</v>
      </c>
      <c r="G1260" s="591">
        <f t="shared" si="1077"/>
        <v>0</v>
      </c>
      <c r="H1260" s="591">
        <f t="shared" si="1077"/>
        <v>0</v>
      </c>
      <c r="I1260" s="591">
        <f t="shared" si="1077"/>
        <v>500000</v>
      </c>
      <c r="J1260" s="591">
        <f t="shared" si="1077"/>
        <v>0</v>
      </c>
      <c r="K1260" s="591">
        <f t="shared" si="1077"/>
        <v>0</v>
      </c>
    </row>
    <row r="1261" spans="1:11" s="4" customFormat="1" ht="25.5" x14ac:dyDescent="0.2">
      <c r="A1261" s="598">
        <v>4511</v>
      </c>
      <c r="B1261" s="599" t="s">
        <v>55</v>
      </c>
      <c r="C1261" s="654">
        <v>311500</v>
      </c>
      <c r="D1261" s="592">
        <v>311500</v>
      </c>
      <c r="E1261" s="592"/>
      <c r="F1261" s="513">
        <f t="shared" si="1074"/>
        <v>0</v>
      </c>
      <c r="G1261" s="592"/>
      <c r="H1261" s="592"/>
      <c r="I1261" s="607">
        <f>1500000-1000000</f>
        <v>500000</v>
      </c>
      <c r="J1261" s="592"/>
      <c r="K1261" s="592"/>
    </row>
    <row r="1262" spans="1:11" ht="25.5" x14ac:dyDescent="0.2">
      <c r="A1262" s="573" t="s">
        <v>385</v>
      </c>
      <c r="B1262" s="562" t="s">
        <v>386</v>
      </c>
      <c r="C1262" s="643">
        <f>SUM(C1263)</f>
        <v>1155700</v>
      </c>
      <c r="D1262" s="589">
        <f>D1264+D1267+D1280+D1286</f>
        <v>1044100</v>
      </c>
      <c r="E1262" s="589">
        <f>SUM(E1263)</f>
        <v>3400</v>
      </c>
      <c r="F1262" s="643">
        <f>SUM(F1267+F1280+F1286+F1264)</f>
        <v>115000</v>
      </c>
      <c r="G1262" s="589">
        <f>SUM(G1263)</f>
        <v>0</v>
      </c>
      <c r="H1262" s="589">
        <f>SUM(H1263)</f>
        <v>0</v>
      </c>
      <c r="I1262" s="589">
        <f>SUM(I1263)</f>
        <v>5818000</v>
      </c>
      <c r="J1262" s="589">
        <f>SUM(J1263)</f>
        <v>9798000</v>
      </c>
      <c r="K1262" s="589">
        <f>SUM(K1263)</f>
        <v>256000</v>
      </c>
    </row>
    <row r="1263" spans="1:11" x14ac:dyDescent="0.2">
      <c r="A1263" s="710" t="s">
        <v>118</v>
      </c>
      <c r="B1263" s="710"/>
      <c r="C1263" s="657">
        <f>SUM(C1264,C1267+C1280+C1286)</f>
        <v>1155700</v>
      </c>
      <c r="D1263" s="590">
        <f>SUM(D1264,D1267,D1280,D1286)</f>
        <v>1044100</v>
      </c>
      <c r="E1263" s="590">
        <f>SUM(E1267+E1280+E1286+E1264)</f>
        <v>3400</v>
      </c>
      <c r="F1263" s="590">
        <f>SUM(F1267+F1280+F1286+F1264)</f>
        <v>115000</v>
      </c>
      <c r="G1263" s="590">
        <f>SUM(G1264,G1267+G1280+G1286)</f>
        <v>0</v>
      </c>
      <c r="H1263" s="590">
        <f t="shared" ref="H1263:K1263" si="1078">SUM(H1264,H1267+H1280+H1286)</f>
        <v>0</v>
      </c>
      <c r="I1263" s="590">
        <f t="shared" si="1078"/>
        <v>5818000</v>
      </c>
      <c r="J1263" s="590">
        <f t="shared" si="1078"/>
        <v>9798000</v>
      </c>
      <c r="K1263" s="590">
        <f t="shared" si="1078"/>
        <v>256000</v>
      </c>
    </row>
    <row r="1264" spans="1:11" x14ac:dyDescent="0.2">
      <c r="A1264" s="613">
        <v>31</v>
      </c>
      <c r="B1264" s="614" t="s">
        <v>323</v>
      </c>
      <c r="C1264" s="518">
        <f>C1265</f>
        <v>130000</v>
      </c>
      <c r="D1264" s="518">
        <f>D1265</f>
        <v>50000</v>
      </c>
      <c r="E1264" s="518">
        <f t="shared" ref="E1264:K1264" si="1079">SUM(E1265,)</f>
        <v>0</v>
      </c>
      <c r="F1264" s="518">
        <f t="shared" si="1079"/>
        <v>80000</v>
      </c>
      <c r="G1264" s="518">
        <f t="shared" si="1079"/>
        <v>0</v>
      </c>
      <c r="H1264" s="518">
        <f t="shared" si="1079"/>
        <v>0</v>
      </c>
      <c r="I1264" s="518">
        <f t="shared" si="1079"/>
        <v>130000</v>
      </c>
      <c r="J1264" s="518">
        <f t="shared" si="1079"/>
        <v>130000</v>
      </c>
      <c r="K1264" s="518">
        <f t="shared" si="1079"/>
        <v>130000</v>
      </c>
    </row>
    <row r="1265" spans="1:11" s="4" customFormat="1" x14ac:dyDescent="0.2">
      <c r="A1265" s="615">
        <v>311</v>
      </c>
      <c r="B1265" s="616" t="s">
        <v>4</v>
      </c>
      <c r="C1265" s="552">
        <f t="shared" ref="C1265:K1265" si="1080">SUM(C1266)</f>
        <v>130000</v>
      </c>
      <c r="D1265" s="552">
        <f>SUM(D1266)</f>
        <v>50000</v>
      </c>
      <c r="E1265" s="552">
        <f>SUM(E1266)</f>
        <v>0</v>
      </c>
      <c r="F1265" s="552">
        <f t="shared" si="1080"/>
        <v>80000</v>
      </c>
      <c r="G1265" s="552">
        <f t="shared" si="1080"/>
        <v>0</v>
      </c>
      <c r="H1265" s="552">
        <f t="shared" si="1080"/>
        <v>0</v>
      </c>
      <c r="I1265" s="552">
        <f t="shared" si="1080"/>
        <v>130000</v>
      </c>
      <c r="J1265" s="552">
        <f t="shared" si="1080"/>
        <v>130000</v>
      </c>
      <c r="K1265" s="552">
        <f t="shared" si="1080"/>
        <v>130000</v>
      </c>
    </row>
    <row r="1266" spans="1:11" s="4" customFormat="1" x14ac:dyDescent="0.2">
      <c r="A1266" s="598">
        <v>3111</v>
      </c>
      <c r="B1266" s="599" t="s">
        <v>5</v>
      </c>
      <c r="C1266" s="528">
        <v>130000</v>
      </c>
      <c r="D1266" s="528">
        <v>50000</v>
      </c>
      <c r="E1266" s="528"/>
      <c r="F1266" s="513">
        <f t="shared" ref="F1266:F1279" si="1081">C1266-D1266+E1266</f>
        <v>80000</v>
      </c>
      <c r="G1266" s="528"/>
      <c r="H1266" s="528"/>
      <c r="I1266" s="528">
        <v>130000</v>
      </c>
      <c r="J1266" s="528">
        <v>130000</v>
      </c>
      <c r="K1266" s="528">
        <v>130000</v>
      </c>
    </row>
    <row r="1267" spans="1:11" s="4" customFormat="1" x14ac:dyDescent="0.2">
      <c r="A1267" s="637">
        <v>32</v>
      </c>
      <c r="B1267" s="638" t="s">
        <v>325</v>
      </c>
      <c r="C1267" s="639">
        <f>C1268+C1271+C1275+C1278</f>
        <v>172600</v>
      </c>
      <c r="D1267" s="652">
        <f>D1268+D1271+D1275+D1278</f>
        <v>141000</v>
      </c>
      <c r="E1267" s="652">
        <f>SUM(E1268+E1271+E1275)</f>
        <v>3400</v>
      </c>
      <c r="F1267" s="507">
        <f>F1268+F1271+F1275+F1278</f>
        <v>35000</v>
      </c>
      <c r="G1267" s="652">
        <f>SUM(G1268+G1271+G1275)</f>
        <v>0</v>
      </c>
      <c r="H1267" s="652">
        <f>SUM(H1268+H1271+H1275)</f>
        <v>0</v>
      </c>
      <c r="I1267" s="652">
        <f>SUM(I1268+I1271+I1275,I1278)</f>
        <v>618000</v>
      </c>
      <c r="J1267" s="652">
        <f t="shared" ref="J1267:K1267" si="1082">SUM(J1268+J1271+J1275,J1278)</f>
        <v>236000</v>
      </c>
      <c r="K1267" s="652">
        <f t="shared" si="1082"/>
        <v>126000</v>
      </c>
    </row>
    <row r="1268" spans="1:11" s="4" customFormat="1" x14ac:dyDescent="0.2">
      <c r="A1268" s="601">
        <v>321</v>
      </c>
      <c r="B1268" s="509" t="s">
        <v>12</v>
      </c>
      <c r="C1268" s="653">
        <f>SUM(C1269:C1270)</f>
        <v>13600</v>
      </c>
      <c r="D1268" s="591">
        <f>SUM(D1269:D1270)</f>
        <v>12000</v>
      </c>
      <c r="E1268" s="591">
        <f>SUM(E1269:E1270)</f>
        <v>3400</v>
      </c>
      <c r="F1268" s="510">
        <f t="shared" si="1081"/>
        <v>5000</v>
      </c>
      <c r="G1268" s="591">
        <f>SUM(G1269:G1270)</f>
        <v>0</v>
      </c>
      <c r="H1268" s="591">
        <f>SUM(H1269:H1270)</f>
        <v>0</v>
      </c>
      <c r="I1268" s="591">
        <f>SUM(I1269:I1270)</f>
        <v>56000</v>
      </c>
      <c r="J1268" s="591">
        <f t="shared" ref="J1268:K1268" si="1083">SUM(J1269:J1270)</f>
        <v>34000</v>
      </c>
      <c r="K1268" s="591">
        <f t="shared" si="1083"/>
        <v>6000</v>
      </c>
    </row>
    <row r="1269" spans="1:11" s="4" customFormat="1" x14ac:dyDescent="0.2">
      <c r="A1269" s="598">
        <v>3211</v>
      </c>
      <c r="B1269" s="599" t="s">
        <v>13</v>
      </c>
      <c r="C1269" s="528">
        <v>1600</v>
      </c>
      <c r="D1269" s="528"/>
      <c r="E1269" s="528">
        <v>3400</v>
      </c>
      <c r="F1269" s="513">
        <f t="shared" si="1081"/>
        <v>5000</v>
      </c>
      <c r="G1269" s="528"/>
      <c r="H1269" s="528"/>
      <c r="I1269" s="528">
        <v>6000</v>
      </c>
      <c r="J1269" s="528">
        <v>6000</v>
      </c>
      <c r="K1269" s="528">
        <v>6000</v>
      </c>
    </row>
    <row r="1270" spans="1:11" s="4" customFormat="1" x14ac:dyDescent="0.2">
      <c r="A1270" s="511">
        <v>3213</v>
      </c>
      <c r="B1270" s="512" t="s">
        <v>15</v>
      </c>
      <c r="C1270" s="658">
        <v>12000</v>
      </c>
      <c r="D1270" s="609">
        <v>12000</v>
      </c>
      <c r="E1270" s="609"/>
      <c r="F1270" s="513">
        <f t="shared" si="1081"/>
        <v>0</v>
      </c>
      <c r="G1270" s="609"/>
      <c r="H1270" s="609"/>
      <c r="I1270" s="609">
        <v>50000</v>
      </c>
      <c r="J1270" s="609">
        <v>28000</v>
      </c>
      <c r="K1270" s="609"/>
    </row>
    <row r="1271" spans="1:11" s="4" customFormat="1" x14ac:dyDescent="0.2">
      <c r="A1271" s="508">
        <v>322</v>
      </c>
      <c r="B1271" s="509" t="s">
        <v>16</v>
      </c>
      <c r="C1271" s="659">
        <f>SUM(C1272:C1274)</f>
        <v>63000</v>
      </c>
      <c r="D1271" s="659">
        <f>SUM(D1272:D1274)</f>
        <v>63000</v>
      </c>
      <c r="E1271" s="659">
        <f>SUM(E1272:E1273)</f>
        <v>0</v>
      </c>
      <c r="F1271" s="510">
        <f t="shared" si="1081"/>
        <v>0</v>
      </c>
      <c r="G1271" s="659">
        <f>SUM(G1272:G1274)</f>
        <v>0</v>
      </c>
      <c r="H1271" s="659">
        <f t="shared" ref="H1271:K1271" si="1084">SUM(H1272:H1274)</f>
        <v>0</v>
      </c>
      <c r="I1271" s="659">
        <f t="shared" si="1084"/>
        <v>390000</v>
      </c>
      <c r="J1271" s="659">
        <f t="shared" si="1084"/>
        <v>62000</v>
      </c>
      <c r="K1271" s="659">
        <f t="shared" si="1084"/>
        <v>62000</v>
      </c>
    </row>
    <row r="1272" spans="1:11" s="4" customFormat="1" x14ac:dyDescent="0.2">
      <c r="A1272" s="511">
        <v>3222</v>
      </c>
      <c r="B1272" s="512" t="s">
        <v>18</v>
      </c>
      <c r="C1272" s="651">
        <v>38000</v>
      </c>
      <c r="D1272" s="651">
        <v>38000</v>
      </c>
      <c r="E1272" s="651"/>
      <c r="F1272" s="513">
        <f t="shared" si="1081"/>
        <v>0</v>
      </c>
      <c r="G1272" s="651"/>
      <c r="H1272" s="651"/>
      <c r="I1272" s="651">
        <v>100000</v>
      </c>
      <c r="J1272" s="651"/>
      <c r="K1272" s="651"/>
    </row>
    <row r="1273" spans="1:11" s="4" customFormat="1" x14ac:dyDescent="0.2">
      <c r="A1273" s="598">
        <v>3223</v>
      </c>
      <c r="B1273" s="599" t="s">
        <v>19</v>
      </c>
      <c r="C1273" s="654">
        <v>25000</v>
      </c>
      <c r="D1273" s="592">
        <v>25000</v>
      </c>
      <c r="E1273" s="592"/>
      <c r="F1273" s="513">
        <f t="shared" si="1081"/>
        <v>0</v>
      </c>
      <c r="G1273" s="592"/>
      <c r="H1273" s="592"/>
      <c r="I1273" s="592">
        <v>80000</v>
      </c>
      <c r="J1273" s="592">
        <v>62000</v>
      </c>
      <c r="K1273" s="592">
        <v>62000</v>
      </c>
    </row>
    <row r="1274" spans="1:11" s="4" customFormat="1" x14ac:dyDescent="0.2">
      <c r="A1274" s="598">
        <v>3225</v>
      </c>
      <c r="B1274" s="599" t="s">
        <v>21</v>
      </c>
      <c r="C1274" s="654"/>
      <c r="D1274" s="592"/>
      <c r="E1274" s="592"/>
      <c r="F1274" s="513"/>
      <c r="G1274" s="592"/>
      <c r="H1274" s="592"/>
      <c r="I1274" s="592">
        <v>210000</v>
      </c>
      <c r="J1274" s="592"/>
      <c r="K1274" s="592"/>
    </row>
    <row r="1275" spans="1:11" x14ac:dyDescent="0.2">
      <c r="A1275" s="615">
        <v>323</v>
      </c>
      <c r="B1275" s="509" t="s">
        <v>23</v>
      </c>
      <c r="C1275" s="653">
        <f>SUM(C1276:C1277)</f>
        <v>96000</v>
      </c>
      <c r="D1275" s="591">
        <f>SUM(D1276:D1277)</f>
        <v>66000</v>
      </c>
      <c r="E1275" s="591">
        <f>SUM(E1276:E1277)</f>
        <v>0</v>
      </c>
      <c r="F1275" s="510">
        <f t="shared" si="1081"/>
        <v>30000</v>
      </c>
      <c r="G1275" s="591">
        <f>SUM(G1276:G1277)</f>
        <v>0</v>
      </c>
      <c r="H1275" s="591">
        <f>SUM(H1276:H1277)</f>
        <v>0</v>
      </c>
      <c r="I1275" s="591">
        <f>SUM(I1276:I1277)</f>
        <v>152000</v>
      </c>
      <c r="J1275" s="591">
        <f t="shared" ref="J1275:K1275" si="1085">SUM(J1276:J1277)</f>
        <v>120000</v>
      </c>
      <c r="K1275" s="591">
        <f t="shared" si="1085"/>
        <v>48000</v>
      </c>
    </row>
    <row r="1276" spans="1:11" x14ac:dyDescent="0.2">
      <c r="A1276" s="598">
        <v>3233</v>
      </c>
      <c r="B1276" s="599" t="s">
        <v>26</v>
      </c>
      <c r="C1276" s="654">
        <v>16000</v>
      </c>
      <c r="D1276" s="592">
        <v>16000</v>
      </c>
      <c r="E1276" s="592"/>
      <c r="F1276" s="513">
        <f t="shared" si="1081"/>
        <v>0</v>
      </c>
      <c r="G1276" s="592"/>
      <c r="H1276" s="592"/>
      <c r="I1276" s="592">
        <v>32000</v>
      </c>
      <c r="J1276" s="592"/>
      <c r="K1276" s="592"/>
    </row>
    <row r="1277" spans="1:11" s="4" customFormat="1" x14ac:dyDescent="0.2">
      <c r="A1277" s="598">
        <v>3237</v>
      </c>
      <c r="B1277" s="532" t="s">
        <v>30</v>
      </c>
      <c r="C1277" s="654">
        <v>80000</v>
      </c>
      <c r="D1277" s="592">
        <v>50000</v>
      </c>
      <c r="E1277" s="592"/>
      <c r="F1277" s="513">
        <f t="shared" si="1081"/>
        <v>30000</v>
      </c>
      <c r="G1277" s="592"/>
      <c r="H1277" s="592"/>
      <c r="I1277" s="592">
        <v>120000</v>
      </c>
      <c r="J1277" s="592">
        <v>120000</v>
      </c>
      <c r="K1277" s="592">
        <v>48000</v>
      </c>
    </row>
    <row r="1278" spans="1:11" s="4" customFormat="1" x14ac:dyDescent="0.2">
      <c r="A1278" s="508">
        <v>329</v>
      </c>
      <c r="B1278" s="509" t="s">
        <v>33</v>
      </c>
      <c r="C1278" s="650">
        <f t="shared" ref="C1278:K1278" si="1086">SUM(C1279)</f>
        <v>0</v>
      </c>
      <c r="D1278" s="510">
        <f t="shared" si="1086"/>
        <v>0</v>
      </c>
      <c r="E1278" s="510">
        <f t="shared" si="1086"/>
        <v>0</v>
      </c>
      <c r="F1278" s="510">
        <f t="shared" si="1081"/>
        <v>0</v>
      </c>
      <c r="G1278" s="510">
        <f t="shared" si="1086"/>
        <v>0</v>
      </c>
      <c r="H1278" s="510">
        <f t="shared" si="1086"/>
        <v>0</v>
      </c>
      <c r="I1278" s="510">
        <f t="shared" si="1086"/>
        <v>20000</v>
      </c>
      <c r="J1278" s="510">
        <f t="shared" si="1086"/>
        <v>20000</v>
      </c>
      <c r="K1278" s="510">
        <f t="shared" si="1086"/>
        <v>10000</v>
      </c>
    </row>
    <row r="1279" spans="1:11" s="4" customFormat="1" x14ac:dyDescent="0.2">
      <c r="A1279" s="511">
        <v>3292</v>
      </c>
      <c r="B1279" s="512" t="s">
        <v>35</v>
      </c>
      <c r="C1279" s="651">
        <v>0</v>
      </c>
      <c r="D1279" s="513"/>
      <c r="E1279" s="513"/>
      <c r="F1279" s="513">
        <f t="shared" si="1081"/>
        <v>0</v>
      </c>
      <c r="G1279" s="513"/>
      <c r="H1279" s="513"/>
      <c r="I1279" s="513">
        <v>20000</v>
      </c>
      <c r="J1279" s="513">
        <v>20000</v>
      </c>
      <c r="K1279" s="513">
        <v>10000</v>
      </c>
    </row>
    <row r="1280" spans="1:11" s="4" customFormat="1" ht="25.5" x14ac:dyDescent="0.2">
      <c r="A1280" s="613">
        <v>42</v>
      </c>
      <c r="B1280" s="541" t="s">
        <v>331</v>
      </c>
      <c r="C1280" s="639">
        <f>SUM(C1281,C1284)</f>
        <v>333100</v>
      </c>
      <c r="D1280" s="652">
        <f t="shared" ref="D1280:H1280" si="1087">SUM(D1281)</f>
        <v>333100</v>
      </c>
      <c r="E1280" s="652">
        <f t="shared" si="1087"/>
        <v>0</v>
      </c>
      <c r="F1280" s="652">
        <f>SUM(F1281,F1284)</f>
        <v>0</v>
      </c>
      <c r="G1280" s="652">
        <f t="shared" si="1087"/>
        <v>0</v>
      </c>
      <c r="H1280" s="652">
        <f t="shared" si="1087"/>
        <v>0</v>
      </c>
      <c r="I1280" s="652">
        <f>SUM(I1281,I1284)</f>
        <v>4590000</v>
      </c>
      <c r="J1280" s="652">
        <f t="shared" ref="J1280:K1280" si="1088">SUM(J1281,J1284)</f>
        <v>9392000</v>
      </c>
      <c r="K1280" s="652">
        <f t="shared" si="1088"/>
        <v>0</v>
      </c>
    </row>
    <row r="1281" spans="1:14" x14ac:dyDescent="0.2">
      <c r="A1281" s="615">
        <v>422</v>
      </c>
      <c r="B1281" s="616" t="s">
        <v>53</v>
      </c>
      <c r="C1281" s="653">
        <f t="shared" ref="C1281:K1281" si="1089">SUM(C1282:C1283)</f>
        <v>333100</v>
      </c>
      <c r="D1281" s="591">
        <f t="shared" si="1089"/>
        <v>333100</v>
      </c>
      <c r="E1281" s="591">
        <f t="shared" si="1089"/>
        <v>0</v>
      </c>
      <c r="F1281" s="591">
        <f t="shared" si="1089"/>
        <v>0</v>
      </c>
      <c r="G1281" s="591">
        <f t="shared" si="1089"/>
        <v>0</v>
      </c>
      <c r="H1281" s="591">
        <f t="shared" si="1089"/>
        <v>0</v>
      </c>
      <c r="I1281" s="591">
        <f t="shared" si="1089"/>
        <v>4590000</v>
      </c>
      <c r="J1281" s="591">
        <f t="shared" si="1089"/>
        <v>9000000</v>
      </c>
      <c r="K1281" s="591">
        <f t="shared" si="1089"/>
        <v>0</v>
      </c>
    </row>
    <row r="1282" spans="1:14" x14ac:dyDescent="0.2">
      <c r="A1282" s="598">
        <v>4221</v>
      </c>
      <c r="B1282" s="599" t="s">
        <v>54</v>
      </c>
      <c r="C1282" s="654">
        <v>25000</v>
      </c>
      <c r="D1282" s="592">
        <v>25000</v>
      </c>
      <c r="E1282" s="592"/>
      <c r="F1282" s="513">
        <f t="shared" ref="F1282:F1284" si="1090">C1282-D1282+E1282</f>
        <v>0</v>
      </c>
      <c r="G1282" s="592"/>
      <c r="H1282" s="592"/>
      <c r="I1282" s="607">
        <f>4590000-2000000</f>
        <v>2590000</v>
      </c>
      <c r="J1282" s="592">
        <v>4000000</v>
      </c>
      <c r="K1282" s="592"/>
      <c r="N1282" s="3"/>
    </row>
    <row r="1283" spans="1:14" s="4" customFormat="1" ht="25.5" x14ac:dyDescent="0.2">
      <c r="A1283" s="655">
        <v>4227</v>
      </c>
      <c r="B1283" s="656" t="s">
        <v>60</v>
      </c>
      <c r="C1283" s="654">
        <v>308100</v>
      </c>
      <c r="D1283" s="592">
        <v>308100</v>
      </c>
      <c r="E1283" s="592"/>
      <c r="F1283" s="513">
        <f t="shared" si="1090"/>
        <v>0</v>
      </c>
      <c r="G1283" s="592"/>
      <c r="H1283" s="592"/>
      <c r="I1283" s="607">
        <f>4000000-2000000</f>
        <v>2000000</v>
      </c>
      <c r="J1283" s="592">
        <v>5000000</v>
      </c>
      <c r="K1283" s="592"/>
    </row>
    <row r="1284" spans="1:14" s="4" customFormat="1" x14ac:dyDescent="0.2">
      <c r="A1284" s="615">
        <v>423</v>
      </c>
      <c r="B1284" s="616" t="s">
        <v>61</v>
      </c>
      <c r="C1284" s="653">
        <f>SUM(C1285)</f>
        <v>0</v>
      </c>
      <c r="D1284" s="591"/>
      <c r="E1284" s="591"/>
      <c r="F1284" s="510">
        <f t="shared" si="1090"/>
        <v>0</v>
      </c>
      <c r="G1284" s="591">
        <f>SUM(G1285)</f>
        <v>0</v>
      </c>
      <c r="H1284" s="591">
        <f t="shared" ref="H1284:K1284" si="1091">SUM(H1285)</f>
        <v>0</v>
      </c>
      <c r="I1284" s="591">
        <f t="shared" si="1091"/>
        <v>0</v>
      </c>
      <c r="J1284" s="591">
        <f t="shared" si="1091"/>
        <v>392000</v>
      </c>
      <c r="K1284" s="591">
        <f t="shared" si="1091"/>
        <v>0</v>
      </c>
    </row>
    <row r="1285" spans="1:14" s="4" customFormat="1" x14ac:dyDescent="0.2">
      <c r="A1285" s="598">
        <v>4231</v>
      </c>
      <c r="B1285" s="599" t="s">
        <v>62</v>
      </c>
      <c r="C1285" s="654"/>
      <c r="D1285" s="592"/>
      <c r="E1285" s="592"/>
      <c r="F1285" s="513"/>
      <c r="G1285" s="592"/>
      <c r="H1285" s="592"/>
      <c r="I1285" s="592"/>
      <c r="J1285" s="592">
        <v>392000</v>
      </c>
      <c r="K1285" s="592"/>
    </row>
    <row r="1286" spans="1:14" s="4" customFormat="1" ht="17.25" customHeight="1" x14ac:dyDescent="0.2">
      <c r="A1286" s="613">
        <v>45</v>
      </c>
      <c r="B1286" s="541" t="s">
        <v>333</v>
      </c>
      <c r="C1286" s="639">
        <f t="shared" ref="C1286:K1287" si="1092">SUM(C1287)</f>
        <v>520000</v>
      </c>
      <c r="D1286" s="652">
        <f t="shared" si="1092"/>
        <v>520000</v>
      </c>
      <c r="E1286" s="652">
        <f t="shared" si="1092"/>
        <v>0</v>
      </c>
      <c r="F1286" s="652">
        <f t="shared" si="1092"/>
        <v>0</v>
      </c>
      <c r="G1286" s="652">
        <f t="shared" si="1092"/>
        <v>0</v>
      </c>
      <c r="H1286" s="652">
        <f t="shared" si="1092"/>
        <v>0</v>
      </c>
      <c r="I1286" s="652">
        <f t="shared" si="1092"/>
        <v>480000</v>
      </c>
      <c r="J1286" s="652">
        <f t="shared" si="1092"/>
        <v>40000</v>
      </c>
      <c r="K1286" s="652">
        <f t="shared" si="1092"/>
        <v>0</v>
      </c>
    </row>
    <row r="1287" spans="1:14" s="4" customFormat="1" ht="25.5" x14ac:dyDescent="0.2">
      <c r="A1287" s="615">
        <v>451</v>
      </c>
      <c r="B1287" s="616" t="s">
        <v>55</v>
      </c>
      <c r="C1287" s="653">
        <f t="shared" si="1092"/>
        <v>520000</v>
      </c>
      <c r="D1287" s="591">
        <f t="shared" si="1092"/>
        <v>520000</v>
      </c>
      <c r="E1287" s="591">
        <f t="shared" si="1092"/>
        <v>0</v>
      </c>
      <c r="F1287" s="591">
        <f t="shared" si="1092"/>
        <v>0</v>
      </c>
      <c r="G1287" s="591">
        <f t="shared" si="1092"/>
        <v>0</v>
      </c>
      <c r="H1287" s="591">
        <f t="shared" si="1092"/>
        <v>0</v>
      </c>
      <c r="I1287" s="591">
        <f t="shared" si="1092"/>
        <v>480000</v>
      </c>
      <c r="J1287" s="591">
        <f t="shared" si="1092"/>
        <v>40000</v>
      </c>
      <c r="K1287" s="591">
        <f t="shared" si="1092"/>
        <v>0</v>
      </c>
    </row>
    <row r="1288" spans="1:14" s="4" customFormat="1" ht="25.5" x14ac:dyDescent="0.2">
      <c r="A1288" s="598">
        <v>4511</v>
      </c>
      <c r="B1288" s="599" t="s">
        <v>55</v>
      </c>
      <c r="C1288" s="654">
        <v>520000</v>
      </c>
      <c r="D1288" s="592">
        <v>520000</v>
      </c>
      <c r="E1288" s="592"/>
      <c r="F1288" s="513">
        <f t="shared" ref="F1288" si="1093">C1288-D1288+E1288</f>
        <v>0</v>
      </c>
      <c r="G1288" s="592"/>
      <c r="H1288" s="592"/>
      <c r="I1288" s="607">
        <f>1480000-1000000</f>
        <v>480000</v>
      </c>
      <c r="J1288" s="592">
        <v>40000</v>
      </c>
      <c r="K1288" s="592"/>
    </row>
    <row r="1289" spans="1:14" s="4" customFormat="1" ht="63.75" x14ac:dyDescent="0.2">
      <c r="A1289" s="573" t="s">
        <v>405</v>
      </c>
      <c r="B1289" s="562" t="s">
        <v>410</v>
      </c>
      <c r="C1289" s="643">
        <f>SUM(C1290)</f>
        <v>0</v>
      </c>
      <c r="D1289" s="643">
        <f t="shared" ref="D1289:K1289" si="1094">SUM(D1290)</f>
        <v>0</v>
      </c>
      <c r="E1289" s="643">
        <f t="shared" si="1094"/>
        <v>0</v>
      </c>
      <c r="F1289" s="643">
        <f t="shared" si="1094"/>
        <v>0</v>
      </c>
      <c r="G1289" s="643">
        <f t="shared" si="1094"/>
        <v>0</v>
      </c>
      <c r="H1289" s="643">
        <f t="shared" si="1094"/>
        <v>0</v>
      </c>
      <c r="I1289" s="643">
        <f t="shared" si="1094"/>
        <v>413000</v>
      </c>
      <c r="J1289" s="643">
        <f t="shared" si="1094"/>
        <v>219000</v>
      </c>
      <c r="K1289" s="643">
        <f t="shared" si="1094"/>
        <v>0</v>
      </c>
    </row>
    <row r="1290" spans="1:14" s="4" customFormat="1" x14ac:dyDescent="0.2">
      <c r="A1290" s="710" t="s">
        <v>106</v>
      </c>
      <c r="B1290" s="710"/>
      <c r="C1290" s="657">
        <f>SUM(C1291,C1294)</f>
        <v>0</v>
      </c>
      <c r="D1290" s="657">
        <f t="shared" ref="D1290:K1290" si="1095">SUM(D1291,D1294)</f>
        <v>0</v>
      </c>
      <c r="E1290" s="657">
        <f t="shared" si="1095"/>
        <v>0</v>
      </c>
      <c r="F1290" s="657">
        <f t="shared" si="1095"/>
        <v>0</v>
      </c>
      <c r="G1290" s="657">
        <f t="shared" si="1095"/>
        <v>0</v>
      </c>
      <c r="H1290" s="657">
        <f t="shared" si="1095"/>
        <v>0</v>
      </c>
      <c r="I1290" s="657">
        <f t="shared" si="1095"/>
        <v>413000</v>
      </c>
      <c r="J1290" s="657">
        <f t="shared" si="1095"/>
        <v>219000</v>
      </c>
      <c r="K1290" s="657">
        <f t="shared" si="1095"/>
        <v>0</v>
      </c>
    </row>
    <row r="1291" spans="1:14" s="4" customFormat="1" ht="12" customHeight="1" x14ac:dyDescent="0.2">
      <c r="A1291" s="613">
        <v>31</v>
      </c>
      <c r="B1291" s="614" t="s">
        <v>323</v>
      </c>
      <c r="C1291" s="518">
        <f t="shared" ref="C1291:D1291" si="1096">SUM(C1292,C1294)</f>
        <v>0</v>
      </c>
      <c r="D1291" s="518">
        <f t="shared" si="1096"/>
        <v>0</v>
      </c>
      <c r="E1291" s="518">
        <f t="shared" ref="E1291:K1291" si="1097">SUM(E1292,)</f>
        <v>0</v>
      </c>
      <c r="F1291" s="518">
        <f t="shared" si="1097"/>
        <v>0</v>
      </c>
      <c r="G1291" s="518">
        <f t="shared" si="1097"/>
        <v>0</v>
      </c>
      <c r="H1291" s="518">
        <f t="shared" si="1097"/>
        <v>0</v>
      </c>
      <c r="I1291" s="518">
        <f t="shared" si="1097"/>
        <v>71000</v>
      </c>
      <c r="J1291" s="518">
        <f t="shared" si="1097"/>
        <v>71000</v>
      </c>
      <c r="K1291" s="518">
        <f t="shared" si="1097"/>
        <v>0</v>
      </c>
    </row>
    <row r="1292" spans="1:14" s="4" customFormat="1" ht="17.25" hidden="1" customHeight="1" x14ac:dyDescent="0.2">
      <c r="A1292" s="615">
        <v>311</v>
      </c>
      <c r="B1292" s="616" t="s">
        <v>4</v>
      </c>
      <c r="C1292" s="552">
        <f t="shared" ref="C1292:K1292" si="1098">SUM(C1293)</f>
        <v>0</v>
      </c>
      <c r="D1292" s="552">
        <f t="shared" si="1098"/>
        <v>0</v>
      </c>
      <c r="E1292" s="552">
        <f t="shared" si="1098"/>
        <v>0</v>
      </c>
      <c r="F1292" s="552">
        <f t="shared" si="1098"/>
        <v>0</v>
      </c>
      <c r="G1292" s="552">
        <f t="shared" si="1098"/>
        <v>0</v>
      </c>
      <c r="H1292" s="552">
        <f t="shared" si="1098"/>
        <v>0</v>
      </c>
      <c r="I1292" s="552">
        <f t="shared" si="1098"/>
        <v>71000</v>
      </c>
      <c r="J1292" s="552">
        <f t="shared" si="1098"/>
        <v>71000</v>
      </c>
      <c r="K1292" s="552">
        <f t="shared" si="1098"/>
        <v>0</v>
      </c>
    </row>
    <row r="1293" spans="1:14" s="4" customFormat="1" ht="17.25" customHeight="1" x14ac:dyDescent="0.2">
      <c r="A1293" s="598">
        <v>3111</v>
      </c>
      <c r="B1293" s="599" t="s">
        <v>5</v>
      </c>
      <c r="C1293" s="528">
        <v>0</v>
      </c>
      <c r="D1293" s="528"/>
      <c r="E1293" s="528"/>
      <c r="F1293" s="513">
        <f t="shared" ref="F1293" si="1099">C1293-D1293+E1293</f>
        <v>0</v>
      </c>
      <c r="G1293" s="528"/>
      <c r="H1293" s="528"/>
      <c r="I1293" s="528">
        <v>71000</v>
      </c>
      <c r="J1293" s="528">
        <v>71000</v>
      </c>
      <c r="K1293" s="528"/>
    </row>
    <row r="1294" spans="1:14" s="4" customFormat="1" ht="18.75" hidden="1" customHeight="1" x14ac:dyDescent="0.2">
      <c r="A1294" s="660">
        <v>32</v>
      </c>
      <c r="B1294" s="661" t="s">
        <v>325</v>
      </c>
      <c r="C1294" s="662">
        <f>SUM(C1297)</f>
        <v>0</v>
      </c>
      <c r="D1294" s="663">
        <f>SUM(D1297)</f>
        <v>0</v>
      </c>
      <c r="E1294" s="663">
        <f>SUM(E1295+E1298+E1302)</f>
        <v>0</v>
      </c>
      <c r="F1294" s="583">
        <f>C1294-D1294+E1294</f>
        <v>0</v>
      </c>
      <c r="G1294" s="663">
        <f>SUM(G1295+G1298+G1302)</f>
        <v>0</v>
      </c>
      <c r="H1294" s="663">
        <f>SUM(H1295+H1298+H1302)</f>
        <v>0</v>
      </c>
      <c r="I1294" s="663">
        <f>SUM(I1295+I1298+I1302,I1306)</f>
        <v>342000</v>
      </c>
      <c r="J1294" s="663">
        <f t="shared" ref="J1294:K1294" si="1100">SUM(J1295+J1298+J1302,J1306)</f>
        <v>148000</v>
      </c>
      <c r="K1294" s="663">
        <f t="shared" si="1100"/>
        <v>0</v>
      </c>
    </row>
    <row r="1295" spans="1:14" s="4" customFormat="1" ht="14.25" customHeight="1" x14ac:dyDescent="0.2">
      <c r="A1295" s="601">
        <v>321</v>
      </c>
      <c r="B1295" s="509" t="s">
        <v>12</v>
      </c>
      <c r="C1295" s="653"/>
      <c r="D1295" s="591"/>
      <c r="E1295" s="591">
        <f>SUM(E1296:E1297)</f>
        <v>0</v>
      </c>
      <c r="F1295" s="510">
        <f t="shared" ref="F1295:F1300" si="1101">C1295-D1295+E1295</f>
        <v>0</v>
      </c>
      <c r="G1295" s="591">
        <f>SUM(G1296:G1297)</f>
        <v>0</v>
      </c>
      <c r="H1295" s="591">
        <f>SUM(H1296:H1297)</f>
        <v>0</v>
      </c>
      <c r="I1295" s="591">
        <f>SUM(I1296:I1297)</f>
        <v>54000</v>
      </c>
      <c r="J1295" s="591">
        <f>SUM(J1296:J1297)</f>
        <v>97000</v>
      </c>
      <c r="K1295" s="591">
        <f>SUM(K1296:K1297)</f>
        <v>0</v>
      </c>
    </row>
    <row r="1296" spans="1:14" s="4" customFormat="1" ht="0.75" hidden="1" customHeight="1" x14ac:dyDescent="0.2">
      <c r="A1296" s="598">
        <v>3211</v>
      </c>
      <c r="B1296" s="599" t="s">
        <v>13</v>
      </c>
      <c r="C1296" s="528">
        <v>0</v>
      </c>
      <c r="D1296" s="528"/>
      <c r="E1296" s="528"/>
      <c r="F1296" s="513">
        <f t="shared" si="1101"/>
        <v>0</v>
      </c>
      <c r="G1296" s="528"/>
      <c r="H1296" s="528"/>
      <c r="I1296" s="528">
        <v>54000</v>
      </c>
      <c r="J1296" s="528">
        <v>97000</v>
      </c>
      <c r="K1296" s="528"/>
    </row>
    <row r="1297" spans="1:11" s="4" customFormat="1" ht="17.25" customHeight="1" x14ac:dyDescent="0.2">
      <c r="A1297" s="511">
        <v>3213</v>
      </c>
      <c r="B1297" s="512" t="s">
        <v>15</v>
      </c>
      <c r="C1297" s="658">
        <v>0</v>
      </c>
      <c r="D1297" s="609"/>
      <c r="E1297" s="609"/>
      <c r="F1297" s="513">
        <f t="shared" si="1101"/>
        <v>0</v>
      </c>
      <c r="G1297" s="609"/>
      <c r="H1297" s="609"/>
      <c r="I1297" s="609"/>
      <c r="J1297" s="609"/>
      <c r="K1297" s="609"/>
    </row>
    <row r="1298" spans="1:11" s="4" customFormat="1" x14ac:dyDescent="0.2">
      <c r="A1298" s="508">
        <v>322</v>
      </c>
      <c r="B1298" s="509" t="s">
        <v>16</v>
      </c>
      <c r="C1298" s="658"/>
      <c r="D1298" s="658"/>
      <c r="E1298" s="659">
        <f>SUM(E1299:E1300)</f>
        <v>0</v>
      </c>
      <c r="F1298" s="510">
        <f t="shared" si="1101"/>
        <v>0</v>
      </c>
      <c r="G1298" s="659">
        <f>SUM(G1299:G1301)</f>
        <v>0</v>
      </c>
      <c r="H1298" s="659">
        <f t="shared" ref="H1298" si="1102">SUM(H1299:H1301)</f>
        <v>0</v>
      </c>
      <c r="I1298" s="659">
        <f t="shared" ref="I1298" si="1103">SUM(I1299:I1301)</f>
        <v>1000</v>
      </c>
      <c r="J1298" s="659">
        <f t="shared" ref="J1298" si="1104">SUM(J1299:J1301)</f>
        <v>1000</v>
      </c>
      <c r="K1298" s="659">
        <f t="shared" ref="K1298" si="1105">SUM(K1299:K1301)</f>
        <v>0</v>
      </c>
    </row>
    <row r="1299" spans="1:11" s="4" customFormat="1" x14ac:dyDescent="0.2">
      <c r="A1299" s="511">
        <v>3222</v>
      </c>
      <c r="B1299" s="512" t="s">
        <v>18</v>
      </c>
      <c r="C1299" s="651">
        <v>0</v>
      </c>
      <c r="D1299" s="651"/>
      <c r="E1299" s="651"/>
      <c r="F1299" s="513">
        <f t="shared" si="1101"/>
        <v>0</v>
      </c>
      <c r="G1299" s="651"/>
      <c r="H1299" s="651"/>
      <c r="I1299" s="651"/>
      <c r="J1299" s="651"/>
      <c r="K1299" s="651"/>
    </row>
    <row r="1300" spans="1:11" s="4" customFormat="1" x14ac:dyDescent="0.2">
      <c r="A1300" s="598">
        <v>3223</v>
      </c>
      <c r="B1300" s="599" t="s">
        <v>19</v>
      </c>
      <c r="C1300" s="654">
        <v>0</v>
      </c>
      <c r="D1300" s="592"/>
      <c r="E1300" s="592"/>
      <c r="F1300" s="513">
        <f t="shared" si="1101"/>
        <v>0</v>
      </c>
      <c r="G1300" s="592"/>
      <c r="H1300" s="592"/>
      <c r="I1300" s="592">
        <v>1000</v>
      </c>
      <c r="J1300" s="592">
        <v>1000</v>
      </c>
      <c r="K1300" s="592"/>
    </row>
    <row r="1301" spans="1:11" s="4" customFormat="1" x14ac:dyDescent="0.2">
      <c r="A1301" s="598">
        <v>3225</v>
      </c>
      <c r="B1301" s="599" t="s">
        <v>21</v>
      </c>
      <c r="C1301" s="654"/>
      <c r="D1301" s="592"/>
      <c r="E1301" s="592"/>
      <c r="F1301" s="513"/>
      <c r="G1301" s="592"/>
      <c r="H1301" s="592"/>
      <c r="I1301" s="592"/>
      <c r="J1301" s="592"/>
      <c r="K1301" s="592"/>
    </row>
    <row r="1302" spans="1:11" s="4" customFormat="1" x14ac:dyDescent="0.2">
      <c r="A1302" s="615">
        <v>323</v>
      </c>
      <c r="B1302" s="509" t="s">
        <v>23</v>
      </c>
      <c r="C1302" s="654"/>
      <c r="D1302" s="592"/>
      <c r="E1302" s="591">
        <f>SUM(E1303:E1305)</f>
        <v>0</v>
      </c>
      <c r="F1302" s="510">
        <f t="shared" ref="F1302:F1307" si="1106">C1302-D1302+E1302</f>
        <v>0</v>
      </c>
      <c r="G1302" s="591">
        <f>SUM(G1303:G1305)</f>
        <v>0</v>
      </c>
      <c r="H1302" s="591">
        <f>SUM(H1303:H1305)</f>
        <v>0</v>
      </c>
      <c r="I1302" s="591">
        <f>SUM(I1303:I1305)</f>
        <v>262000</v>
      </c>
      <c r="J1302" s="591">
        <f t="shared" ref="J1302:K1302" si="1107">SUM(J1303:J1305)</f>
        <v>37000</v>
      </c>
      <c r="K1302" s="591">
        <f t="shared" si="1107"/>
        <v>0</v>
      </c>
    </row>
    <row r="1303" spans="1:11" s="4" customFormat="1" x14ac:dyDescent="0.2">
      <c r="A1303" s="598">
        <v>3233</v>
      </c>
      <c r="B1303" s="599" t="s">
        <v>26</v>
      </c>
      <c r="C1303" s="654">
        <v>0</v>
      </c>
      <c r="D1303" s="592"/>
      <c r="E1303" s="592"/>
      <c r="F1303" s="513">
        <f t="shared" si="1106"/>
        <v>0</v>
      </c>
      <c r="G1303" s="592"/>
      <c r="H1303" s="592"/>
      <c r="I1303" s="592">
        <v>122000</v>
      </c>
      <c r="J1303" s="592">
        <v>30000</v>
      </c>
      <c r="K1303" s="592"/>
    </row>
    <row r="1304" spans="1:11" s="4" customFormat="1" x14ac:dyDescent="0.2">
      <c r="A1304" s="598">
        <v>3235</v>
      </c>
      <c r="B1304" s="599" t="s">
        <v>28</v>
      </c>
      <c r="C1304" s="654"/>
      <c r="D1304" s="592"/>
      <c r="E1304" s="592"/>
      <c r="F1304" s="513"/>
      <c r="G1304" s="592"/>
      <c r="H1304" s="592"/>
      <c r="I1304" s="592">
        <v>13000</v>
      </c>
      <c r="J1304" s="592">
        <v>7000</v>
      </c>
      <c r="K1304" s="592"/>
    </row>
    <row r="1305" spans="1:11" s="4" customFormat="1" x14ac:dyDescent="0.2">
      <c r="A1305" s="598">
        <v>3237</v>
      </c>
      <c r="B1305" s="532" t="s">
        <v>30</v>
      </c>
      <c r="C1305" s="654"/>
      <c r="D1305" s="592"/>
      <c r="E1305" s="592"/>
      <c r="F1305" s="513">
        <f t="shared" si="1106"/>
        <v>0</v>
      </c>
      <c r="G1305" s="592"/>
      <c r="H1305" s="592"/>
      <c r="I1305" s="592">
        <v>127000</v>
      </c>
      <c r="J1305" s="592"/>
      <c r="K1305" s="592"/>
    </row>
    <row r="1306" spans="1:11" s="4" customFormat="1" x14ac:dyDescent="0.2">
      <c r="A1306" s="508">
        <v>329</v>
      </c>
      <c r="B1306" s="509" t="s">
        <v>33</v>
      </c>
      <c r="C1306" s="650">
        <f t="shared" ref="C1306:K1306" si="1108">SUM(C1307)</f>
        <v>0</v>
      </c>
      <c r="D1306" s="510">
        <f t="shared" si="1108"/>
        <v>0</v>
      </c>
      <c r="E1306" s="510">
        <f t="shared" si="1108"/>
        <v>0</v>
      </c>
      <c r="F1306" s="510">
        <f t="shared" si="1106"/>
        <v>0</v>
      </c>
      <c r="G1306" s="510">
        <f t="shared" si="1108"/>
        <v>0</v>
      </c>
      <c r="H1306" s="510">
        <f t="shared" si="1108"/>
        <v>0</v>
      </c>
      <c r="I1306" s="510">
        <f t="shared" si="1108"/>
        <v>25000</v>
      </c>
      <c r="J1306" s="510">
        <f t="shared" si="1108"/>
        <v>13000</v>
      </c>
      <c r="K1306" s="510">
        <f t="shared" si="1108"/>
        <v>0</v>
      </c>
    </row>
    <row r="1307" spans="1:11" s="4" customFormat="1" x14ac:dyDescent="0.2">
      <c r="A1307" s="511">
        <v>3293</v>
      </c>
      <c r="B1307" s="512" t="s">
        <v>36</v>
      </c>
      <c r="C1307" s="651">
        <v>0</v>
      </c>
      <c r="D1307" s="513"/>
      <c r="E1307" s="513"/>
      <c r="F1307" s="513">
        <f t="shared" si="1106"/>
        <v>0</v>
      </c>
      <c r="G1307" s="513"/>
      <c r="H1307" s="513"/>
      <c r="I1307" s="513">
        <v>25000</v>
      </c>
      <c r="J1307" s="513">
        <v>13000</v>
      </c>
      <c r="K1307" s="513"/>
    </row>
    <row r="1308" spans="1:11" s="4" customFormat="1" ht="25.5" x14ac:dyDescent="0.2">
      <c r="A1308" s="573" t="s">
        <v>408</v>
      </c>
      <c r="B1308" s="562" t="s">
        <v>409</v>
      </c>
      <c r="C1308" s="643">
        <f>SUM(C1309)</f>
        <v>0</v>
      </c>
      <c r="D1308" s="643">
        <f t="shared" ref="D1308:F1308" si="1109">SUM(D1309)</f>
        <v>0</v>
      </c>
      <c r="E1308" s="643">
        <f t="shared" si="1109"/>
        <v>0</v>
      </c>
      <c r="F1308" s="643">
        <f t="shared" si="1109"/>
        <v>0</v>
      </c>
      <c r="G1308" s="589">
        <f>SUM(G1309)</f>
        <v>0</v>
      </c>
      <c r="H1308" s="589">
        <f>SUM(H1309)</f>
        <v>0</v>
      </c>
      <c r="I1308" s="589">
        <f t="shared" ref="I1308:K1308" si="1110">SUM(I1309)</f>
        <v>389000</v>
      </c>
      <c r="J1308" s="589">
        <f t="shared" si="1110"/>
        <v>8000</v>
      </c>
      <c r="K1308" s="589">
        <f t="shared" si="1110"/>
        <v>0</v>
      </c>
    </row>
    <row r="1309" spans="1:11" s="4" customFormat="1" x14ac:dyDescent="0.2">
      <c r="A1309" s="710" t="s">
        <v>106</v>
      </c>
      <c r="B1309" s="710"/>
      <c r="C1309" s="657">
        <f t="shared" ref="C1309:H1309" si="1111">SUM(C1310,C1313)</f>
        <v>0</v>
      </c>
      <c r="D1309" s="590">
        <f t="shared" si="1111"/>
        <v>0</v>
      </c>
      <c r="E1309" s="590">
        <f t="shared" si="1111"/>
        <v>0</v>
      </c>
      <c r="F1309" s="590">
        <f t="shared" si="1111"/>
        <v>0</v>
      </c>
      <c r="G1309" s="590">
        <f t="shared" si="1111"/>
        <v>0</v>
      </c>
      <c r="H1309" s="590">
        <f t="shared" si="1111"/>
        <v>0</v>
      </c>
      <c r="I1309" s="590">
        <f t="shared" ref="I1309:K1309" si="1112">SUM(I1310,I1313)</f>
        <v>389000</v>
      </c>
      <c r="J1309" s="590">
        <f t="shared" si="1112"/>
        <v>8000</v>
      </c>
      <c r="K1309" s="590">
        <f t="shared" si="1112"/>
        <v>0</v>
      </c>
    </row>
    <row r="1310" spans="1:11" s="4" customFormat="1" x14ac:dyDescent="0.2">
      <c r="A1310" s="613">
        <v>31</v>
      </c>
      <c r="B1310" s="614" t="s">
        <v>323</v>
      </c>
      <c r="C1310" s="518">
        <f t="shared" ref="C1310:D1310" si="1113">SUM(C1311,C1313)</f>
        <v>0</v>
      </c>
      <c r="D1310" s="518">
        <f t="shared" si="1113"/>
        <v>0</v>
      </c>
      <c r="E1310" s="518">
        <f t="shared" ref="E1310:K1310" si="1114">SUM(E1311,)</f>
        <v>0</v>
      </c>
      <c r="F1310" s="518">
        <f t="shared" si="1114"/>
        <v>0</v>
      </c>
      <c r="G1310" s="518">
        <f t="shared" si="1114"/>
        <v>0</v>
      </c>
      <c r="H1310" s="518">
        <f t="shared" si="1114"/>
        <v>0</v>
      </c>
      <c r="I1310" s="518">
        <f t="shared" si="1114"/>
        <v>204000</v>
      </c>
      <c r="J1310" s="518">
        <f t="shared" si="1114"/>
        <v>0</v>
      </c>
      <c r="K1310" s="518">
        <f t="shared" si="1114"/>
        <v>0</v>
      </c>
    </row>
    <row r="1311" spans="1:11" s="4" customFormat="1" x14ac:dyDescent="0.2">
      <c r="A1311" s="615">
        <v>311</v>
      </c>
      <c r="B1311" s="616" t="s">
        <v>4</v>
      </c>
      <c r="C1311" s="552">
        <f t="shared" ref="C1311:K1311" si="1115">SUM(C1312)</f>
        <v>0</v>
      </c>
      <c r="D1311" s="552">
        <f t="shared" si="1115"/>
        <v>0</v>
      </c>
      <c r="E1311" s="552">
        <f t="shared" si="1115"/>
        <v>0</v>
      </c>
      <c r="F1311" s="552">
        <f t="shared" si="1115"/>
        <v>0</v>
      </c>
      <c r="G1311" s="552">
        <f t="shared" si="1115"/>
        <v>0</v>
      </c>
      <c r="H1311" s="552">
        <f t="shared" si="1115"/>
        <v>0</v>
      </c>
      <c r="I1311" s="552">
        <f t="shared" si="1115"/>
        <v>204000</v>
      </c>
      <c r="J1311" s="552">
        <f t="shared" si="1115"/>
        <v>0</v>
      </c>
      <c r="K1311" s="552">
        <f t="shared" si="1115"/>
        <v>0</v>
      </c>
    </row>
    <row r="1312" spans="1:11" s="4" customFormat="1" x14ac:dyDescent="0.2">
      <c r="A1312" s="598">
        <v>3111</v>
      </c>
      <c r="B1312" s="599" t="s">
        <v>5</v>
      </c>
      <c r="C1312" s="528">
        <v>0</v>
      </c>
      <c r="D1312" s="528"/>
      <c r="E1312" s="528"/>
      <c r="F1312" s="513">
        <f t="shared" ref="F1312" si="1116">C1312-D1312+E1312</f>
        <v>0</v>
      </c>
      <c r="G1312" s="528"/>
      <c r="H1312" s="528"/>
      <c r="I1312" s="528">
        <v>204000</v>
      </c>
      <c r="J1312" s="528"/>
      <c r="K1312" s="528"/>
    </row>
    <row r="1313" spans="1:11" s="4" customFormat="1" x14ac:dyDescent="0.2">
      <c r="A1313" s="637">
        <v>32</v>
      </c>
      <c r="B1313" s="638" t="s">
        <v>325</v>
      </c>
      <c r="C1313" s="639">
        <f>SUM(C1316)</f>
        <v>0</v>
      </c>
      <c r="D1313" s="652">
        <f>SUM(D1316)</f>
        <v>0</v>
      </c>
      <c r="E1313" s="652">
        <f>SUM(E1314+E1317+E1321)</f>
        <v>0</v>
      </c>
      <c r="F1313" s="507">
        <f>C1313-D1313+E1313</f>
        <v>0</v>
      </c>
      <c r="G1313" s="652">
        <f>SUM(G1314+G1317+G1321)</f>
        <v>0</v>
      </c>
      <c r="H1313" s="652">
        <f>SUM(H1314+H1317+H1321)</f>
        <v>0</v>
      </c>
      <c r="I1313" s="652">
        <f>SUM(I1314+I1317+I1321,I1326)</f>
        <v>185000</v>
      </c>
      <c r="J1313" s="652">
        <f t="shared" ref="J1313:K1313" si="1117">SUM(J1314+J1317+J1321,J1326)</f>
        <v>8000</v>
      </c>
      <c r="K1313" s="652">
        <f t="shared" si="1117"/>
        <v>0</v>
      </c>
    </row>
    <row r="1314" spans="1:11" s="4" customFormat="1" x14ac:dyDescent="0.2">
      <c r="A1314" s="601">
        <v>321</v>
      </c>
      <c r="B1314" s="509" t="s">
        <v>12</v>
      </c>
      <c r="C1314" s="653"/>
      <c r="D1314" s="591"/>
      <c r="E1314" s="591">
        <f>SUM(E1315:E1316)</f>
        <v>0</v>
      </c>
      <c r="F1314" s="510">
        <f t="shared" ref="F1314:F1319" si="1118">C1314-D1314+E1314</f>
        <v>0</v>
      </c>
      <c r="G1314" s="591">
        <f>SUM(G1315:G1316)</f>
        <v>0</v>
      </c>
      <c r="H1314" s="591">
        <f>SUM(H1315:H1316)</f>
        <v>0</v>
      </c>
      <c r="I1314" s="591">
        <f>SUM(I1315:I1316)</f>
        <v>14000</v>
      </c>
      <c r="J1314" s="591">
        <f>SUM(J1315:J1316)</f>
        <v>0</v>
      </c>
      <c r="K1314" s="591">
        <f>SUM(K1315:K1316)</f>
        <v>0</v>
      </c>
    </row>
    <row r="1315" spans="1:11" s="4" customFormat="1" x14ac:dyDescent="0.2">
      <c r="A1315" s="598">
        <v>3211</v>
      </c>
      <c r="B1315" s="599" t="s">
        <v>13</v>
      </c>
      <c r="C1315" s="528">
        <v>0</v>
      </c>
      <c r="D1315" s="528"/>
      <c r="E1315" s="528"/>
      <c r="F1315" s="513">
        <f t="shared" si="1118"/>
        <v>0</v>
      </c>
      <c r="G1315" s="528"/>
      <c r="H1315" s="528"/>
      <c r="I1315" s="528">
        <v>11000</v>
      </c>
      <c r="J1315" s="528"/>
      <c r="K1315" s="528"/>
    </row>
    <row r="1316" spans="1:11" s="4" customFormat="1" x14ac:dyDescent="0.2">
      <c r="A1316" s="511">
        <v>3213</v>
      </c>
      <c r="B1316" s="512" t="s">
        <v>15</v>
      </c>
      <c r="C1316" s="658">
        <v>0</v>
      </c>
      <c r="D1316" s="609"/>
      <c r="E1316" s="609"/>
      <c r="F1316" s="513">
        <f t="shared" si="1118"/>
        <v>0</v>
      </c>
      <c r="G1316" s="609"/>
      <c r="H1316" s="609"/>
      <c r="I1316" s="609">
        <v>3000</v>
      </c>
      <c r="J1316" s="609"/>
      <c r="K1316" s="609"/>
    </row>
    <row r="1317" spans="1:11" s="4" customFormat="1" x14ac:dyDescent="0.2">
      <c r="A1317" s="508">
        <v>322</v>
      </c>
      <c r="B1317" s="509" t="s">
        <v>16</v>
      </c>
      <c r="C1317" s="658"/>
      <c r="D1317" s="658"/>
      <c r="E1317" s="659">
        <f>SUM(E1318:E1319)</f>
        <v>0</v>
      </c>
      <c r="F1317" s="510">
        <f t="shared" si="1118"/>
        <v>0</v>
      </c>
      <c r="G1317" s="659">
        <f>SUM(G1318:G1320)</f>
        <v>0</v>
      </c>
      <c r="H1317" s="659">
        <f t="shared" ref="H1317:K1317" si="1119">SUM(H1318:H1320)</f>
        <v>0</v>
      </c>
      <c r="I1317" s="659">
        <f t="shared" si="1119"/>
        <v>2000</v>
      </c>
      <c r="J1317" s="659">
        <f t="shared" si="1119"/>
        <v>0</v>
      </c>
      <c r="K1317" s="659">
        <f t="shared" si="1119"/>
        <v>0</v>
      </c>
    </row>
    <row r="1318" spans="1:11" s="4" customFormat="1" x14ac:dyDescent="0.2">
      <c r="A1318" s="511">
        <v>3222</v>
      </c>
      <c r="B1318" s="512" t="s">
        <v>18</v>
      </c>
      <c r="C1318" s="651">
        <v>0</v>
      </c>
      <c r="D1318" s="651"/>
      <c r="E1318" s="651"/>
      <c r="F1318" s="513">
        <f t="shared" si="1118"/>
        <v>0</v>
      </c>
      <c r="G1318" s="651"/>
      <c r="H1318" s="651"/>
      <c r="I1318" s="651">
        <v>2000</v>
      </c>
      <c r="J1318" s="651"/>
      <c r="K1318" s="651"/>
    </row>
    <row r="1319" spans="1:11" s="4" customFormat="1" x14ac:dyDescent="0.2">
      <c r="A1319" s="598">
        <v>3223</v>
      </c>
      <c r="B1319" s="599" t="s">
        <v>19</v>
      </c>
      <c r="C1319" s="654">
        <v>0</v>
      </c>
      <c r="D1319" s="592"/>
      <c r="E1319" s="592"/>
      <c r="F1319" s="513">
        <f t="shared" si="1118"/>
        <v>0</v>
      </c>
      <c r="G1319" s="592"/>
      <c r="H1319" s="592"/>
      <c r="I1319" s="592"/>
      <c r="J1319" s="592"/>
      <c r="K1319" s="592"/>
    </row>
    <row r="1320" spans="1:11" s="4" customFormat="1" x14ac:dyDescent="0.2">
      <c r="A1320" s="598">
        <v>3225</v>
      </c>
      <c r="B1320" s="599" t="s">
        <v>21</v>
      </c>
      <c r="C1320" s="654"/>
      <c r="D1320" s="592"/>
      <c r="E1320" s="592"/>
      <c r="F1320" s="513"/>
      <c r="G1320" s="592"/>
      <c r="H1320" s="592"/>
      <c r="I1320" s="592"/>
      <c r="J1320" s="592"/>
      <c r="K1320" s="592"/>
    </row>
    <row r="1321" spans="1:11" s="4" customFormat="1" x14ac:dyDescent="0.2">
      <c r="A1321" s="615">
        <v>323</v>
      </c>
      <c r="B1321" s="509" t="s">
        <v>23</v>
      </c>
      <c r="C1321" s="654"/>
      <c r="D1321" s="592"/>
      <c r="E1321" s="591">
        <f>SUM(E1322:E1324)</f>
        <v>0</v>
      </c>
      <c r="F1321" s="510">
        <f t="shared" ref="F1321:F1322" si="1120">C1321-D1321+E1321</f>
        <v>0</v>
      </c>
      <c r="G1321" s="591">
        <f>SUM(G1322:G1324)</f>
        <v>0</v>
      </c>
      <c r="H1321" s="591">
        <f>SUM(H1322:H1324)</f>
        <v>0</v>
      </c>
      <c r="I1321" s="591">
        <f>SUM(I1322:I1325)</f>
        <v>157000</v>
      </c>
      <c r="J1321" s="591">
        <f t="shared" ref="J1321:K1321" si="1121">SUM(J1322:J1325)</f>
        <v>8000</v>
      </c>
      <c r="K1321" s="591">
        <f t="shared" si="1121"/>
        <v>0</v>
      </c>
    </row>
    <row r="1322" spans="1:11" s="4" customFormat="1" x14ac:dyDescent="0.2">
      <c r="A1322" s="598">
        <v>3233</v>
      </c>
      <c r="B1322" s="599" t="s">
        <v>26</v>
      </c>
      <c r="C1322" s="654">
        <v>0</v>
      </c>
      <c r="D1322" s="592"/>
      <c r="E1322" s="592"/>
      <c r="F1322" s="513">
        <f t="shared" si="1120"/>
        <v>0</v>
      </c>
      <c r="G1322" s="592"/>
      <c r="H1322" s="592"/>
      <c r="I1322" s="592">
        <v>10000</v>
      </c>
      <c r="J1322" s="592"/>
      <c r="K1322" s="592"/>
    </row>
    <row r="1323" spans="1:11" s="4" customFormat="1" x14ac:dyDescent="0.2">
      <c r="A1323" s="598">
        <v>3235</v>
      </c>
      <c r="B1323" s="599" t="s">
        <v>28</v>
      </c>
      <c r="C1323" s="654"/>
      <c r="D1323" s="592"/>
      <c r="E1323" s="592"/>
      <c r="F1323" s="513"/>
      <c r="G1323" s="592"/>
      <c r="H1323" s="592"/>
      <c r="I1323" s="592">
        <v>11000</v>
      </c>
      <c r="J1323" s="592">
        <v>3000</v>
      </c>
      <c r="K1323" s="592"/>
    </row>
    <row r="1324" spans="1:11" s="4" customFormat="1" x14ac:dyDescent="0.2">
      <c r="A1324" s="598">
        <v>3237</v>
      </c>
      <c r="B1324" s="532" t="s">
        <v>30</v>
      </c>
      <c r="C1324" s="654"/>
      <c r="D1324" s="592"/>
      <c r="E1324" s="592"/>
      <c r="F1324" s="513">
        <f t="shared" ref="F1324" si="1122">C1324-D1324+E1324</f>
        <v>0</v>
      </c>
      <c r="G1324" s="592"/>
      <c r="H1324" s="592"/>
      <c r="I1324" s="592">
        <v>6000</v>
      </c>
      <c r="J1324" s="592">
        <v>1000</v>
      </c>
      <c r="K1324" s="592"/>
    </row>
    <row r="1325" spans="1:11" s="4" customFormat="1" x14ac:dyDescent="0.2">
      <c r="A1325" s="598">
        <v>3239</v>
      </c>
      <c r="B1325" s="532" t="s">
        <v>31</v>
      </c>
      <c r="C1325" s="654"/>
      <c r="D1325" s="592"/>
      <c r="E1325" s="592"/>
      <c r="F1325" s="513"/>
      <c r="G1325" s="592"/>
      <c r="H1325" s="592"/>
      <c r="I1325" s="592">
        <v>130000</v>
      </c>
      <c r="J1325" s="592">
        <v>4000</v>
      </c>
      <c r="K1325" s="592"/>
    </row>
    <row r="1326" spans="1:11" s="4" customFormat="1" ht="25.5" x14ac:dyDescent="0.2">
      <c r="A1326" s="615">
        <v>324</v>
      </c>
      <c r="B1326" s="616" t="s">
        <v>32</v>
      </c>
      <c r="C1326" s="653"/>
      <c r="D1326" s="591"/>
      <c r="E1326" s="591"/>
      <c r="F1326" s="510"/>
      <c r="G1326" s="591"/>
      <c r="H1326" s="591"/>
      <c r="I1326" s="591">
        <f>SUM(I1327)</f>
        <v>12000</v>
      </c>
      <c r="J1326" s="591">
        <f t="shared" ref="J1326:K1326" si="1123">SUM(J1327)</f>
        <v>0</v>
      </c>
      <c r="K1326" s="591">
        <f t="shared" si="1123"/>
        <v>0</v>
      </c>
    </row>
    <row r="1327" spans="1:11" s="4" customFormat="1" ht="25.5" x14ac:dyDescent="0.2">
      <c r="A1327" s="598">
        <v>3241</v>
      </c>
      <c r="B1327" s="599" t="s">
        <v>32</v>
      </c>
      <c r="C1327" s="654"/>
      <c r="D1327" s="592"/>
      <c r="E1327" s="592"/>
      <c r="F1327" s="513"/>
      <c r="G1327" s="592"/>
      <c r="H1327" s="592"/>
      <c r="I1327" s="592">
        <v>12000</v>
      </c>
      <c r="J1327" s="592"/>
      <c r="K1327" s="592"/>
    </row>
    <row r="1328" spans="1:11" s="4" customFormat="1" ht="38.25" x14ac:dyDescent="0.2">
      <c r="A1328" s="573" t="s">
        <v>402</v>
      </c>
      <c r="B1328" s="562" t="s">
        <v>403</v>
      </c>
      <c r="C1328" s="664"/>
      <c r="D1328" s="665"/>
      <c r="E1328" s="665"/>
      <c r="F1328" s="665"/>
      <c r="G1328" s="665"/>
      <c r="H1328" s="665"/>
      <c r="I1328" s="503">
        <f>SUM(I1329)</f>
        <v>15000</v>
      </c>
      <c r="J1328" s="503">
        <f t="shared" ref="J1328:K1329" si="1124">SUM(J1329)</f>
        <v>20000</v>
      </c>
      <c r="K1328" s="503">
        <f t="shared" si="1124"/>
        <v>20000</v>
      </c>
    </row>
    <row r="1329" spans="1:15" s="4" customFormat="1" x14ac:dyDescent="0.2">
      <c r="A1329" s="710" t="s">
        <v>241</v>
      </c>
      <c r="B1329" s="710"/>
      <c r="C1329" s="710"/>
      <c r="D1329" s="710"/>
      <c r="E1329" s="547"/>
      <c r="F1329" s="547"/>
      <c r="G1329" s="547"/>
      <c r="H1329" s="547"/>
      <c r="I1329" s="515">
        <f>SUM(I1330)</f>
        <v>15000</v>
      </c>
      <c r="J1329" s="515">
        <f t="shared" si="1124"/>
        <v>20000</v>
      </c>
      <c r="K1329" s="515">
        <f t="shared" si="1124"/>
        <v>20000</v>
      </c>
      <c r="M1329" s="27"/>
      <c r="N1329" s="27"/>
      <c r="O1329" s="27"/>
    </row>
    <row r="1330" spans="1:15" s="4" customFormat="1" x14ac:dyDescent="0.2">
      <c r="A1330" s="637">
        <v>32</v>
      </c>
      <c r="B1330" s="666" t="s">
        <v>325</v>
      </c>
      <c r="C1330" s="667"/>
      <c r="D1330" s="668"/>
      <c r="E1330" s="668"/>
      <c r="F1330" s="668"/>
      <c r="G1330" s="668"/>
      <c r="H1330" s="668"/>
      <c r="I1330" s="668">
        <f>SUM(I1331)</f>
        <v>15000</v>
      </c>
      <c r="J1330" s="668">
        <f t="shared" ref="J1330:K1331" si="1125">SUM(J1331)</f>
        <v>20000</v>
      </c>
      <c r="K1330" s="668">
        <f t="shared" si="1125"/>
        <v>20000</v>
      </c>
    </row>
    <row r="1331" spans="1:15" s="4" customFormat="1" x14ac:dyDescent="0.2">
      <c r="A1331" s="669" t="s">
        <v>149</v>
      </c>
      <c r="B1331" s="616" t="s">
        <v>12</v>
      </c>
      <c r="C1331" s="650"/>
      <c r="D1331" s="510"/>
      <c r="E1331" s="510"/>
      <c r="F1331" s="510"/>
      <c r="G1331" s="510"/>
      <c r="H1331" s="510"/>
      <c r="I1331" s="510">
        <f>SUM(I1332)</f>
        <v>15000</v>
      </c>
      <c r="J1331" s="510">
        <f t="shared" si="1125"/>
        <v>20000</v>
      </c>
      <c r="K1331" s="510">
        <f t="shared" si="1125"/>
        <v>20000</v>
      </c>
    </row>
    <row r="1332" spans="1:15" s="4" customFormat="1" x14ac:dyDescent="0.2">
      <c r="A1332" s="598">
        <v>3213</v>
      </c>
      <c r="B1332" s="599" t="s">
        <v>15</v>
      </c>
      <c r="C1332" s="651"/>
      <c r="D1332" s="513"/>
      <c r="E1332" s="513"/>
      <c r="F1332" s="513"/>
      <c r="G1332" s="513"/>
      <c r="H1332" s="513"/>
      <c r="I1332" s="513">
        <v>15000</v>
      </c>
      <c r="J1332" s="513">
        <v>20000</v>
      </c>
      <c r="K1332" s="513">
        <v>20000</v>
      </c>
    </row>
    <row r="1333" spans="1:15" s="4" customFormat="1" ht="38.25" x14ac:dyDescent="0.2">
      <c r="A1333" s="573" t="s">
        <v>407</v>
      </c>
      <c r="B1333" s="562" t="s">
        <v>404</v>
      </c>
      <c r="C1333" s="670"/>
      <c r="D1333" s="503"/>
      <c r="E1333" s="503"/>
      <c r="F1333" s="503"/>
      <c r="G1333" s="503"/>
      <c r="H1333" s="503"/>
      <c r="I1333" s="503">
        <f>SUM(I1334)</f>
        <v>177000</v>
      </c>
      <c r="J1333" s="503">
        <f t="shared" ref="J1333:K1333" si="1126">SUM(J1334)</f>
        <v>4430000</v>
      </c>
      <c r="K1333" s="503">
        <f t="shared" si="1126"/>
        <v>3150000</v>
      </c>
    </row>
    <row r="1334" spans="1:15" s="4" customFormat="1" x14ac:dyDescent="0.2">
      <c r="A1334" s="710" t="s">
        <v>241</v>
      </c>
      <c r="B1334" s="710"/>
      <c r="C1334" s="710"/>
      <c r="D1334" s="710"/>
      <c r="E1334" s="547"/>
      <c r="F1334" s="547"/>
      <c r="G1334" s="547"/>
      <c r="H1334" s="547"/>
      <c r="I1334" s="515">
        <f>SUM(I1335,I1338)</f>
        <v>177000</v>
      </c>
      <c r="J1334" s="515">
        <f t="shared" ref="J1334:K1334" si="1127">SUM(J1335,J1338)</f>
        <v>4430000</v>
      </c>
      <c r="K1334" s="515">
        <f t="shared" si="1127"/>
        <v>3150000</v>
      </c>
    </row>
    <row r="1335" spans="1:15" s="4" customFormat="1" x14ac:dyDescent="0.2">
      <c r="A1335" s="637">
        <v>32</v>
      </c>
      <c r="B1335" s="666" t="s">
        <v>325</v>
      </c>
      <c r="C1335" s="667"/>
      <c r="D1335" s="668"/>
      <c r="E1335" s="668"/>
      <c r="F1335" s="668"/>
      <c r="G1335" s="668"/>
      <c r="H1335" s="668"/>
      <c r="I1335" s="507">
        <f>SUM(I1336)</f>
        <v>27000</v>
      </c>
      <c r="J1335" s="507">
        <f t="shared" ref="J1335:K1336" si="1128">SUM(J1336)</f>
        <v>700000</v>
      </c>
      <c r="K1335" s="507">
        <f t="shared" si="1128"/>
        <v>410000</v>
      </c>
    </row>
    <row r="1336" spans="1:15" s="4" customFormat="1" x14ac:dyDescent="0.2">
      <c r="A1336" s="669" t="s">
        <v>149</v>
      </c>
      <c r="B1336" s="616" t="s">
        <v>12</v>
      </c>
      <c r="C1336" s="650"/>
      <c r="D1336" s="510"/>
      <c r="E1336" s="510"/>
      <c r="F1336" s="510"/>
      <c r="G1336" s="510"/>
      <c r="H1336" s="510"/>
      <c r="I1336" s="510">
        <f>SUM(I1337)</f>
        <v>27000</v>
      </c>
      <c r="J1336" s="510">
        <f t="shared" si="1128"/>
        <v>700000</v>
      </c>
      <c r="K1336" s="510">
        <f t="shared" si="1128"/>
        <v>410000</v>
      </c>
    </row>
    <row r="1337" spans="1:15" s="4" customFormat="1" x14ac:dyDescent="0.2">
      <c r="A1337" s="598">
        <v>3213</v>
      </c>
      <c r="B1337" s="599" t="s">
        <v>15</v>
      </c>
      <c r="C1337" s="651"/>
      <c r="D1337" s="513"/>
      <c r="E1337" s="513"/>
      <c r="F1337" s="513"/>
      <c r="G1337" s="513"/>
      <c r="H1337" s="513"/>
      <c r="I1337" s="513">
        <v>27000</v>
      </c>
      <c r="J1337" s="513">
        <v>700000</v>
      </c>
      <c r="K1337" s="513">
        <v>410000</v>
      </c>
    </row>
    <row r="1338" spans="1:15" s="4" customFormat="1" ht="25.5" x14ac:dyDescent="0.2">
      <c r="A1338" s="613">
        <v>42</v>
      </c>
      <c r="B1338" s="541" t="s">
        <v>331</v>
      </c>
      <c r="C1338" s="667"/>
      <c r="D1338" s="668"/>
      <c r="E1338" s="668"/>
      <c r="F1338" s="668"/>
      <c r="G1338" s="668"/>
      <c r="H1338" s="668"/>
      <c r="I1338" s="507">
        <f>SUM(I1339)</f>
        <v>150000</v>
      </c>
      <c r="J1338" s="507">
        <f t="shared" ref="J1338:K1339" si="1129">SUM(J1339)</f>
        <v>3730000</v>
      </c>
      <c r="K1338" s="507">
        <f t="shared" si="1129"/>
        <v>2740000</v>
      </c>
    </row>
    <row r="1339" spans="1:15" s="4" customFormat="1" x14ac:dyDescent="0.2">
      <c r="A1339" s="669">
        <v>422</v>
      </c>
      <c r="B1339" s="671" t="s">
        <v>53</v>
      </c>
      <c r="C1339" s="651"/>
      <c r="D1339" s="513"/>
      <c r="E1339" s="513"/>
      <c r="F1339" s="513"/>
      <c r="G1339" s="513"/>
      <c r="H1339" s="513"/>
      <c r="I1339" s="510">
        <f>SUM(I1340)</f>
        <v>150000</v>
      </c>
      <c r="J1339" s="510">
        <f t="shared" si="1129"/>
        <v>3730000</v>
      </c>
      <c r="K1339" s="510">
        <f t="shared" si="1129"/>
        <v>2740000</v>
      </c>
    </row>
    <row r="1340" spans="1:15" s="4" customFormat="1" x14ac:dyDescent="0.2">
      <c r="A1340" s="598">
        <v>4223</v>
      </c>
      <c r="B1340" s="599" t="s">
        <v>59</v>
      </c>
      <c r="C1340" s="651"/>
      <c r="D1340" s="513"/>
      <c r="E1340" s="513"/>
      <c r="F1340" s="513"/>
      <c r="G1340" s="513"/>
      <c r="H1340" s="513"/>
      <c r="I1340" s="513">
        <v>150000</v>
      </c>
      <c r="J1340" s="513">
        <v>3730000</v>
      </c>
      <c r="K1340" s="513">
        <v>2740000</v>
      </c>
    </row>
    <row r="1341" spans="1:15" s="4" customFormat="1" ht="38.25" x14ac:dyDescent="0.2">
      <c r="A1341" s="573" t="s">
        <v>412</v>
      </c>
      <c r="B1341" s="562" t="s">
        <v>411</v>
      </c>
      <c r="C1341" s="670"/>
      <c r="D1341" s="503"/>
      <c r="E1341" s="503"/>
      <c r="F1341" s="503"/>
      <c r="G1341" s="503"/>
      <c r="H1341" s="503"/>
      <c r="I1341" s="503">
        <f>SUM(I1342)</f>
        <v>2679000</v>
      </c>
      <c r="J1341" s="503">
        <f t="shared" ref="J1341:K1341" si="1130">SUM(J1342)</f>
        <v>12219000</v>
      </c>
      <c r="K1341" s="503">
        <f t="shared" si="1130"/>
        <v>23387000</v>
      </c>
    </row>
    <row r="1342" spans="1:15" s="4" customFormat="1" x14ac:dyDescent="0.2">
      <c r="A1342" s="710" t="s">
        <v>241</v>
      </c>
      <c r="B1342" s="710"/>
      <c r="C1342" s="710"/>
      <c r="D1342" s="710"/>
      <c r="E1342" s="547"/>
      <c r="F1342" s="547"/>
      <c r="G1342" s="547"/>
      <c r="H1342" s="547"/>
      <c r="I1342" s="515">
        <f>SUM(I1343+I1346+I1372+I1375+I1378+I1389)</f>
        <v>2679000</v>
      </c>
      <c r="J1342" s="515">
        <f t="shared" ref="J1342:K1342" si="1131">SUM(J1343+J1346+J1372+J1375+J1378+J1389)</f>
        <v>12219000</v>
      </c>
      <c r="K1342" s="515">
        <f t="shared" si="1131"/>
        <v>23387000</v>
      </c>
    </row>
    <row r="1343" spans="1:15" s="4" customFormat="1" x14ac:dyDescent="0.2">
      <c r="A1343" s="516" t="s">
        <v>322</v>
      </c>
      <c r="B1343" s="517" t="s">
        <v>323</v>
      </c>
      <c r="C1343" s="667"/>
      <c r="D1343" s="668"/>
      <c r="E1343" s="668"/>
      <c r="F1343" s="668"/>
      <c r="G1343" s="668"/>
      <c r="H1343" s="668"/>
      <c r="I1343" s="668">
        <f t="shared" ref="I1343:K1344" si="1132">SUM(I1344)</f>
        <v>383000</v>
      </c>
      <c r="J1343" s="668">
        <f t="shared" si="1132"/>
        <v>609000</v>
      </c>
      <c r="K1343" s="668">
        <f t="shared" si="1132"/>
        <v>609000</v>
      </c>
    </row>
    <row r="1344" spans="1:15" s="4" customFormat="1" x14ac:dyDescent="0.2">
      <c r="A1344" s="529" t="s">
        <v>143</v>
      </c>
      <c r="B1344" s="529" t="s">
        <v>220</v>
      </c>
      <c r="C1344" s="651"/>
      <c r="D1344" s="513"/>
      <c r="E1344" s="513"/>
      <c r="F1344" s="513"/>
      <c r="G1344" s="513"/>
      <c r="H1344" s="513"/>
      <c r="I1344" s="510">
        <f t="shared" si="1132"/>
        <v>383000</v>
      </c>
      <c r="J1344" s="510">
        <f t="shared" si="1132"/>
        <v>609000</v>
      </c>
      <c r="K1344" s="510">
        <f t="shared" si="1132"/>
        <v>609000</v>
      </c>
    </row>
    <row r="1345" spans="1:11" s="4" customFormat="1" x14ac:dyDescent="0.2">
      <c r="A1345" s="511" t="s">
        <v>144</v>
      </c>
      <c r="B1345" s="535" t="s">
        <v>5</v>
      </c>
      <c r="C1345" s="651"/>
      <c r="D1345" s="513"/>
      <c r="E1345" s="513"/>
      <c r="F1345" s="513"/>
      <c r="G1345" s="513"/>
      <c r="H1345" s="513"/>
      <c r="I1345" s="513">
        <f>90000+100000+100000+50000+43000</f>
        <v>383000</v>
      </c>
      <c r="J1345" s="513">
        <f>90000+100000+100000+50000+43000+226000</f>
        <v>609000</v>
      </c>
      <c r="K1345" s="513">
        <f>90000+100000+100000+50000+43000+226000</f>
        <v>609000</v>
      </c>
    </row>
    <row r="1346" spans="1:11" s="4" customFormat="1" x14ac:dyDescent="0.2">
      <c r="A1346" s="516" t="s">
        <v>324</v>
      </c>
      <c r="B1346" s="516" t="s">
        <v>325</v>
      </c>
      <c r="C1346" s="672"/>
      <c r="D1346" s="507"/>
      <c r="E1346" s="507"/>
      <c r="F1346" s="507"/>
      <c r="G1346" s="507"/>
      <c r="H1346" s="507"/>
      <c r="I1346" s="507">
        <f>SUM(I1347,I1350,I1356,I1366,I1368)</f>
        <v>46000</v>
      </c>
      <c r="J1346" s="507">
        <f>SUM(J1347,J1350,J1356,J1366,J1368)</f>
        <v>5306000</v>
      </c>
      <c r="K1346" s="507">
        <f>SUM(K1347,K1350,K1356,K1366,K1368)</f>
        <v>5165000</v>
      </c>
    </row>
    <row r="1347" spans="1:11" s="4" customFormat="1" x14ac:dyDescent="0.2">
      <c r="A1347" s="669" t="s">
        <v>149</v>
      </c>
      <c r="B1347" s="616" t="s">
        <v>12</v>
      </c>
      <c r="C1347" s="648"/>
      <c r="D1347" s="533"/>
      <c r="E1347" s="533"/>
      <c r="F1347" s="533"/>
      <c r="G1347" s="533"/>
      <c r="H1347" s="533"/>
      <c r="I1347" s="533">
        <f>SUM(I1348:I1349)</f>
        <v>46000</v>
      </c>
      <c r="J1347" s="533">
        <f t="shared" ref="J1347:K1347" si="1133">SUM(J1348:J1349)</f>
        <v>87000</v>
      </c>
      <c r="K1347" s="533">
        <f t="shared" si="1133"/>
        <v>67000</v>
      </c>
    </row>
    <row r="1348" spans="1:11" s="4" customFormat="1" x14ac:dyDescent="0.2">
      <c r="A1348" s="598">
        <v>3211</v>
      </c>
      <c r="B1348" s="599" t="s">
        <v>13</v>
      </c>
      <c r="C1348" s="648"/>
      <c r="D1348" s="533"/>
      <c r="E1348" s="533"/>
      <c r="F1348" s="533"/>
      <c r="G1348" s="533"/>
      <c r="H1348" s="533"/>
      <c r="I1348" s="522">
        <v>17000</v>
      </c>
      <c r="J1348" s="522">
        <f>34000+7000</f>
        <v>41000</v>
      </c>
      <c r="K1348" s="522">
        <f>34000+7000</f>
        <v>41000</v>
      </c>
    </row>
    <row r="1349" spans="1:11" s="4" customFormat="1" x14ac:dyDescent="0.2">
      <c r="A1349" s="598">
        <v>3213</v>
      </c>
      <c r="B1349" s="599" t="s">
        <v>15</v>
      </c>
      <c r="C1349" s="649"/>
      <c r="D1349" s="522"/>
      <c r="E1349" s="522"/>
      <c r="F1349" s="522"/>
      <c r="G1349" s="522"/>
      <c r="H1349" s="522"/>
      <c r="I1349" s="522">
        <f>20000+9000</f>
        <v>29000</v>
      </c>
      <c r="J1349" s="522">
        <f>20000+26000</f>
        <v>46000</v>
      </c>
      <c r="K1349" s="522">
        <f>26000</f>
        <v>26000</v>
      </c>
    </row>
    <row r="1350" spans="1:11" s="4" customFormat="1" x14ac:dyDescent="0.2">
      <c r="A1350" s="673">
        <v>322</v>
      </c>
      <c r="B1350" s="509" t="s">
        <v>16</v>
      </c>
      <c r="C1350" s="649"/>
      <c r="D1350" s="522"/>
      <c r="E1350" s="522"/>
      <c r="F1350" s="522"/>
      <c r="G1350" s="522"/>
      <c r="H1350" s="522"/>
      <c r="I1350" s="533">
        <f>SUM(I1351:I1355)</f>
        <v>0</v>
      </c>
      <c r="J1350" s="533">
        <f t="shared" ref="J1350:K1350" si="1134">SUM(J1351:J1355)</f>
        <v>64000</v>
      </c>
      <c r="K1350" s="533">
        <f t="shared" si="1134"/>
        <v>64000</v>
      </c>
    </row>
    <row r="1351" spans="1:11" s="4" customFormat="1" x14ac:dyDescent="0.2">
      <c r="A1351" s="511">
        <v>3221</v>
      </c>
      <c r="B1351" s="512" t="s">
        <v>17</v>
      </c>
      <c r="C1351" s="649"/>
      <c r="D1351" s="522"/>
      <c r="E1351" s="522"/>
      <c r="F1351" s="522"/>
      <c r="G1351" s="522"/>
      <c r="H1351" s="522"/>
      <c r="I1351" s="522"/>
      <c r="J1351" s="522">
        <v>21000</v>
      </c>
      <c r="K1351" s="522">
        <v>21000</v>
      </c>
    </row>
    <row r="1352" spans="1:11" s="4" customFormat="1" x14ac:dyDescent="0.2">
      <c r="A1352" s="511">
        <v>3222</v>
      </c>
      <c r="B1352" s="512" t="s">
        <v>18</v>
      </c>
      <c r="C1352" s="649"/>
      <c r="D1352" s="522"/>
      <c r="E1352" s="522"/>
      <c r="F1352" s="522"/>
      <c r="G1352" s="522"/>
      <c r="H1352" s="522"/>
      <c r="I1352" s="522"/>
      <c r="J1352" s="522">
        <v>2000</v>
      </c>
      <c r="K1352" s="522">
        <v>2000</v>
      </c>
    </row>
    <row r="1353" spans="1:11" s="4" customFormat="1" x14ac:dyDescent="0.2">
      <c r="A1353" s="598">
        <v>3223</v>
      </c>
      <c r="B1353" s="599" t="s">
        <v>19</v>
      </c>
      <c r="C1353" s="649"/>
      <c r="D1353" s="522"/>
      <c r="E1353" s="522"/>
      <c r="F1353" s="522"/>
      <c r="G1353" s="522"/>
      <c r="H1353" s="522"/>
      <c r="I1353" s="522"/>
      <c r="J1353" s="522">
        <f>10000+1000</f>
        <v>11000</v>
      </c>
      <c r="K1353" s="522">
        <f>1000+10000</f>
        <v>11000</v>
      </c>
    </row>
    <row r="1354" spans="1:11" s="4" customFormat="1" ht="25.5" x14ac:dyDescent="0.2">
      <c r="A1354" s="598">
        <v>3224</v>
      </c>
      <c r="B1354" s="599" t="s">
        <v>112</v>
      </c>
      <c r="C1354" s="649"/>
      <c r="D1354" s="522"/>
      <c r="E1354" s="522"/>
      <c r="F1354" s="522"/>
      <c r="G1354" s="522"/>
      <c r="H1354" s="522"/>
      <c r="I1354" s="522"/>
      <c r="J1354" s="522">
        <v>13000</v>
      </c>
      <c r="K1354" s="522">
        <v>13000</v>
      </c>
    </row>
    <row r="1355" spans="1:11" s="4" customFormat="1" x14ac:dyDescent="0.2">
      <c r="A1355" s="598">
        <v>3225</v>
      </c>
      <c r="B1355" s="599" t="s">
        <v>21</v>
      </c>
      <c r="C1355" s="649"/>
      <c r="D1355" s="522"/>
      <c r="E1355" s="522"/>
      <c r="F1355" s="522"/>
      <c r="G1355" s="522"/>
      <c r="H1355" s="522"/>
      <c r="I1355" s="522"/>
      <c r="J1355" s="522">
        <v>17000</v>
      </c>
      <c r="K1355" s="522">
        <v>17000</v>
      </c>
    </row>
    <row r="1356" spans="1:11" s="4" customFormat="1" x14ac:dyDescent="0.2">
      <c r="A1356" s="674" t="s">
        <v>159</v>
      </c>
      <c r="B1356" s="578" t="s">
        <v>123</v>
      </c>
      <c r="C1356" s="650"/>
      <c r="D1356" s="510"/>
      <c r="E1356" s="510"/>
      <c r="F1356" s="510"/>
      <c r="G1356" s="510"/>
      <c r="H1356" s="510"/>
      <c r="I1356" s="533">
        <f>SUM(I1357:I1365)</f>
        <v>0</v>
      </c>
      <c r="J1356" s="510">
        <f t="shared" ref="J1356:K1356" si="1135">SUM(J1357:J1365)</f>
        <v>5057000</v>
      </c>
      <c r="K1356" s="510">
        <f t="shared" si="1135"/>
        <v>4936000</v>
      </c>
    </row>
    <row r="1357" spans="1:11" s="4" customFormat="1" x14ac:dyDescent="0.2">
      <c r="A1357" s="580">
        <v>3231</v>
      </c>
      <c r="B1357" s="546" t="s">
        <v>24</v>
      </c>
      <c r="C1357" s="651"/>
      <c r="D1357" s="513"/>
      <c r="E1357" s="513"/>
      <c r="F1357" s="513"/>
      <c r="G1357" s="513"/>
      <c r="H1357" s="513"/>
      <c r="I1357" s="522"/>
      <c r="J1357" s="513">
        <v>9000</v>
      </c>
      <c r="K1357" s="513">
        <v>9000</v>
      </c>
    </row>
    <row r="1358" spans="1:11" s="4" customFormat="1" x14ac:dyDescent="0.2">
      <c r="A1358" s="580">
        <v>3232</v>
      </c>
      <c r="B1358" s="546" t="s">
        <v>25</v>
      </c>
      <c r="C1358" s="651"/>
      <c r="D1358" s="513"/>
      <c r="E1358" s="513"/>
      <c r="F1358" s="513"/>
      <c r="G1358" s="513"/>
      <c r="H1358" s="513"/>
      <c r="I1358" s="522"/>
      <c r="J1358" s="513">
        <v>9000</v>
      </c>
      <c r="K1358" s="513">
        <v>9000</v>
      </c>
    </row>
    <row r="1359" spans="1:11" s="4" customFormat="1" x14ac:dyDescent="0.2">
      <c r="A1359" s="580">
        <v>3233</v>
      </c>
      <c r="B1359" s="546" t="s">
        <v>26</v>
      </c>
      <c r="C1359" s="651"/>
      <c r="D1359" s="513"/>
      <c r="E1359" s="513"/>
      <c r="F1359" s="513"/>
      <c r="G1359" s="513"/>
      <c r="H1359" s="513"/>
      <c r="I1359" s="522"/>
      <c r="J1359" s="513">
        <f>44000+21000</f>
        <v>65000</v>
      </c>
      <c r="K1359" s="513">
        <f>13000+44000+21000</f>
        <v>78000</v>
      </c>
    </row>
    <row r="1360" spans="1:11" s="4" customFormat="1" x14ac:dyDescent="0.2">
      <c r="A1360" s="580">
        <v>3234</v>
      </c>
      <c r="B1360" s="546" t="s">
        <v>27</v>
      </c>
      <c r="C1360" s="651"/>
      <c r="D1360" s="513"/>
      <c r="E1360" s="513"/>
      <c r="F1360" s="513"/>
      <c r="G1360" s="513"/>
      <c r="H1360" s="513"/>
      <c r="I1360" s="522"/>
      <c r="J1360" s="513">
        <v>26000</v>
      </c>
      <c r="K1360" s="513">
        <v>26000</v>
      </c>
    </row>
    <row r="1361" spans="1:11" s="4" customFormat="1" x14ac:dyDescent="0.2">
      <c r="A1361" s="580">
        <v>3235</v>
      </c>
      <c r="B1361" s="546" t="s">
        <v>28</v>
      </c>
      <c r="C1361" s="651"/>
      <c r="D1361" s="513"/>
      <c r="E1361" s="513"/>
      <c r="F1361" s="513"/>
      <c r="G1361" s="513"/>
      <c r="H1361" s="513"/>
      <c r="I1361" s="522"/>
      <c r="J1361" s="513">
        <f>50000+2000</f>
        <v>52000</v>
      </c>
      <c r="K1361" s="513">
        <f>2000</f>
        <v>2000</v>
      </c>
    </row>
    <row r="1362" spans="1:11" s="4" customFormat="1" x14ac:dyDescent="0.2">
      <c r="A1362" s="580">
        <v>3236</v>
      </c>
      <c r="B1362" s="546" t="s">
        <v>29</v>
      </c>
      <c r="C1362" s="651"/>
      <c r="D1362" s="513"/>
      <c r="E1362" s="513"/>
      <c r="F1362" s="513"/>
      <c r="G1362" s="513"/>
      <c r="H1362" s="513"/>
      <c r="I1362" s="522"/>
      <c r="J1362" s="513">
        <v>2000</v>
      </c>
      <c r="K1362" s="513">
        <v>2000</v>
      </c>
    </row>
    <row r="1363" spans="1:11" s="4" customFormat="1" x14ac:dyDescent="0.2">
      <c r="A1363" s="580">
        <v>3237</v>
      </c>
      <c r="B1363" s="546" t="s">
        <v>30</v>
      </c>
      <c r="C1363" s="651"/>
      <c r="D1363" s="513"/>
      <c r="E1363" s="513"/>
      <c r="F1363" s="513"/>
      <c r="G1363" s="513"/>
      <c r="H1363" s="513"/>
      <c r="I1363" s="522"/>
      <c r="J1363" s="513">
        <f>50000+50000+400000+43000+170000</f>
        <v>713000</v>
      </c>
      <c r="K1363" s="513">
        <f>50000+50000+400000+43000+170000</f>
        <v>713000</v>
      </c>
    </row>
    <row r="1364" spans="1:11" s="4" customFormat="1" x14ac:dyDescent="0.2">
      <c r="A1364" s="580">
        <v>3238</v>
      </c>
      <c r="B1364" s="546" t="s">
        <v>70</v>
      </c>
      <c r="C1364" s="651"/>
      <c r="D1364" s="513"/>
      <c r="E1364" s="513"/>
      <c r="F1364" s="513"/>
      <c r="G1364" s="513"/>
      <c r="H1364" s="513"/>
      <c r="I1364" s="522"/>
      <c r="J1364" s="513">
        <v>340000</v>
      </c>
      <c r="K1364" s="513">
        <v>340000</v>
      </c>
    </row>
    <row r="1365" spans="1:11" s="4" customFormat="1" x14ac:dyDescent="0.2">
      <c r="A1365" s="580">
        <v>3239</v>
      </c>
      <c r="B1365" s="546" t="s">
        <v>31</v>
      </c>
      <c r="C1365" s="651"/>
      <c r="D1365" s="513"/>
      <c r="E1365" s="513"/>
      <c r="F1365" s="513"/>
      <c r="G1365" s="513"/>
      <c r="H1365" s="513"/>
      <c r="I1365" s="522"/>
      <c r="J1365" s="513">
        <f>3000000+300000+300000+200000+34000+7000</f>
        <v>3841000</v>
      </c>
      <c r="K1365" s="513">
        <f>3000000+100000+300000+300000+34000+16000+7000</f>
        <v>3757000</v>
      </c>
    </row>
    <row r="1366" spans="1:11" s="4" customFormat="1" ht="25.5" x14ac:dyDescent="0.2">
      <c r="A1366" s="669">
        <v>324</v>
      </c>
      <c r="B1366" s="616" t="s">
        <v>32</v>
      </c>
      <c r="C1366" s="651"/>
      <c r="D1366" s="513"/>
      <c r="E1366" s="513"/>
      <c r="F1366" s="513"/>
      <c r="G1366" s="513"/>
      <c r="H1366" s="513"/>
      <c r="I1366" s="533">
        <f>SUM(I1367)</f>
        <v>0</v>
      </c>
      <c r="J1366" s="510">
        <f t="shared" ref="J1366:K1366" si="1136">SUM(J1367)</f>
        <v>21000</v>
      </c>
      <c r="K1366" s="510">
        <f t="shared" si="1136"/>
        <v>21000</v>
      </c>
    </row>
    <row r="1367" spans="1:11" s="4" customFormat="1" ht="25.5" x14ac:dyDescent="0.2">
      <c r="A1367" s="598">
        <v>3241</v>
      </c>
      <c r="B1367" s="599" t="s">
        <v>32</v>
      </c>
      <c r="C1367" s="651"/>
      <c r="D1367" s="513"/>
      <c r="E1367" s="513"/>
      <c r="F1367" s="513"/>
      <c r="G1367" s="513"/>
      <c r="H1367" s="513"/>
      <c r="I1367" s="522"/>
      <c r="J1367" s="513">
        <v>21000</v>
      </c>
      <c r="K1367" s="513">
        <v>21000</v>
      </c>
    </row>
    <row r="1368" spans="1:11" s="4" customFormat="1" x14ac:dyDescent="0.2">
      <c r="A1368" s="673" t="s">
        <v>170</v>
      </c>
      <c r="B1368" s="529" t="s">
        <v>33</v>
      </c>
      <c r="C1368" s="650"/>
      <c r="D1368" s="510"/>
      <c r="E1368" s="510"/>
      <c r="F1368" s="510"/>
      <c r="G1368" s="510"/>
      <c r="H1368" s="510"/>
      <c r="I1368" s="533">
        <f>SUM(I1369:I1371)</f>
        <v>0</v>
      </c>
      <c r="J1368" s="510">
        <f t="shared" ref="J1368:K1368" si="1137">SUM(J1369:J1371)</f>
        <v>77000</v>
      </c>
      <c r="K1368" s="510">
        <f t="shared" si="1137"/>
        <v>77000</v>
      </c>
    </row>
    <row r="1369" spans="1:11" s="4" customFormat="1" x14ac:dyDescent="0.2">
      <c r="A1369" s="511">
        <v>3292</v>
      </c>
      <c r="B1369" s="535" t="s">
        <v>35</v>
      </c>
      <c r="C1369" s="650"/>
      <c r="D1369" s="510"/>
      <c r="E1369" s="510"/>
      <c r="F1369" s="510"/>
      <c r="G1369" s="510"/>
      <c r="H1369" s="510"/>
      <c r="I1369" s="522"/>
      <c r="J1369" s="513">
        <f>22000+26000</f>
        <v>48000</v>
      </c>
      <c r="K1369" s="513">
        <f>22000+26000</f>
        <v>48000</v>
      </c>
    </row>
    <row r="1370" spans="1:11" s="4" customFormat="1" x14ac:dyDescent="0.2">
      <c r="A1370" s="520" t="s">
        <v>172</v>
      </c>
      <c r="B1370" s="521" t="s">
        <v>36</v>
      </c>
      <c r="C1370" s="651"/>
      <c r="D1370" s="513"/>
      <c r="E1370" s="513"/>
      <c r="F1370" s="513"/>
      <c r="G1370" s="513"/>
      <c r="H1370" s="513"/>
      <c r="I1370" s="522"/>
      <c r="J1370" s="513">
        <v>13000</v>
      </c>
      <c r="K1370" s="513">
        <v>13000</v>
      </c>
    </row>
    <row r="1371" spans="1:11" s="4" customFormat="1" x14ac:dyDescent="0.2">
      <c r="A1371" s="520">
        <v>3299</v>
      </c>
      <c r="B1371" s="521" t="s">
        <v>33</v>
      </c>
      <c r="C1371" s="651"/>
      <c r="D1371" s="513"/>
      <c r="E1371" s="513"/>
      <c r="F1371" s="513"/>
      <c r="G1371" s="513"/>
      <c r="H1371" s="513"/>
      <c r="I1371" s="522"/>
      <c r="J1371" s="513">
        <v>16000</v>
      </c>
      <c r="K1371" s="513">
        <v>16000</v>
      </c>
    </row>
    <row r="1372" spans="1:11" s="4" customFormat="1" x14ac:dyDescent="0.2">
      <c r="A1372" s="675" t="s">
        <v>326</v>
      </c>
      <c r="B1372" s="676" t="s">
        <v>327</v>
      </c>
      <c r="C1372" s="667"/>
      <c r="D1372" s="668"/>
      <c r="E1372" s="668"/>
      <c r="F1372" s="668"/>
      <c r="G1372" s="668"/>
      <c r="H1372" s="668"/>
      <c r="I1372" s="668">
        <f>SUM(I1373)</f>
        <v>0</v>
      </c>
      <c r="J1372" s="507">
        <f t="shared" ref="J1372:K1373" si="1138">SUM(J1373)</f>
        <v>21000</v>
      </c>
      <c r="K1372" s="507">
        <f t="shared" si="1138"/>
        <v>21000</v>
      </c>
    </row>
    <row r="1373" spans="1:11" s="4" customFormat="1" x14ac:dyDescent="0.2">
      <c r="A1373" s="677">
        <v>343</v>
      </c>
      <c r="B1373" s="678" t="s">
        <v>40</v>
      </c>
      <c r="C1373" s="651"/>
      <c r="D1373" s="513"/>
      <c r="E1373" s="513"/>
      <c r="F1373" s="513"/>
      <c r="G1373" s="513"/>
      <c r="H1373" s="513"/>
      <c r="I1373" s="533">
        <f>SUM(I1374)</f>
        <v>0</v>
      </c>
      <c r="J1373" s="510">
        <f t="shared" si="1138"/>
        <v>21000</v>
      </c>
      <c r="K1373" s="510">
        <f t="shared" si="1138"/>
        <v>21000</v>
      </c>
    </row>
    <row r="1374" spans="1:11" s="4" customFormat="1" x14ac:dyDescent="0.2">
      <c r="A1374" s="679">
        <v>3434</v>
      </c>
      <c r="B1374" s="680" t="s">
        <v>43</v>
      </c>
      <c r="C1374" s="651"/>
      <c r="D1374" s="513"/>
      <c r="E1374" s="513"/>
      <c r="F1374" s="513"/>
      <c r="G1374" s="513"/>
      <c r="H1374" s="513"/>
      <c r="I1374" s="522"/>
      <c r="J1374" s="513">
        <v>21000</v>
      </c>
      <c r="K1374" s="513">
        <v>21000</v>
      </c>
    </row>
    <row r="1375" spans="1:11" s="4" customFormat="1" ht="25.5" x14ac:dyDescent="0.2">
      <c r="A1375" s="505">
        <v>41</v>
      </c>
      <c r="B1375" s="517" t="s">
        <v>335</v>
      </c>
      <c r="C1375" s="667"/>
      <c r="D1375" s="668"/>
      <c r="E1375" s="668"/>
      <c r="F1375" s="668"/>
      <c r="G1375" s="668"/>
      <c r="H1375" s="668"/>
      <c r="I1375" s="668">
        <f>SUM(I1376)</f>
        <v>0</v>
      </c>
      <c r="J1375" s="507">
        <f t="shared" ref="J1375:K1375" si="1139">SUM(J1376)</f>
        <v>76000</v>
      </c>
      <c r="K1375" s="507">
        <f t="shared" si="1139"/>
        <v>26000</v>
      </c>
    </row>
    <row r="1376" spans="1:11" s="4" customFormat="1" x14ac:dyDescent="0.2">
      <c r="A1376" s="615">
        <v>412</v>
      </c>
      <c r="B1376" s="616" t="s">
        <v>67</v>
      </c>
      <c r="C1376" s="651"/>
      <c r="D1376" s="513"/>
      <c r="E1376" s="513"/>
      <c r="F1376" s="513"/>
      <c r="G1376" s="513"/>
      <c r="H1376" s="513"/>
      <c r="I1376" s="533">
        <f>SUM(I1377)</f>
        <v>0</v>
      </c>
      <c r="J1376" s="510">
        <f t="shared" ref="J1376:K1376" si="1140">SUM(J1377)</f>
        <v>76000</v>
      </c>
      <c r="K1376" s="510">
        <f t="shared" si="1140"/>
        <v>26000</v>
      </c>
    </row>
    <row r="1377" spans="1:14" s="4" customFormat="1" x14ac:dyDescent="0.2">
      <c r="A1377" s="598">
        <v>4123</v>
      </c>
      <c r="B1377" s="599" t="s">
        <v>68</v>
      </c>
      <c r="C1377" s="651"/>
      <c r="D1377" s="513"/>
      <c r="E1377" s="513"/>
      <c r="F1377" s="513"/>
      <c r="G1377" s="513"/>
      <c r="H1377" s="513"/>
      <c r="I1377" s="522"/>
      <c r="J1377" s="513">
        <f>50000+26000</f>
        <v>76000</v>
      </c>
      <c r="K1377" s="513">
        <f>26000</f>
        <v>26000</v>
      </c>
    </row>
    <row r="1378" spans="1:14" s="4" customFormat="1" ht="25.5" x14ac:dyDescent="0.2">
      <c r="A1378" s="505" t="s">
        <v>330</v>
      </c>
      <c r="B1378" s="517" t="s">
        <v>331</v>
      </c>
      <c r="C1378" s="667"/>
      <c r="D1378" s="668"/>
      <c r="E1378" s="668"/>
      <c r="F1378" s="668"/>
      <c r="G1378" s="668"/>
      <c r="H1378" s="668"/>
      <c r="I1378" s="507">
        <f>SUM(I1379,I1385,I1387)</f>
        <v>2250000</v>
      </c>
      <c r="J1378" s="507">
        <f t="shared" ref="J1378:K1378" si="1141">SUM(J1379,J1385,J1387)</f>
        <v>5286000</v>
      </c>
      <c r="K1378" s="507">
        <f t="shared" si="1141"/>
        <v>16607000</v>
      </c>
    </row>
    <row r="1379" spans="1:14" s="4" customFormat="1" x14ac:dyDescent="0.2">
      <c r="A1379" s="673" t="s">
        <v>177</v>
      </c>
      <c r="B1379" s="529" t="s">
        <v>129</v>
      </c>
      <c r="C1379" s="650"/>
      <c r="D1379" s="510"/>
      <c r="E1379" s="510"/>
      <c r="F1379" s="510"/>
      <c r="G1379" s="510"/>
      <c r="H1379" s="510"/>
      <c r="I1379" s="510">
        <f>SUM(I1380:I1384)</f>
        <v>0</v>
      </c>
      <c r="J1379" s="510">
        <f t="shared" ref="J1379:K1379" si="1142">SUM(J1380:J1384)</f>
        <v>4640000</v>
      </c>
      <c r="K1379" s="510">
        <f t="shared" si="1142"/>
        <v>2794000</v>
      </c>
    </row>
    <row r="1380" spans="1:14" s="4" customFormat="1" x14ac:dyDescent="0.2">
      <c r="A1380" s="511">
        <v>4221</v>
      </c>
      <c r="B1380" s="535" t="s">
        <v>54</v>
      </c>
      <c r="C1380" s="650"/>
      <c r="D1380" s="510"/>
      <c r="E1380" s="510"/>
      <c r="F1380" s="510"/>
      <c r="G1380" s="510"/>
      <c r="H1380" s="510"/>
      <c r="I1380" s="513"/>
      <c r="J1380" s="513">
        <f>175000+340000</f>
        <v>515000</v>
      </c>
      <c r="K1380" s="513">
        <f>340000</f>
        <v>340000</v>
      </c>
      <c r="N1380" s="27"/>
    </row>
    <row r="1381" spans="1:14" s="4" customFormat="1" x14ac:dyDescent="0.2">
      <c r="A1381" s="511">
        <v>4222</v>
      </c>
      <c r="B1381" s="535" t="s">
        <v>58</v>
      </c>
      <c r="C1381" s="650"/>
      <c r="D1381" s="510"/>
      <c r="E1381" s="510"/>
      <c r="F1381" s="510"/>
      <c r="G1381" s="510"/>
      <c r="H1381" s="510"/>
      <c r="I1381" s="513"/>
      <c r="J1381" s="513">
        <v>128000</v>
      </c>
      <c r="K1381" s="513">
        <v>128000</v>
      </c>
    </row>
    <row r="1382" spans="1:14" s="4" customFormat="1" x14ac:dyDescent="0.2">
      <c r="A1382" s="511">
        <v>4223</v>
      </c>
      <c r="B1382" s="535" t="s">
        <v>59</v>
      </c>
      <c r="C1382" s="651"/>
      <c r="D1382" s="513"/>
      <c r="E1382" s="513"/>
      <c r="F1382" s="513"/>
      <c r="G1382" s="513"/>
      <c r="H1382" s="513"/>
      <c r="I1382" s="513"/>
      <c r="J1382" s="513">
        <f>142000+26000</f>
        <v>168000</v>
      </c>
      <c r="K1382" s="513">
        <f>26000</f>
        <v>26000</v>
      </c>
    </row>
    <row r="1383" spans="1:14" s="4" customFormat="1" x14ac:dyDescent="0.2">
      <c r="A1383" s="511">
        <v>4225</v>
      </c>
      <c r="B1383" s="535" t="s">
        <v>105</v>
      </c>
      <c r="C1383" s="651"/>
      <c r="D1383" s="513"/>
      <c r="E1383" s="513"/>
      <c r="F1383" s="513"/>
      <c r="G1383" s="513"/>
      <c r="H1383" s="513"/>
      <c r="I1383" s="513"/>
      <c r="J1383" s="513"/>
      <c r="K1383" s="513"/>
    </row>
    <row r="1384" spans="1:14" s="4" customFormat="1" x14ac:dyDescent="0.2">
      <c r="A1384" s="511" t="s">
        <v>180</v>
      </c>
      <c r="B1384" s="535" t="s">
        <v>60</v>
      </c>
      <c r="C1384" s="651"/>
      <c r="D1384" s="513"/>
      <c r="E1384" s="513"/>
      <c r="F1384" s="513"/>
      <c r="G1384" s="513"/>
      <c r="H1384" s="513"/>
      <c r="I1384" s="513"/>
      <c r="J1384" s="513">
        <f>1529000+43000+2257000</f>
        <v>3829000</v>
      </c>
      <c r="K1384" s="513">
        <f>43000+2257000</f>
        <v>2300000</v>
      </c>
    </row>
    <row r="1385" spans="1:14" s="4" customFormat="1" x14ac:dyDescent="0.2">
      <c r="A1385" s="673" t="s">
        <v>181</v>
      </c>
      <c r="B1385" s="529" t="s">
        <v>61</v>
      </c>
      <c r="C1385" s="650"/>
      <c r="D1385" s="510"/>
      <c r="E1385" s="510"/>
      <c r="F1385" s="510"/>
      <c r="G1385" s="510"/>
      <c r="H1385" s="510"/>
      <c r="I1385" s="510">
        <f t="shared" ref="I1385:K1385" si="1143">SUM(I1386)</f>
        <v>2250000</v>
      </c>
      <c r="J1385" s="510">
        <f t="shared" si="1143"/>
        <v>561000</v>
      </c>
      <c r="K1385" s="510">
        <f t="shared" si="1143"/>
        <v>13728000</v>
      </c>
    </row>
    <row r="1386" spans="1:14" s="4" customFormat="1" x14ac:dyDescent="0.2">
      <c r="A1386" s="511">
        <v>4234</v>
      </c>
      <c r="B1386" s="535" t="s">
        <v>281</v>
      </c>
      <c r="C1386" s="651"/>
      <c r="D1386" s="513"/>
      <c r="E1386" s="513"/>
      <c r="F1386" s="513"/>
      <c r="G1386" s="513"/>
      <c r="H1386" s="513"/>
      <c r="I1386" s="522">
        <v>2250000</v>
      </c>
      <c r="J1386" s="513">
        <f>433000+128000</f>
        <v>561000</v>
      </c>
      <c r="K1386" s="513">
        <f>13600000+128000</f>
        <v>13728000</v>
      </c>
    </row>
    <row r="1387" spans="1:14" s="4" customFormat="1" x14ac:dyDescent="0.2">
      <c r="A1387" s="669">
        <v>426</v>
      </c>
      <c r="B1387" s="616" t="s">
        <v>73</v>
      </c>
      <c r="C1387" s="651"/>
      <c r="D1387" s="513"/>
      <c r="E1387" s="513"/>
      <c r="F1387" s="513"/>
      <c r="G1387" s="513"/>
      <c r="H1387" s="513"/>
      <c r="I1387" s="510">
        <f>SUM(I1388)</f>
        <v>0</v>
      </c>
      <c r="J1387" s="510">
        <f t="shared" ref="J1387:K1387" si="1144">SUM(J1388)</f>
        <v>85000</v>
      </c>
      <c r="K1387" s="510">
        <f t="shared" si="1144"/>
        <v>85000</v>
      </c>
    </row>
    <row r="1388" spans="1:14" s="4" customFormat="1" x14ac:dyDescent="0.2">
      <c r="A1388" s="598">
        <v>4262</v>
      </c>
      <c r="B1388" s="599" t="s">
        <v>88</v>
      </c>
      <c r="C1388" s="651"/>
      <c r="D1388" s="513"/>
      <c r="E1388" s="513"/>
      <c r="F1388" s="513"/>
      <c r="G1388" s="513"/>
      <c r="H1388" s="513"/>
      <c r="I1388" s="513"/>
      <c r="J1388" s="513">
        <v>85000</v>
      </c>
      <c r="K1388" s="513">
        <v>85000</v>
      </c>
    </row>
    <row r="1389" spans="1:14" s="4" customFormat="1" ht="44.25" customHeight="1" x14ac:dyDescent="0.2">
      <c r="A1389" s="613">
        <v>45</v>
      </c>
      <c r="B1389" s="541" t="s">
        <v>333</v>
      </c>
      <c r="C1389" s="667"/>
      <c r="D1389" s="668"/>
      <c r="E1389" s="668"/>
      <c r="F1389" s="668"/>
      <c r="G1389" s="668"/>
      <c r="H1389" s="668"/>
      <c r="I1389" s="507">
        <f>SUM(I1390,I1392)</f>
        <v>0</v>
      </c>
      <c r="J1389" s="507">
        <f t="shared" ref="J1389:K1389" si="1145">SUM(J1390,J1392)</f>
        <v>921000</v>
      </c>
      <c r="K1389" s="507">
        <f t="shared" si="1145"/>
        <v>959000</v>
      </c>
    </row>
    <row r="1390" spans="1:14" s="4" customFormat="1" ht="25.5" x14ac:dyDescent="0.2">
      <c r="A1390" s="669">
        <v>451</v>
      </c>
      <c r="B1390" s="616" t="s">
        <v>55</v>
      </c>
      <c r="C1390" s="651"/>
      <c r="D1390" s="513"/>
      <c r="E1390" s="513"/>
      <c r="F1390" s="513"/>
      <c r="G1390" s="513"/>
      <c r="H1390" s="513"/>
      <c r="I1390" s="510">
        <f>SUM(I1391)</f>
        <v>0</v>
      </c>
      <c r="J1390" s="510">
        <f t="shared" ref="J1390:K1390" si="1146">SUM(J1391)</f>
        <v>887000</v>
      </c>
      <c r="K1390" s="510">
        <f t="shared" si="1146"/>
        <v>925000</v>
      </c>
    </row>
    <row r="1391" spans="1:14" s="4" customFormat="1" ht="25.5" x14ac:dyDescent="0.2">
      <c r="A1391" s="598">
        <v>4511</v>
      </c>
      <c r="B1391" s="599" t="s">
        <v>55</v>
      </c>
      <c r="C1391" s="651"/>
      <c r="D1391" s="513"/>
      <c r="E1391" s="513"/>
      <c r="F1391" s="513"/>
      <c r="G1391" s="513"/>
      <c r="H1391" s="513"/>
      <c r="I1391" s="513"/>
      <c r="J1391" s="513">
        <f>37000+850000</f>
        <v>887000</v>
      </c>
      <c r="K1391" s="513">
        <f>75000+850000</f>
        <v>925000</v>
      </c>
    </row>
    <row r="1392" spans="1:14" s="4" customFormat="1" ht="25.5" x14ac:dyDescent="0.2">
      <c r="A1392" s="669">
        <v>453</v>
      </c>
      <c r="B1392" s="616" t="s">
        <v>289</v>
      </c>
      <c r="C1392" s="651"/>
      <c r="D1392" s="513"/>
      <c r="E1392" s="513"/>
      <c r="F1392" s="513"/>
      <c r="G1392" s="513"/>
      <c r="H1392" s="513"/>
      <c r="I1392" s="510">
        <f>SUM(I1393)</f>
        <v>0</v>
      </c>
      <c r="J1392" s="510">
        <f t="shared" ref="J1392:K1392" si="1147">SUM(J1393)</f>
        <v>34000</v>
      </c>
      <c r="K1392" s="510">
        <f t="shared" si="1147"/>
        <v>34000</v>
      </c>
    </row>
    <row r="1393" spans="1:11" s="4" customFormat="1" ht="25.5" x14ac:dyDescent="0.2">
      <c r="A1393" s="598">
        <v>4531</v>
      </c>
      <c r="B1393" s="616" t="s">
        <v>289</v>
      </c>
      <c r="C1393" s="654"/>
      <c r="D1393" s="592"/>
      <c r="E1393" s="592"/>
      <c r="F1393" s="513"/>
      <c r="G1393" s="592"/>
      <c r="H1393" s="592"/>
      <c r="I1393" s="592"/>
      <c r="J1393" s="592">
        <v>34000</v>
      </c>
      <c r="K1393" s="592">
        <v>34000</v>
      </c>
    </row>
    <row r="1394" spans="1:11" s="4" customFormat="1" ht="38.25" x14ac:dyDescent="0.2">
      <c r="A1394" s="573" t="s">
        <v>444</v>
      </c>
      <c r="B1394" s="562" t="s">
        <v>436</v>
      </c>
      <c r="C1394" s="681"/>
      <c r="D1394" s="682"/>
      <c r="E1394" s="682"/>
      <c r="F1394" s="683"/>
      <c r="G1394" s="683"/>
      <c r="H1394" s="684">
        <f>SUM(H1395)</f>
        <v>0</v>
      </c>
      <c r="I1394" s="684">
        <f>SUM(I1395)</f>
        <v>145000</v>
      </c>
      <c r="J1394" s="684">
        <f t="shared" ref="J1394:K1394" si="1148">SUM(J1395)</f>
        <v>167000</v>
      </c>
      <c r="K1394" s="684">
        <f t="shared" si="1148"/>
        <v>87000</v>
      </c>
    </row>
    <row r="1395" spans="1:11" s="4" customFormat="1" x14ac:dyDescent="0.2">
      <c r="A1395" s="710" t="s">
        <v>241</v>
      </c>
      <c r="B1395" s="710"/>
      <c r="C1395" s="710"/>
      <c r="D1395" s="710"/>
      <c r="E1395" s="685"/>
      <c r="F1395" s="547"/>
      <c r="G1395" s="547"/>
      <c r="H1395" s="547">
        <f>SUM(H1396,H1399,H1412)</f>
        <v>0</v>
      </c>
      <c r="I1395" s="515">
        <f>SUM(I1396,I1399,I1412)</f>
        <v>145000</v>
      </c>
      <c r="J1395" s="515">
        <f>SUM(J1396,J1399,J1412)</f>
        <v>167000</v>
      </c>
      <c r="K1395" s="515">
        <f>SUM(K1396,K1399,K1412)</f>
        <v>87000</v>
      </c>
    </row>
    <row r="1396" spans="1:11" s="4" customFormat="1" x14ac:dyDescent="0.2">
      <c r="A1396" s="516" t="s">
        <v>322</v>
      </c>
      <c r="B1396" s="517" t="s">
        <v>323</v>
      </c>
      <c r="C1396" s="686"/>
      <c r="D1396" s="686"/>
      <c r="E1396" s="686"/>
      <c r="F1396" s="687"/>
      <c r="G1396" s="668"/>
      <c r="H1396" s="549">
        <f t="shared" ref="H1396:K1397" si="1149">SUM(H1397)</f>
        <v>0</v>
      </c>
      <c r="I1396" s="549">
        <f t="shared" si="1149"/>
        <v>55000</v>
      </c>
      <c r="J1396" s="549">
        <f t="shared" si="1149"/>
        <v>55000</v>
      </c>
      <c r="K1396" s="549">
        <f t="shared" si="1149"/>
        <v>55000</v>
      </c>
    </row>
    <row r="1397" spans="1:11" s="4" customFormat="1" x14ac:dyDescent="0.2">
      <c r="A1397" s="529" t="s">
        <v>143</v>
      </c>
      <c r="B1397" s="529" t="s">
        <v>220</v>
      </c>
      <c r="C1397" s="688"/>
      <c r="D1397" s="688"/>
      <c r="E1397" s="688"/>
      <c r="F1397" s="543"/>
      <c r="G1397" s="513"/>
      <c r="H1397" s="579">
        <f t="shared" si="1149"/>
        <v>0</v>
      </c>
      <c r="I1397" s="579">
        <f t="shared" si="1149"/>
        <v>55000</v>
      </c>
      <c r="J1397" s="579">
        <f t="shared" si="1149"/>
        <v>55000</v>
      </c>
      <c r="K1397" s="579">
        <f t="shared" si="1149"/>
        <v>55000</v>
      </c>
    </row>
    <row r="1398" spans="1:11" s="4" customFormat="1" x14ac:dyDescent="0.2">
      <c r="A1398" s="511" t="s">
        <v>144</v>
      </c>
      <c r="B1398" s="535" t="s">
        <v>5</v>
      </c>
      <c r="C1398" s="688"/>
      <c r="D1398" s="688"/>
      <c r="E1398" s="688"/>
      <c r="F1398" s="543"/>
      <c r="G1398" s="513"/>
      <c r="H1398" s="543"/>
      <c r="I1398" s="543">
        <v>55000</v>
      </c>
      <c r="J1398" s="543">
        <v>55000</v>
      </c>
      <c r="K1398" s="689">
        <v>55000</v>
      </c>
    </row>
    <row r="1399" spans="1:11" s="4" customFormat="1" x14ac:dyDescent="0.2">
      <c r="A1399" s="516" t="s">
        <v>324</v>
      </c>
      <c r="B1399" s="516" t="s">
        <v>325</v>
      </c>
      <c r="C1399" s="686"/>
      <c r="D1399" s="686"/>
      <c r="E1399" s="686"/>
      <c r="F1399" s="687"/>
      <c r="G1399" s="668"/>
      <c r="H1399" s="549">
        <f>SUM(H1400,H1403,H1406,H1410)</f>
        <v>0</v>
      </c>
      <c r="I1399" s="549">
        <f>SUM(I1400,I1403,I1406,I1410)</f>
        <v>44000</v>
      </c>
      <c r="J1399" s="549">
        <f>SUM(J1400,J1403,J1406,J1410)</f>
        <v>66000</v>
      </c>
      <c r="K1399" s="549">
        <f>SUM(K1400,K1403,K1406,K1410)</f>
        <v>21000</v>
      </c>
    </row>
    <row r="1400" spans="1:11" s="4" customFormat="1" x14ac:dyDescent="0.2">
      <c r="A1400" s="669" t="s">
        <v>149</v>
      </c>
      <c r="B1400" s="616" t="s">
        <v>12</v>
      </c>
      <c r="C1400" s="688"/>
      <c r="D1400" s="688"/>
      <c r="E1400" s="688"/>
      <c r="F1400" s="543"/>
      <c r="G1400" s="513"/>
      <c r="H1400" s="579">
        <f>SUM(H1401:H1402)</f>
        <v>0</v>
      </c>
      <c r="I1400" s="579">
        <f t="shared" ref="I1400:K1400" si="1150">SUM(I1401:I1402)</f>
        <v>14000</v>
      </c>
      <c r="J1400" s="579">
        <f t="shared" si="1150"/>
        <v>36000</v>
      </c>
      <c r="K1400" s="579">
        <f t="shared" si="1150"/>
        <v>14000</v>
      </c>
    </row>
    <row r="1401" spans="1:11" s="4" customFormat="1" x14ac:dyDescent="0.2">
      <c r="A1401" s="598">
        <v>3211</v>
      </c>
      <c r="B1401" s="599" t="s">
        <v>13</v>
      </c>
      <c r="C1401" s="688"/>
      <c r="D1401" s="688"/>
      <c r="E1401" s="688"/>
      <c r="F1401" s="543"/>
      <c r="G1401" s="513"/>
      <c r="H1401" s="543"/>
      <c r="I1401" s="543">
        <v>14000</v>
      </c>
      <c r="J1401" s="543">
        <v>14000</v>
      </c>
      <c r="K1401" s="689">
        <v>14000</v>
      </c>
    </row>
    <row r="1402" spans="1:11" s="4" customFormat="1" x14ac:dyDescent="0.2">
      <c r="A1402" s="598">
        <v>3213</v>
      </c>
      <c r="B1402" s="599" t="s">
        <v>15</v>
      </c>
      <c r="C1402" s="688"/>
      <c r="D1402" s="688"/>
      <c r="E1402" s="688"/>
      <c r="F1402" s="543"/>
      <c r="G1402" s="513"/>
      <c r="H1402" s="543"/>
      <c r="I1402" s="543"/>
      <c r="J1402" s="543">
        <v>22000</v>
      </c>
      <c r="K1402" s="689"/>
    </row>
    <row r="1403" spans="1:11" s="4" customFormat="1" x14ac:dyDescent="0.2">
      <c r="A1403" s="673">
        <v>322</v>
      </c>
      <c r="B1403" s="509" t="s">
        <v>16</v>
      </c>
      <c r="C1403" s="688"/>
      <c r="D1403" s="688"/>
      <c r="E1403" s="688"/>
      <c r="F1403" s="543"/>
      <c r="G1403" s="513"/>
      <c r="H1403" s="579">
        <f>SUM(H1404:H1405)</f>
        <v>0</v>
      </c>
      <c r="I1403" s="579">
        <f>SUM(I1404:I1405)</f>
        <v>1000</v>
      </c>
      <c r="J1403" s="579">
        <f>SUM(J1404:J1405)</f>
        <v>1000</v>
      </c>
      <c r="K1403" s="579">
        <f>SUM(K1404:K1405)</f>
        <v>1000</v>
      </c>
    </row>
    <row r="1404" spans="1:11" s="4" customFormat="1" x14ac:dyDescent="0.2">
      <c r="A1404" s="511">
        <v>3221</v>
      </c>
      <c r="B1404" s="512" t="s">
        <v>17</v>
      </c>
      <c r="C1404" s="688"/>
      <c r="D1404" s="688"/>
      <c r="E1404" s="688"/>
      <c r="F1404" s="543"/>
      <c r="G1404" s="513"/>
      <c r="H1404" s="543"/>
      <c r="I1404" s="543">
        <v>1000</v>
      </c>
      <c r="J1404" s="543"/>
      <c r="K1404" s="689"/>
    </row>
    <row r="1405" spans="1:11" s="4" customFormat="1" x14ac:dyDescent="0.2">
      <c r="A1405" s="598">
        <v>3223</v>
      </c>
      <c r="B1405" s="599" t="s">
        <v>19</v>
      </c>
      <c r="C1405" s="688"/>
      <c r="D1405" s="688"/>
      <c r="E1405" s="688"/>
      <c r="F1405" s="543"/>
      <c r="G1405" s="513"/>
      <c r="H1405" s="543"/>
      <c r="I1405" s="543"/>
      <c r="J1405" s="543">
        <v>1000</v>
      </c>
      <c r="K1405" s="689">
        <v>1000</v>
      </c>
    </row>
    <row r="1406" spans="1:11" s="4" customFormat="1" x14ac:dyDescent="0.2">
      <c r="A1406" s="674" t="s">
        <v>159</v>
      </c>
      <c r="B1406" s="578" t="s">
        <v>123</v>
      </c>
      <c r="C1406" s="688"/>
      <c r="D1406" s="688"/>
      <c r="E1406" s="688"/>
      <c r="F1406" s="543"/>
      <c r="G1406" s="513"/>
      <c r="H1406" s="579">
        <f>SUM(H1407:H1409)</f>
        <v>0</v>
      </c>
      <c r="I1406" s="579">
        <f>SUM(I1407:I1409)</f>
        <v>26000</v>
      </c>
      <c r="J1406" s="579">
        <f>SUM(J1407:J1409)</f>
        <v>26000</v>
      </c>
      <c r="K1406" s="579">
        <f>SUM(K1407:K1409)</f>
        <v>3000</v>
      </c>
    </row>
    <row r="1407" spans="1:11" s="4" customFormat="1" x14ac:dyDescent="0.2">
      <c r="A1407" s="580">
        <v>3233</v>
      </c>
      <c r="B1407" s="546" t="s">
        <v>26</v>
      </c>
      <c r="C1407" s="688"/>
      <c r="D1407" s="688"/>
      <c r="E1407" s="688"/>
      <c r="F1407" s="543"/>
      <c r="G1407" s="513"/>
      <c r="H1407" s="543"/>
      <c r="I1407" s="543">
        <v>12000</v>
      </c>
      <c r="J1407" s="543">
        <v>12000</v>
      </c>
      <c r="K1407" s="689"/>
    </row>
    <row r="1408" spans="1:11" s="4" customFormat="1" x14ac:dyDescent="0.2">
      <c r="A1408" s="580">
        <v>3235</v>
      </c>
      <c r="B1408" s="546" t="s">
        <v>28</v>
      </c>
      <c r="C1408" s="688"/>
      <c r="D1408" s="688"/>
      <c r="E1408" s="688"/>
      <c r="F1408" s="586"/>
      <c r="G1408" s="551"/>
      <c r="H1408" s="586"/>
      <c r="I1408" s="586">
        <v>3000</v>
      </c>
      <c r="J1408" s="586">
        <v>3000</v>
      </c>
      <c r="K1408" s="651">
        <v>3000</v>
      </c>
    </row>
    <row r="1409" spans="1:11" s="4" customFormat="1" x14ac:dyDescent="0.2">
      <c r="A1409" s="580">
        <v>3237</v>
      </c>
      <c r="B1409" s="546" t="s">
        <v>30</v>
      </c>
      <c r="C1409" s="688"/>
      <c r="D1409" s="688"/>
      <c r="E1409" s="688"/>
      <c r="F1409" s="543"/>
      <c r="G1409" s="513"/>
      <c r="H1409" s="543"/>
      <c r="I1409" s="543">
        <v>11000</v>
      </c>
      <c r="J1409" s="543">
        <v>11000</v>
      </c>
      <c r="K1409" s="689"/>
    </row>
    <row r="1410" spans="1:11" s="4" customFormat="1" x14ac:dyDescent="0.2">
      <c r="A1410" s="673" t="s">
        <v>170</v>
      </c>
      <c r="B1410" s="529" t="s">
        <v>33</v>
      </c>
      <c r="C1410" s="688"/>
      <c r="D1410" s="688"/>
      <c r="E1410" s="688"/>
      <c r="F1410" s="543"/>
      <c r="G1410" s="513"/>
      <c r="H1410" s="579">
        <f>SUM(H1411:H1411)</f>
        <v>0</v>
      </c>
      <c r="I1410" s="579">
        <f>SUM(I1411:I1411)</f>
        <v>3000</v>
      </c>
      <c r="J1410" s="579">
        <f>SUM(J1411:J1411)</f>
        <v>3000</v>
      </c>
      <c r="K1410" s="579">
        <f>SUM(K1411:K1411)</f>
        <v>3000</v>
      </c>
    </row>
    <row r="1411" spans="1:11" s="4" customFormat="1" x14ac:dyDescent="0.2">
      <c r="A1411" s="520" t="s">
        <v>172</v>
      </c>
      <c r="B1411" s="521" t="s">
        <v>36</v>
      </c>
      <c r="C1411" s="688"/>
      <c r="D1411" s="688"/>
      <c r="E1411" s="688"/>
      <c r="F1411" s="543"/>
      <c r="G1411" s="513"/>
      <c r="H1411" s="543"/>
      <c r="I1411" s="543">
        <v>3000</v>
      </c>
      <c r="J1411" s="543">
        <v>3000</v>
      </c>
      <c r="K1411" s="689">
        <v>3000</v>
      </c>
    </row>
    <row r="1412" spans="1:11" s="4" customFormat="1" ht="25.5" x14ac:dyDescent="0.2">
      <c r="A1412" s="505" t="s">
        <v>330</v>
      </c>
      <c r="B1412" s="517" t="s">
        <v>331</v>
      </c>
      <c r="C1412" s="686"/>
      <c r="D1412" s="686"/>
      <c r="E1412" s="686"/>
      <c r="F1412" s="687"/>
      <c r="G1412" s="668"/>
      <c r="H1412" s="549">
        <f>SUM(H1416,H1413)</f>
        <v>0</v>
      </c>
      <c r="I1412" s="549">
        <f t="shared" ref="I1412:K1412" si="1151">SUM(I1416,I1413)</f>
        <v>46000</v>
      </c>
      <c r="J1412" s="549">
        <f t="shared" si="1151"/>
        <v>46000</v>
      </c>
      <c r="K1412" s="549">
        <f t="shared" si="1151"/>
        <v>11000</v>
      </c>
    </row>
    <row r="1413" spans="1:11" x14ac:dyDescent="0.2">
      <c r="A1413" s="673" t="s">
        <v>177</v>
      </c>
      <c r="B1413" s="529" t="s">
        <v>129</v>
      </c>
      <c r="C1413" s="688"/>
      <c r="D1413" s="688"/>
      <c r="E1413" s="688"/>
      <c r="F1413" s="543"/>
      <c r="G1413" s="513"/>
      <c r="H1413" s="579">
        <f>SUM(H1414:H1415)</f>
        <v>0</v>
      </c>
      <c r="I1413" s="579">
        <f>SUM(I1414:I1415)</f>
        <v>35000</v>
      </c>
      <c r="J1413" s="579">
        <f>SUM(J1414:J1415)</f>
        <v>35000</v>
      </c>
      <c r="K1413" s="579">
        <f>SUM(K1414:K1415)</f>
        <v>0</v>
      </c>
    </row>
    <row r="1414" spans="1:11" ht="15" customHeight="1" x14ac:dyDescent="0.2">
      <c r="A1414" s="511">
        <v>4221</v>
      </c>
      <c r="B1414" s="535" t="s">
        <v>54</v>
      </c>
      <c r="C1414" s="688"/>
      <c r="D1414" s="688"/>
      <c r="E1414" s="688"/>
      <c r="F1414" s="543"/>
      <c r="G1414" s="513"/>
      <c r="H1414" s="543"/>
      <c r="I1414" s="543">
        <v>30000</v>
      </c>
      <c r="J1414" s="543">
        <v>30000</v>
      </c>
      <c r="K1414" s="689"/>
    </row>
    <row r="1415" spans="1:11" x14ac:dyDescent="0.2">
      <c r="A1415" s="511">
        <v>4225</v>
      </c>
      <c r="B1415" s="535" t="s">
        <v>105</v>
      </c>
      <c r="C1415" s="688"/>
      <c r="D1415" s="688"/>
      <c r="E1415" s="688"/>
      <c r="F1415" s="543"/>
      <c r="G1415" s="513"/>
      <c r="H1415" s="543"/>
      <c r="I1415" s="543">
        <v>5000</v>
      </c>
      <c r="J1415" s="543">
        <v>5000</v>
      </c>
      <c r="K1415" s="689"/>
    </row>
    <row r="1416" spans="1:11" x14ac:dyDescent="0.2">
      <c r="A1416" s="673" t="s">
        <v>181</v>
      </c>
      <c r="B1416" s="529" t="s">
        <v>61</v>
      </c>
      <c r="C1416" s="688"/>
      <c r="D1416" s="688"/>
      <c r="E1416" s="688"/>
      <c r="F1416" s="543"/>
      <c r="G1416" s="513"/>
      <c r="H1416" s="579">
        <f t="shared" ref="H1416:K1416" si="1152">SUM(H1417)</f>
        <v>0</v>
      </c>
      <c r="I1416" s="579">
        <f t="shared" si="1152"/>
        <v>11000</v>
      </c>
      <c r="J1416" s="579">
        <f t="shared" si="1152"/>
        <v>11000</v>
      </c>
      <c r="K1416" s="579">
        <f t="shared" si="1152"/>
        <v>11000</v>
      </c>
    </row>
    <row r="1417" spans="1:11" x14ac:dyDescent="0.2">
      <c r="A1417" s="511">
        <v>4231</v>
      </c>
      <c r="B1417" s="535" t="s">
        <v>62</v>
      </c>
      <c r="C1417" s="688"/>
      <c r="D1417" s="688"/>
      <c r="E1417" s="688"/>
      <c r="F1417" s="543"/>
      <c r="G1417" s="513"/>
      <c r="H1417" s="543"/>
      <c r="I1417" s="543">
        <v>11000</v>
      </c>
      <c r="J1417" s="543">
        <v>11000</v>
      </c>
      <c r="K1417" s="689">
        <v>11000</v>
      </c>
    </row>
    <row r="1418" spans="1:11" ht="27" customHeight="1" x14ac:dyDescent="0.2">
      <c r="A1418" s="690" t="s">
        <v>90</v>
      </c>
      <c r="B1418" s="690" t="s">
        <v>200</v>
      </c>
      <c r="C1418" s="691">
        <f t="shared" ref="C1418:K1418" si="1153">SUM(C1419)</f>
        <v>193145315</v>
      </c>
      <c r="D1418" s="691">
        <f t="shared" si="1153"/>
        <v>62225200</v>
      </c>
      <c r="E1418" s="691">
        <f t="shared" si="1153"/>
        <v>24935000</v>
      </c>
      <c r="F1418" s="691">
        <f t="shared" si="1153"/>
        <v>155855115</v>
      </c>
      <c r="G1418" s="691">
        <f t="shared" si="1153"/>
        <v>114512000</v>
      </c>
      <c r="H1418" s="691">
        <f t="shared" si="1153"/>
        <v>119864000</v>
      </c>
      <c r="I1418" s="691">
        <f t="shared" si="1153"/>
        <v>131313000</v>
      </c>
      <c r="J1418" s="691">
        <f t="shared" si="1153"/>
        <v>206622000</v>
      </c>
      <c r="K1418" s="691">
        <f t="shared" si="1153"/>
        <v>141133000</v>
      </c>
    </row>
    <row r="1419" spans="1:11" ht="31.5" customHeight="1" x14ac:dyDescent="0.2">
      <c r="A1419" s="692" t="s">
        <v>195</v>
      </c>
      <c r="B1419" s="692" t="s">
        <v>196</v>
      </c>
      <c r="C1419" s="693">
        <f t="shared" ref="C1419:D1419" si="1154">SUM(C1420:C1432)</f>
        <v>193145315</v>
      </c>
      <c r="D1419" s="693">
        <f t="shared" si="1154"/>
        <v>62225200</v>
      </c>
      <c r="E1419" s="693">
        <f t="shared" ref="E1419:K1419" si="1155">SUM(E1420:E1432)</f>
        <v>24935000</v>
      </c>
      <c r="F1419" s="693">
        <f t="shared" si="1155"/>
        <v>155855115</v>
      </c>
      <c r="G1419" s="693">
        <f t="shared" si="1155"/>
        <v>114512000</v>
      </c>
      <c r="H1419" s="693">
        <f t="shared" si="1155"/>
        <v>119864000</v>
      </c>
      <c r="I1419" s="693">
        <f t="shared" si="1155"/>
        <v>131313000</v>
      </c>
      <c r="J1419" s="693">
        <f t="shared" si="1155"/>
        <v>206622000</v>
      </c>
      <c r="K1419" s="693">
        <f t="shared" si="1155"/>
        <v>141133000</v>
      </c>
    </row>
    <row r="1420" spans="1:11" x14ac:dyDescent="0.2">
      <c r="A1420" s="694"/>
      <c r="B1420" s="694" t="s">
        <v>201</v>
      </c>
      <c r="C1420" s="695">
        <f>SUM(C8,C73,C100)</f>
        <v>1693000</v>
      </c>
      <c r="D1420" s="695">
        <f>SUM(D8,D73,D100)</f>
        <v>55500</v>
      </c>
      <c r="E1420" s="695">
        <f>SUM(E8,E73,E100)</f>
        <v>529000</v>
      </c>
      <c r="F1420" s="513">
        <f t="shared" ref="F1420:F1432" si="1156">C1420-D1420+E1420</f>
        <v>2166500</v>
      </c>
      <c r="G1420" s="695">
        <f>SUM(G8,G73,G100)</f>
        <v>1620000</v>
      </c>
      <c r="H1420" s="695">
        <f>SUM(H8,H73,H100)</f>
        <v>1600000</v>
      </c>
      <c r="I1420" s="695">
        <f>SUM(I8,I73,I100)</f>
        <v>1610000</v>
      </c>
      <c r="J1420" s="695">
        <f>SUM(J8,J73,J100)</f>
        <v>1600000</v>
      </c>
      <c r="K1420" s="695">
        <f>SUM(K8,K73,K100)</f>
        <v>1600000</v>
      </c>
    </row>
    <row r="1421" spans="1:11" x14ac:dyDescent="0.2">
      <c r="A1421" s="696"/>
      <c r="B1421" s="696" t="s">
        <v>202</v>
      </c>
      <c r="C1421" s="695">
        <f>SUM(C12,C129,C137,C154,C191,C196,C249,C265,C159)</f>
        <v>45605000</v>
      </c>
      <c r="D1421" s="695">
        <f>SUM(D12,D129,D137,D154,D191,D196,D249,D265,D159)</f>
        <v>1623000</v>
      </c>
      <c r="E1421" s="695">
        <f>SUM(E12,E129,E137,E154,E191,E196,E249,E265,E159)</f>
        <v>20061000</v>
      </c>
      <c r="F1421" s="513">
        <f t="shared" si="1156"/>
        <v>64043000</v>
      </c>
      <c r="G1421" s="695">
        <f>SUM(G12,G129,G137,G154,G191,G196,G249,G265,G159)</f>
        <v>43745000</v>
      </c>
      <c r="H1421" s="695">
        <f>SUM(H12,H129,H137,H154,H191,H196,H249,H265,H159)</f>
        <v>43745000</v>
      </c>
      <c r="I1421" s="695">
        <f>SUM(I12,I129,I196,I265)</f>
        <v>44022000</v>
      </c>
      <c r="J1421" s="695">
        <f>SUM(J12,J129,J196,J265)</f>
        <v>44022000</v>
      </c>
      <c r="K1421" s="695">
        <f>SUM(K12,K129,K196,K265)</f>
        <v>44022000</v>
      </c>
    </row>
    <row r="1422" spans="1:11" x14ac:dyDescent="0.2">
      <c r="A1422" s="696"/>
      <c r="B1422" s="696" t="s">
        <v>203</v>
      </c>
      <c r="C1422" s="695">
        <f t="shared" ref="C1422:H1422" si="1157">SUM(C16,C161,C311,C371,C393,C414,C453,C489)</f>
        <v>2563500</v>
      </c>
      <c r="D1422" s="695">
        <f t="shared" si="1157"/>
        <v>953000</v>
      </c>
      <c r="E1422" s="695">
        <f t="shared" si="1157"/>
        <v>878500</v>
      </c>
      <c r="F1422" s="695">
        <f t="shared" si="1157"/>
        <v>2489000</v>
      </c>
      <c r="G1422" s="695">
        <f t="shared" si="1157"/>
        <v>2264000</v>
      </c>
      <c r="H1422" s="695">
        <f t="shared" si="1157"/>
        <v>1726000</v>
      </c>
      <c r="I1422" s="695">
        <f>SUM(I16,I161,I311,I371,I393,I414,I453,I489,I1290,I1309)</f>
        <v>3645000</v>
      </c>
      <c r="J1422" s="695">
        <f>SUM(J16,J161,J311,J371,J393,J414,J453,J489,J1290,J1309)</f>
        <v>2119000</v>
      </c>
      <c r="K1422" s="695">
        <f>SUM(K16,K161,K311,K371,K393,K414,K453,K489,K1290,K1309)</f>
        <v>1619000</v>
      </c>
    </row>
    <row r="1423" spans="1:11" x14ac:dyDescent="0.2">
      <c r="A1423" s="696"/>
      <c r="B1423" s="696" t="s">
        <v>204</v>
      </c>
      <c r="C1423" s="695">
        <f>SUM(C33,C254,C504,C133)</f>
        <v>129000</v>
      </c>
      <c r="D1423" s="695">
        <f>SUM(D33,D254,D504,D133)</f>
        <v>63500</v>
      </c>
      <c r="E1423" s="695">
        <f>SUM(E33,E254,E504,E133)</f>
        <v>44500</v>
      </c>
      <c r="F1423" s="513">
        <f t="shared" si="1156"/>
        <v>110000</v>
      </c>
      <c r="G1423" s="695">
        <f>SUM(G33,G254,G504,G133)</f>
        <v>129000</v>
      </c>
      <c r="H1423" s="695">
        <f>SUM(H33,H254,H504,H133)</f>
        <v>129000</v>
      </c>
      <c r="I1423" s="695">
        <f>SUM(I33,I254,I504,I133)</f>
        <v>129000</v>
      </c>
      <c r="J1423" s="695">
        <f>SUM(J33,J254,J504,J133)</f>
        <v>129000</v>
      </c>
      <c r="K1423" s="695">
        <f>SUM(K33,K254,K504,K133)</f>
        <v>129000</v>
      </c>
    </row>
    <row r="1424" spans="1:11" x14ac:dyDescent="0.2">
      <c r="A1424" s="696"/>
      <c r="B1424" s="696" t="s">
        <v>301</v>
      </c>
      <c r="C1424" s="695">
        <f>SUM(C550)</f>
        <v>0</v>
      </c>
      <c r="D1424" s="695">
        <f>SUM(D550)</f>
        <v>0</v>
      </c>
      <c r="E1424" s="695">
        <f>SUM(E550)</f>
        <v>0</v>
      </c>
      <c r="F1424" s="513">
        <f t="shared" si="1156"/>
        <v>0</v>
      </c>
      <c r="G1424" s="695">
        <f>SUM(G550)</f>
        <v>0</v>
      </c>
      <c r="H1424" s="695">
        <f>SUM(H550)</f>
        <v>0</v>
      </c>
      <c r="I1424" s="695">
        <f>SUM(I550)</f>
        <v>0</v>
      </c>
      <c r="J1424" s="695">
        <f>SUM(J550)</f>
        <v>0</v>
      </c>
      <c r="K1424" s="695">
        <f>SUM(K550)</f>
        <v>0</v>
      </c>
    </row>
    <row r="1425" spans="1:11" x14ac:dyDescent="0.2">
      <c r="A1425" s="696"/>
      <c r="B1425" s="696" t="s">
        <v>207</v>
      </c>
      <c r="C1425" s="695">
        <f>SUM(C574)</f>
        <v>1158000</v>
      </c>
      <c r="D1425" s="695">
        <f>SUM(D574)</f>
        <v>0</v>
      </c>
      <c r="E1425" s="695">
        <f>SUM(E574)</f>
        <v>0</v>
      </c>
      <c r="F1425" s="513">
        <f t="shared" si="1156"/>
        <v>1158000</v>
      </c>
      <c r="G1425" s="695">
        <f>SUM(G574)</f>
        <v>4000</v>
      </c>
      <c r="H1425" s="695">
        <f>SUM(H574)</f>
        <v>0</v>
      </c>
      <c r="I1425" s="695">
        <f>SUM(I574)</f>
        <v>134000</v>
      </c>
      <c r="J1425" s="695">
        <f>SUM(J574)</f>
        <v>0</v>
      </c>
      <c r="K1425" s="695">
        <f>SUM(K574)</f>
        <v>0</v>
      </c>
    </row>
    <row r="1426" spans="1:11" x14ac:dyDescent="0.2">
      <c r="A1426" s="696"/>
      <c r="B1426" s="696" t="s">
        <v>269</v>
      </c>
      <c r="C1426" s="695">
        <f>SUM(C618,C43,C596)</f>
        <v>1296100</v>
      </c>
      <c r="D1426" s="695">
        <f>SUM(D618,D43,D596)</f>
        <v>330000</v>
      </c>
      <c r="E1426" s="695">
        <f>SUM(E618,E43,E596)</f>
        <v>0</v>
      </c>
      <c r="F1426" s="513">
        <f t="shared" si="1156"/>
        <v>966100</v>
      </c>
      <c r="G1426" s="695">
        <f>SUM(G618,G43,G596)</f>
        <v>14879000</v>
      </c>
      <c r="H1426" s="695">
        <f>SUM(H618,H43,H596)</f>
        <v>14879000</v>
      </c>
      <c r="I1426" s="695">
        <f>SUM(I618,I43,I596)</f>
        <v>0</v>
      </c>
      <c r="J1426" s="695">
        <f>SUM(J618,J43,J596)</f>
        <v>0</v>
      </c>
      <c r="K1426" s="695">
        <f>SUM(K618,K43,K596)</f>
        <v>0</v>
      </c>
    </row>
    <row r="1427" spans="1:11" x14ac:dyDescent="0.2">
      <c r="A1427" s="696"/>
      <c r="B1427" s="694" t="s">
        <v>270</v>
      </c>
      <c r="C1427" s="697">
        <f>C149+C591+C646+C686+C698+C703+C600</f>
        <v>47803500</v>
      </c>
      <c r="D1427" s="697">
        <f>D149+D591+D646+D686+D698+D703+D600</f>
        <v>5290300</v>
      </c>
      <c r="E1427" s="697">
        <f>E149+E591+E646+E686+E698+E703+E600</f>
        <v>210600</v>
      </c>
      <c r="F1427" s="513">
        <f t="shared" si="1156"/>
        <v>42723800</v>
      </c>
      <c r="G1427" s="697">
        <f>G149+G591+G646+G686+G698+G703+G600</f>
        <v>2211000</v>
      </c>
      <c r="H1427" s="697">
        <f>H149+H591+H646+H686+H698+H703+H600</f>
        <v>2130000</v>
      </c>
      <c r="I1427" s="697">
        <f>I149+I591+I600++I646+I686+I698+I703+I1329+I1334+I1342+I1395</f>
        <v>20000000</v>
      </c>
      <c r="J1427" s="697">
        <f>J149+J591+J600++J646+J686+J698+J703+J1329+J1334+J1342+J1395</f>
        <v>50381000</v>
      </c>
      <c r="K1427" s="697">
        <f>K149+K591+K600++K646+K686+K698+K703+K1329+K1334+K1342+K1395</f>
        <v>35117000</v>
      </c>
    </row>
    <row r="1428" spans="1:11" x14ac:dyDescent="0.2">
      <c r="A1428" s="696"/>
      <c r="B1428" s="696" t="s">
        <v>205</v>
      </c>
      <c r="C1428" s="695">
        <f t="shared" ref="C1428:H1428" si="1158">C708+C760+C813+C917+C928+C1001+C1007+C1054+C1098+C976+C956+C1263+C1244+C1147</f>
        <v>72225200</v>
      </c>
      <c r="D1428" s="695">
        <f t="shared" si="1158"/>
        <v>53908900</v>
      </c>
      <c r="E1428" s="695">
        <f t="shared" si="1158"/>
        <v>3089400</v>
      </c>
      <c r="F1428" s="695">
        <f t="shared" si="1158"/>
        <v>21405700</v>
      </c>
      <c r="G1428" s="695">
        <f t="shared" si="1158"/>
        <v>46773000</v>
      </c>
      <c r="H1428" s="695">
        <f t="shared" si="1158"/>
        <v>55496000</v>
      </c>
      <c r="I1428" s="695">
        <f>I708+I760+I813+I917+I928+I1001+I1007+I1054+I1098+I976+I956+I1263+I1244+I1148</f>
        <v>60000000</v>
      </c>
      <c r="J1428" s="695">
        <f>J708+J760+J813+J917+J928+J1001+J1007+J1054+J1098+J976+J956+J1263+J1244+J1148</f>
        <v>107418000</v>
      </c>
      <c r="K1428" s="695">
        <f>K708+K760+K813+K917+K928+K1001+K1007+K1054+K1098+K976+K956+K1263+K1244+K1148</f>
        <v>58572000</v>
      </c>
    </row>
    <row r="1429" spans="1:11" x14ac:dyDescent="0.2">
      <c r="A1429" s="696"/>
      <c r="B1429" s="696" t="s">
        <v>316</v>
      </c>
      <c r="C1429" s="695">
        <f>C1194</f>
        <v>1461544</v>
      </c>
      <c r="D1429" s="695">
        <f>D1194</f>
        <v>0</v>
      </c>
      <c r="E1429" s="695">
        <f>E1194</f>
        <v>0</v>
      </c>
      <c r="F1429" s="513">
        <f t="shared" si="1156"/>
        <v>1461544</v>
      </c>
      <c r="G1429" s="695">
        <f>G1194</f>
        <v>0</v>
      </c>
      <c r="H1429" s="695">
        <f>H1194</f>
        <v>0</v>
      </c>
      <c r="I1429" s="695">
        <f>I1194</f>
        <v>0</v>
      </c>
      <c r="J1429" s="695">
        <f>J1194</f>
        <v>0</v>
      </c>
      <c r="K1429" s="695">
        <f>K1194</f>
        <v>0</v>
      </c>
    </row>
    <row r="1430" spans="1:11" x14ac:dyDescent="0.2">
      <c r="A1430" s="696"/>
      <c r="B1430" s="696" t="s">
        <v>355</v>
      </c>
      <c r="C1430" s="695">
        <f>C1207</f>
        <v>11663471</v>
      </c>
      <c r="D1430" s="695">
        <f>D1207</f>
        <v>0</v>
      </c>
      <c r="E1430" s="695">
        <f>E1207</f>
        <v>0</v>
      </c>
      <c r="F1430" s="513">
        <f>C1430-D1430+E1430</f>
        <v>11663471</v>
      </c>
      <c r="G1430" s="695">
        <f>G1207</f>
        <v>0</v>
      </c>
      <c r="H1430" s="695">
        <f>H1207</f>
        <v>0</v>
      </c>
      <c r="I1430" s="695">
        <f>I1207</f>
        <v>0</v>
      </c>
      <c r="J1430" s="695">
        <f>J1207</f>
        <v>0</v>
      </c>
      <c r="K1430" s="695">
        <f>K1207</f>
        <v>0</v>
      </c>
    </row>
    <row r="1431" spans="1:11" x14ac:dyDescent="0.2">
      <c r="A1431" s="696"/>
      <c r="B1431" s="698" t="s">
        <v>305</v>
      </c>
      <c r="C1431" s="695">
        <f>C1220</f>
        <v>7473000</v>
      </c>
      <c r="D1431" s="695">
        <f>D1220</f>
        <v>0</v>
      </c>
      <c r="E1431" s="695">
        <f>E1220</f>
        <v>0</v>
      </c>
      <c r="F1431" s="513">
        <f t="shared" si="1156"/>
        <v>7473000</v>
      </c>
      <c r="G1431" s="695">
        <f>G1220</f>
        <v>2813000</v>
      </c>
      <c r="H1431" s="695">
        <f>H1220</f>
        <v>85000</v>
      </c>
      <c r="I1431" s="695">
        <f>I1220</f>
        <v>1699000</v>
      </c>
      <c r="J1431" s="695">
        <f t="shared" ref="J1431:K1431" si="1159">J1220</f>
        <v>879000</v>
      </c>
      <c r="K1431" s="695">
        <f t="shared" si="1159"/>
        <v>0</v>
      </c>
    </row>
    <row r="1432" spans="1:11" x14ac:dyDescent="0.2">
      <c r="A1432" s="696"/>
      <c r="B1432" s="696" t="s">
        <v>206</v>
      </c>
      <c r="C1432" s="695">
        <f>SUM(C46,C538)</f>
        <v>74000</v>
      </c>
      <c r="D1432" s="695">
        <f>SUM(D46,D538)</f>
        <v>1000</v>
      </c>
      <c r="E1432" s="695">
        <f>SUM(E46,E538)</f>
        <v>122000</v>
      </c>
      <c r="F1432" s="513">
        <f t="shared" si="1156"/>
        <v>195000</v>
      </c>
      <c r="G1432" s="695">
        <f>SUM(G46,G538)</f>
        <v>74000</v>
      </c>
      <c r="H1432" s="695">
        <f>SUM(H46,H538)</f>
        <v>74000</v>
      </c>
      <c r="I1432" s="695">
        <f>SUM(I46,I538)</f>
        <v>74000</v>
      </c>
      <c r="J1432" s="695">
        <f>SUM(J46,J538)</f>
        <v>74000</v>
      </c>
      <c r="K1432" s="695">
        <f>SUM(K46,K538)</f>
        <v>74000</v>
      </c>
    </row>
    <row r="1434" spans="1:11" x14ac:dyDescent="0.2">
      <c r="B1434" s="21"/>
      <c r="C1434" s="22"/>
      <c r="D1434" s="22"/>
      <c r="E1434" s="22"/>
      <c r="F1434" s="3"/>
      <c r="G1434" s="22"/>
      <c r="H1434" s="22"/>
      <c r="I1434" s="22"/>
      <c r="J1434" s="22"/>
      <c r="K1434" s="22"/>
    </row>
    <row r="1435" spans="1:11" x14ac:dyDescent="0.2">
      <c r="B1435" s="21"/>
      <c r="C1435" s="28">
        <f>C1419-C5</f>
        <v>0</v>
      </c>
      <c r="D1435" s="28"/>
      <c r="E1435" s="28"/>
      <c r="F1435" s="28"/>
      <c r="G1435" s="28"/>
      <c r="H1435" s="28"/>
      <c r="I1435" s="28"/>
      <c r="J1435" s="28"/>
      <c r="K1435" s="28"/>
    </row>
    <row r="1436" spans="1:11" x14ac:dyDescent="0.2">
      <c r="B1436" s="21"/>
      <c r="C1436" s="22"/>
      <c r="D1436" s="22"/>
      <c r="E1436" s="22"/>
      <c r="F1436" s="23"/>
      <c r="G1436" s="22"/>
      <c r="H1436" s="22"/>
      <c r="I1436" s="22"/>
      <c r="J1436" s="22"/>
      <c r="K1436" s="22"/>
    </row>
    <row r="1437" spans="1:11" x14ac:dyDescent="0.2">
      <c r="B1437" s="21"/>
      <c r="C1437" s="712"/>
      <c r="D1437" s="712"/>
      <c r="E1437" s="712"/>
      <c r="F1437" s="23"/>
      <c r="G1437" s="23"/>
      <c r="H1437" s="23"/>
      <c r="I1437" s="23"/>
      <c r="J1437" s="23"/>
      <c r="K1437" s="23"/>
    </row>
    <row r="1438" spans="1:11" x14ac:dyDescent="0.2">
      <c r="B1438" s="21"/>
      <c r="C1438" s="22"/>
      <c r="D1438" s="22"/>
      <c r="E1438" s="22"/>
      <c r="F1438" s="24"/>
      <c r="G1438" s="22"/>
      <c r="H1438" s="22"/>
      <c r="I1438" s="22"/>
      <c r="J1438" s="22"/>
      <c r="K1438" s="22"/>
    </row>
    <row r="1439" spans="1:11" x14ac:dyDescent="0.2">
      <c r="B1439" s="21"/>
      <c r="C1439" s="22"/>
      <c r="D1439" s="22"/>
      <c r="E1439" s="22"/>
      <c r="F1439" s="3"/>
      <c r="G1439" s="22"/>
      <c r="H1439" s="22"/>
      <c r="I1439" s="22"/>
      <c r="J1439" s="22"/>
      <c r="K1439" s="22"/>
    </row>
    <row r="1440" spans="1:11" x14ac:dyDescent="0.2">
      <c r="B1440" s="21"/>
      <c r="C1440" s="22"/>
      <c r="D1440" s="22"/>
      <c r="E1440" s="22"/>
      <c r="F1440" s="3"/>
      <c r="G1440" s="22"/>
      <c r="H1440" s="22"/>
      <c r="I1440" s="22"/>
      <c r="J1440" s="22"/>
      <c r="K1440" s="22"/>
    </row>
    <row r="1441" spans="2:11" x14ac:dyDescent="0.2">
      <c r="B1441" s="22"/>
      <c r="C1441" s="22"/>
      <c r="D1441" s="22"/>
      <c r="E1441" s="22"/>
      <c r="F1441" s="22"/>
      <c r="G1441" s="22"/>
      <c r="H1441" s="22"/>
      <c r="I1441" s="22"/>
      <c r="J1441" s="22"/>
      <c r="K1441" s="22"/>
    </row>
    <row r="1442" spans="2:11" x14ac:dyDescent="0.2">
      <c r="B1442" s="22"/>
      <c r="C1442" s="22"/>
      <c r="D1442" s="22"/>
      <c r="E1442" s="22"/>
      <c r="F1442" s="22"/>
      <c r="G1442" s="22"/>
      <c r="H1442" s="22"/>
      <c r="I1442" s="22"/>
      <c r="J1442" s="22"/>
      <c r="K1442" s="22"/>
    </row>
    <row r="1443" spans="2:11" x14ac:dyDescent="0.2">
      <c r="B1443" s="22"/>
      <c r="C1443" s="22"/>
      <c r="D1443" s="22"/>
      <c r="E1443" s="22"/>
      <c r="F1443" s="22"/>
      <c r="G1443" s="22"/>
      <c r="H1443" s="22"/>
      <c r="I1443" s="22"/>
      <c r="J1443" s="22"/>
      <c r="K1443" s="22"/>
    </row>
    <row r="1444" spans="2:11" x14ac:dyDescent="0.2">
      <c r="B1444" s="22"/>
      <c r="C1444" s="22"/>
      <c r="D1444" s="22"/>
      <c r="E1444" s="22"/>
      <c r="F1444" s="22"/>
      <c r="G1444" s="22"/>
      <c r="H1444" s="22"/>
      <c r="I1444" s="22"/>
      <c r="J1444" s="22"/>
      <c r="K1444" s="22"/>
    </row>
    <row r="1445" spans="2:11" x14ac:dyDescent="0.2">
      <c r="B1445" s="22"/>
      <c r="C1445" s="22"/>
      <c r="D1445" s="22"/>
      <c r="E1445" s="22"/>
      <c r="F1445" s="22"/>
      <c r="G1445" s="22"/>
      <c r="H1445" s="22"/>
      <c r="I1445" s="22"/>
      <c r="J1445" s="22"/>
      <c r="K1445" s="22"/>
    </row>
    <row r="1446" spans="2:11" x14ac:dyDescent="0.2">
      <c r="B1446" s="25"/>
      <c r="C1446" s="25"/>
      <c r="D1446" s="25"/>
      <c r="E1446" s="25"/>
      <c r="G1446" s="25"/>
      <c r="H1446" s="25"/>
      <c r="I1446" s="25"/>
      <c r="J1446" s="25"/>
      <c r="K1446" s="25"/>
    </row>
    <row r="1447" spans="2:11" x14ac:dyDescent="0.2">
      <c r="B1447" s="25"/>
      <c r="C1447" s="25"/>
      <c r="D1447" s="25"/>
      <c r="E1447" s="25"/>
      <c r="G1447" s="25"/>
      <c r="H1447" s="25"/>
      <c r="I1447" s="25"/>
      <c r="J1447" s="25"/>
      <c r="K1447" s="25"/>
    </row>
    <row r="1448" spans="2:11" x14ac:dyDescent="0.2">
      <c r="B1448" s="25"/>
      <c r="C1448" s="25"/>
      <c r="D1448" s="25"/>
      <c r="E1448" s="25"/>
      <c r="G1448" s="25"/>
      <c r="H1448" s="25"/>
      <c r="I1448" s="25"/>
      <c r="J1448" s="25"/>
      <c r="K1448" s="25"/>
    </row>
  </sheetData>
  <mergeCells count="79">
    <mergeCell ref="A16:B16"/>
    <mergeCell ref="A8:B8"/>
    <mergeCell ref="A12:B12"/>
    <mergeCell ref="A2:K2"/>
    <mergeCell ref="C3:K3"/>
    <mergeCell ref="A154:B154"/>
    <mergeCell ref="A33:B33"/>
    <mergeCell ref="A43:B43"/>
    <mergeCell ref="A46:B46"/>
    <mergeCell ref="A73:B73"/>
    <mergeCell ref="A100:B100"/>
    <mergeCell ref="A122:B122"/>
    <mergeCell ref="A129:B129"/>
    <mergeCell ref="A133:B133"/>
    <mergeCell ref="A137:B137"/>
    <mergeCell ref="A146:B146"/>
    <mergeCell ref="A149:B149"/>
    <mergeCell ref="A367:B367"/>
    <mergeCell ref="A158:B158"/>
    <mergeCell ref="A161:B161"/>
    <mergeCell ref="A196:B196"/>
    <mergeCell ref="A249:B249"/>
    <mergeCell ref="A254:B254"/>
    <mergeCell ref="A259:B259"/>
    <mergeCell ref="A265:B265"/>
    <mergeCell ref="A311:B311"/>
    <mergeCell ref="A351:B351"/>
    <mergeCell ref="A357:B357"/>
    <mergeCell ref="A361:B361"/>
    <mergeCell ref="A813:B813"/>
    <mergeCell ref="A873:B873"/>
    <mergeCell ref="A587:B587"/>
    <mergeCell ref="A371:B371"/>
    <mergeCell ref="A389:B389"/>
    <mergeCell ref="A393:B393"/>
    <mergeCell ref="A414:B414"/>
    <mergeCell ref="A453:B453"/>
    <mergeCell ref="A489:B489"/>
    <mergeCell ref="A504:B504"/>
    <mergeCell ref="A538:B538"/>
    <mergeCell ref="A550:B550"/>
    <mergeCell ref="A574:B574"/>
    <mergeCell ref="A583:B583"/>
    <mergeCell ref="A591:B591"/>
    <mergeCell ref="A596:B596"/>
    <mergeCell ref="C1437:E1437"/>
    <mergeCell ref="A1054:B1054"/>
    <mergeCell ref="A1098:B1098"/>
    <mergeCell ref="A1194:B1194"/>
    <mergeCell ref="A1207:B1207"/>
    <mergeCell ref="A1220:B1220"/>
    <mergeCell ref="A1244:B1244"/>
    <mergeCell ref="C1329:D1329"/>
    <mergeCell ref="A1395:B1395"/>
    <mergeCell ref="A1342:B1342"/>
    <mergeCell ref="C1342:D1342"/>
    <mergeCell ref="A1334:B1334"/>
    <mergeCell ref="C1395:D1395"/>
    <mergeCell ref="A708:B708"/>
    <mergeCell ref="A618:B618"/>
    <mergeCell ref="A646:B646"/>
    <mergeCell ref="A686:B686"/>
    <mergeCell ref="A600:B600"/>
    <mergeCell ref="A760:B760"/>
    <mergeCell ref="C1334:D1334"/>
    <mergeCell ref="A1007:B1007"/>
    <mergeCell ref="A880:B880"/>
    <mergeCell ref="A698:B698"/>
    <mergeCell ref="A1309:B1309"/>
    <mergeCell ref="A1329:B1329"/>
    <mergeCell ref="A1290:B1290"/>
    <mergeCell ref="A1263:B1263"/>
    <mergeCell ref="A1148:B1148"/>
    <mergeCell ref="A917:B917"/>
    <mergeCell ref="A928:B928"/>
    <mergeCell ref="A956:B956"/>
    <mergeCell ref="A976:B976"/>
    <mergeCell ref="A1001:B1001"/>
    <mergeCell ref="A703:B703"/>
  </mergeCells>
  <pageMargins left="0.98425196850393704" right="0.39370078740157483" top="0.39370078740157483" bottom="0.39370078740157483" header="0.31496062992125984" footer="0.11811023622047245"/>
  <pageSetup paperSize="9" fitToHeight="0" orientation="portrait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zoomScaleNormal="100" workbookViewId="0">
      <selection activeCell="B38" sqref="B38"/>
    </sheetView>
  </sheetViews>
  <sheetFormatPr defaultRowHeight="12.75" x14ac:dyDescent="0.2"/>
  <cols>
    <col min="1" max="1" width="8.5703125" style="33" customWidth="1"/>
    <col min="2" max="2" width="40.7109375" style="34" customWidth="1"/>
    <col min="3" max="4" width="13.28515625" style="35" hidden="1" customWidth="1"/>
    <col min="5" max="6" width="10.140625" style="35" hidden="1" customWidth="1"/>
    <col min="7" max="7" width="14.140625" style="35" customWidth="1"/>
    <col min="8" max="8" width="14.28515625" style="35" customWidth="1"/>
    <col min="9" max="9" width="14.140625" style="35" customWidth="1"/>
    <col min="10" max="11" width="9.140625" style="35"/>
    <col min="12" max="12" width="15.85546875" style="35" customWidth="1"/>
    <col min="13" max="16384" width="9.140625" style="35"/>
  </cols>
  <sheetData>
    <row r="1" spans="1:12" x14ac:dyDescent="0.2">
      <c r="F1" s="36"/>
    </row>
    <row r="2" spans="1:12" ht="15.75" customHeight="1" x14ac:dyDescent="0.2">
      <c r="A2" s="35"/>
      <c r="F2" s="36"/>
      <c r="I2" s="491" t="s">
        <v>445</v>
      </c>
    </row>
    <row r="3" spans="1:12" ht="22.5" customHeight="1" x14ac:dyDescent="0.25">
      <c r="A3" s="718" t="s">
        <v>446</v>
      </c>
      <c r="B3" s="718"/>
      <c r="C3" s="718"/>
      <c r="D3" s="718"/>
      <c r="E3" s="718"/>
      <c r="F3" s="718"/>
      <c r="G3" s="718"/>
      <c r="H3" s="718"/>
      <c r="I3" s="718"/>
    </row>
    <row r="4" spans="1:12" ht="22.5" customHeight="1" x14ac:dyDescent="0.2"/>
    <row r="5" spans="1:12" ht="32.25" customHeight="1" x14ac:dyDescent="0.2">
      <c r="A5" s="721" t="s">
        <v>377</v>
      </c>
      <c r="B5" s="721"/>
      <c r="C5" s="722" t="s">
        <v>382</v>
      </c>
      <c r="D5" s="719" t="s">
        <v>378</v>
      </c>
      <c r="E5" s="719" t="s">
        <v>379</v>
      </c>
      <c r="F5" s="719" t="s">
        <v>380</v>
      </c>
      <c r="G5" s="719" t="s">
        <v>318</v>
      </c>
      <c r="H5" s="719" t="s">
        <v>319</v>
      </c>
      <c r="I5" s="719" t="s">
        <v>381</v>
      </c>
    </row>
    <row r="6" spans="1:12" s="37" customFormat="1" ht="17.25" customHeight="1" x14ac:dyDescent="0.25">
      <c r="A6" s="721"/>
      <c r="B6" s="721"/>
      <c r="C6" s="722"/>
      <c r="D6" s="720"/>
      <c r="E6" s="720"/>
      <c r="F6" s="720"/>
      <c r="G6" s="720"/>
      <c r="H6" s="720"/>
      <c r="I6" s="720"/>
    </row>
    <row r="7" spans="1:12" ht="19.5" customHeight="1" x14ac:dyDescent="0.2">
      <c r="A7" s="38" t="s">
        <v>90</v>
      </c>
      <c r="B7" s="39" t="s">
        <v>0</v>
      </c>
      <c r="C7" s="40">
        <f t="shared" ref="C7:I7" si="0">SUM(C8)</f>
        <v>1051423055</v>
      </c>
      <c r="D7" s="41">
        <f t="shared" si="0"/>
        <v>1066130855</v>
      </c>
      <c r="E7" s="40">
        <f t="shared" si="0"/>
        <v>963361288</v>
      </c>
      <c r="F7" s="40">
        <f t="shared" si="0"/>
        <v>969510573</v>
      </c>
      <c r="G7" s="40">
        <f t="shared" si="0"/>
        <v>1179569150</v>
      </c>
      <c r="H7" s="40">
        <f t="shared" si="0"/>
        <v>1256428393</v>
      </c>
      <c r="I7" s="40">
        <f t="shared" si="0"/>
        <v>1190420615</v>
      </c>
    </row>
    <row r="8" spans="1:12" ht="24.75" customHeight="1" x14ac:dyDescent="0.2">
      <c r="A8" s="42" t="s">
        <v>195</v>
      </c>
      <c r="B8" s="43" t="s">
        <v>196</v>
      </c>
      <c r="C8" s="44">
        <f>SUM(C9,C12)</f>
        <v>1051423055</v>
      </c>
      <c r="D8" s="45">
        <f t="shared" ref="D8:I8" si="1">SUM(D9,D12)</f>
        <v>1066130855</v>
      </c>
      <c r="E8" s="44">
        <f t="shared" si="1"/>
        <v>963361288</v>
      </c>
      <c r="F8" s="44">
        <f t="shared" si="1"/>
        <v>969510573</v>
      </c>
      <c r="G8" s="44">
        <f t="shared" si="1"/>
        <v>1179569150</v>
      </c>
      <c r="H8" s="44">
        <f t="shared" si="1"/>
        <v>1256428393</v>
      </c>
      <c r="I8" s="44">
        <f t="shared" si="1"/>
        <v>1190420615</v>
      </c>
    </row>
    <row r="9" spans="1:12" s="50" customFormat="1" ht="26.25" customHeight="1" x14ac:dyDescent="0.2">
      <c r="A9" s="46"/>
      <c r="B9" s="47" t="s">
        <v>197</v>
      </c>
      <c r="C9" s="48">
        <f t="shared" ref="C9" si="2">SUM(C10:C11)</f>
        <v>858277740</v>
      </c>
      <c r="D9" s="49">
        <f t="shared" ref="D9:I9" si="3">SUM(D10:D11)</f>
        <v>910275740</v>
      </c>
      <c r="E9" s="48">
        <f t="shared" si="3"/>
        <v>848849288</v>
      </c>
      <c r="F9" s="48">
        <f t="shared" si="3"/>
        <v>849646573</v>
      </c>
      <c r="G9" s="48">
        <f t="shared" si="3"/>
        <v>1048256150</v>
      </c>
      <c r="H9" s="48">
        <f t="shared" si="3"/>
        <v>1049806393</v>
      </c>
      <c r="I9" s="48">
        <f t="shared" si="3"/>
        <v>1049287615</v>
      </c>
    </row>
    <row r="10" spans="1:12" s="55" customFormat="1" ht="16.5" customHeight="1" x14ac:dyDescent="0.2">
      <c r="A10" s="51"/>
      <c r="B10" s="52" t="s">
        <v>198</v>
      </c>
      <c r="C10" s="53">
        <f>'Izvor 11 i 12'!C912</f>
        <v>827160740</v>
      </c>
      <c r="D10" s="54">
        <f>'Izvor 11 i 12'!E912</f>
        <v>892540540</v>
      </c>
      <c r="E10" s="53">
        <f>'Izvor 11 i 12'!F912</f>
        <v>829001188</v>
      </c>
      <c r="F10" s="53">
        <f>'Izvor 11 i 12'!G912</f>
        <v>826966573</v>
      </c>
      <c r="G10" s="53">
        <f>'Izvor 11 i 12'!H912</f>
        <v>1008528150</v>
      </c>
      <c r="H10" s="53">
        <f>'Izvor 11 i 12'!I912</f>
        <v>1012149850</v>
      </c>
      <c r="I10" s="53">
        <f>'Izvor 11 i 12'!J912</f>
        <v>1030224615</v>
      </c>
      <c r="L10" s="56"/>
    </row>
    <row r="11" spans="1:12" s="55" customFormat="1" ht="16.5" customHeight="1" x14ac:dyDescent="0.2">
      <c r="A11" s="57"/>
      <c r="B11" s="52" t="s">
        <v>199</v>
      </c>
      <c r="C11" s="53">
        <f>'Izvor 11 i 12'!C913</f>
        <v>31117000</v>
      </c>
      <c r="D11" s="54">
        <f>'Izvor 11 i 12'!E913</f>
        <v>17735200</v>
      </c>
      <c r="E11" s="53">
        <f>'Izvor 11 i 12'!F913</f>
        <v>19848100</v>
      </c>
      <c r="F11" s="53">
        <f>'Izvor 11 i 12'!G913</f>
        <v>22680000</v>
      </c>
      <c r="G11" s="53">
        <f>'Izvor 11 i 12'!H913</f>
        <v>39728000</v>
      </c>
      <c r="H11" s="53">
        <f>'Izvor 11 i 12'!I913</f>
        <v>37656543</v>
      </c>
      <c r="I11" s="53">
        <f>'Izvor 11 i 12'!J913</f>
        <v>19063000</v>
      </c>
    </row>
    <row r="12" spans="1:12" s="58" customFormat="1" ht="27" customHeight="1" x14ac:dyDescent="0.2">
      <c r="A12" s="46"/>
      <c r="B12" s="47" t="s">
        <v>271</v>
      </c>
      <c r="C12" s="48">
        <f t="shared" ref="C12:I12" si="4">SUM(C13:C25)</f>
        <v>193145315</v>
      </c>
      <c r="D12" s="49">
        <f t="shared" si="4"/>
        <v>155855115</v>
      </c>
      <c r="E12" s="48">
        <f t="shared" si="4"/>
        <v>114512000</v>
      </c>
      <c r="F12" s="48">
        <f t="shared" si="4"/>
        <v>119864000</v>
      </c>
      <c r="G12" s="48">
        <f t="shared" si="4"/>
        <v>131313000</v>
      </c>
      <c r="H12" s="48">
        <f t="shared" si="4"/>
        <v>206622000</v>
      </c>
      <c r="I12" s="48">
        <f t="shared" si="4"/>
        <v>141133000</v>
      </c>
    </row>
    <row r="13" spans="1:12" s="55" customFormat="1" ht="15" customHeight="1" x14ac:dyDescent="0.2">
      <c r="A13" s="59"/>
      <c r="B13" s="60" t="s">
        <v>201</v>
      </c>
      <c r="C13" s="53">
        <f>'ostali izvori'!C1420</f>
        <v>1693000</v>
      </c>
      <c r="D13" s="54">
        <f>'ostali izvori'!F1420</f>
        <v>2166500</v>
      </c>
      <c r="E13" s="53">
        <f>'ostali izvori'!G1420</f>
        <v>1620000</v>
      </c>
      <c r="F13" s="53">
        <f>'ostali izvori'!H1420</f>
        <v>1600000</v>
      </c>
      <c r="G13" s="53">
        <f>'ostali izvori'!I1420</f>
        <v>1610000</v>
      </c>
      <c r="H13" s="53">
        <f>'ostali izvori'!J1420</f>
        <v>1600000</v>
      </c>
      <c r="I13" s="53">
        <f>'ostali izvori'!K1420</f>
        <v>1600000</v>
      </c>
    </row>
    <row r="14" spans="1:12" s="55" customFormat="1" ht="15" customHeight="1" x14ac:dyDescent="0.2">
      <c r="A14" s="59"/>
      <c r="B14" s="61" t="s">
        <v>202</v>
      </c>
      <c r="C14" s="53">
        <f>'ostali izvori'!C1421</f>
        <v>45605000</v>
      </c>
      <c r="D14" s="62">
        <f>'ostali izvori'!F1421</f>
        <v>64043000</v>
      </c>
      <c r="E14" s="53">
        <f>'ostali izvori'!G1421</f>
        <v>43745000</v>
      </c>
      <c r="F14" s="53">
        <f>'ostali izvori'!H1421</f>
        <v>43745000</v>
      </c>
      <c r="G14" s="53">
        <f>'ostali izvori'!I1421</f>
        <v>44022000</v>
      </c>
      <c r="H14" s="53">
        <f>'ostali izvori'!J1421</f>
        <v>44022000</v>
      </c>
      <c r="I14" s="53">
        <f>'ostali izvori'!K1421</f>
        <v>44022000</v>
      </c>
    </row>
    <row r="15" spans="1:12" s="55" customFormat="1" ht="15" customHeight="1" x14ac:dyDescent="0.2">
      <c r="A15" s="59"/>
      <c r="B15" s="61" t="s">
        <v>203</v>
      </c>
      <c r="C15" s="63">
        <f>'ostali izvori'!C1422</f>
        <v>2563500</v>
      </c>
      <c r="D15" s="62">
        <f>'ostali izvori'!F1422</f>
        <v>2489000</v>
      </c>
      <c r="E15" s="53">
        <f>'ostali izvori'!G1422</f>
        <v>2264000</v>
      </c>
      <c r="F15" s="53">
        <f>'ostali izvori'!H1422</f>
        <v>1726000</v>
      </c>
      <c r="G15" s="53">
        <f>'ostali izvori'!I1422</f>
        <v>3645000</v>
      </c>
      <c r="H15" s="53">
        <f>'ostali izvori'!J1422</f>
        <v>2119000</v>
      </c>
      <c r="I15" s="53">
        <f>'ostali izvori'!K1422</f>
        <v>1619000</v>
      </c>
    </row>
    <row r="16" spans="1:12" s="55" customFormat="1" ht="15" customHeight="1" x14ac:dyDescent="0.2">
      <c r="A16" s="59"/>
      <c r="B16" s="61" t="s">
        <v>204</v>
      </c>
      <c r="C16" s="53">
        <f>'ostali izvori'!C1423</f>
        <v>129000</v>
      </c>
      <c r="D16" s="62">
        <f>'ostali izvori'!F1423</f>
        <v>110000</v>
      </c>
      <c r="E16" s="53">
        <f>'ostali izvori'!G1423</f>
        <v>129000</v>
      </c>
      <c r="F16" s="53">
        <f>'ostali izvori'!H1423</f>
        <v>129000</v>
      </c>
      <c r="G16" s="53">
        <f>'ostali izvori'!I1423</f>
        <v>129000</v>
      </c>
      <c r="H16" s="53">
        <f>'ostali izvori'!J1423</f>
        <v>129000</v>
      </c>
      <c r="I16" s="53">
        <f>'ostali izvori'!K1423</f>
        <v>129000</v>
      </c>
    </row>
    <row r="17" spans="1:9" s="55" customFormat="1" ht="15" hidden="1" customHeight="1" x14ac:dyDescent="0.2">
      <c r="A17" s="59"/>
      <c r="B17" s="61" t="s">
        <v>301</v>
      </c>
      <c r="C17" s="53">
        <f>'ostali izvori'!C1424</f>
        <v>0</v>
      </c>
      <c r="D17" s="64">
        <f>'ostali izvori'!F1424</f>
        <v>0</v>
      </c>
      <c r="E17" s="53">
        <f>'ostali izvori'!G1424</f>
        <v>0</v>
      </c>
      <c r="F17" s="53">
        <f>'ostali izvori'!H1424</f>
        <v>0</v>
      </c>
      <c r="G17" s="53">
        <f>'ostali izvori'!I1424</f>
        <v>0</v>
      </c>
      <c r="H17" s="53">
        <f>'ostali izvori'!J1424</f>
        <v>0</v>
      </c>
      <c r="I17" s="53">
        <f>'ostali izvori'!K1424</f>
        <v>0</v>
      </c>
    </row>
    <row r="18" spans="1:9" s="55" customFormat="1" ht="15" customHeight="1" x14ac:dyDescent="0.2">
      <c r="A18" s="59"/>
      <c r="B18" s="61" t="s">
        <v>207</v>
      </c>
      <c r="C18" s="53">
        <f>'ostali izvori'!C1425</f>
        <v>1158000</v>
      </c>
      <c r="D18" s="62">
        <f>'ostali izvori'!F1425</f>
        <v>1158000</v>
      </c>
      <c r="E18" s="53">
        <f>'ostali izvori'!G1425</f>
        <v>4000</v>
      </c>
      <c r="F18" s="53">
        <f>'ostali izvori'!H1425</f>
        <v>0</v>
      </c>
      <c r="G18" s="53">
        <f>'ostali izvori'!I1425</f>
        <v>134000</v>
      </c>
      <c r="H18" s="53">
        <f>'ostali izvori'!J1425</f>
        <v>0</v>
      </c>
      <c r="I18" s="53">
        <f>'ostali izvori'!K1425</f>
        <v>0</v>
      </c>
    </row>
    <row r="19" spans="1:9" s="55" customFormat="1" ht="15" customHeight="1" x14ac:dyDescent="0.2">
      <c r="A19" s="57"/>
      <c r="B19" s="61" t="s">
        <v>269</v>
      </c>
      <c r="C19" s="53">
        <f>'ostali izvori'!C1426</f>
        <v>1296100</v>
      </c>
      <c r="D19" s="62">
        <f>'ostali izvori'!F1426</f>
        <v>966100</v>
      </c>
      <c r="E19" s="53">
        <f>'ostali izvori'!G1426</f>
        <v>14879000</v>
      </c>
      <c r="F19" s="53">
        <f>'ostali izvori'!H1426</f>
        <v>14879000</v>
      </c>
      <c r="G19" s="53">
        <f>'ostali izvori'!I1426</f>
        <v>0</v>
      </c>
      <c r="H19" s="53">
        <f>'ostali izvori'!J1426</f>
        <v>0</v>
      </c>
      <c r="I19" s="53">
        <f>'ostali izvori'!K1426</f>
        <v>0</v>
      </c>
    </row>
    <row r="20" spans="1:9" s="55" customFormat="1" ht="15" customHeight="1" x14ac:dyDescent="0.2">
      <c r="A20" s="57"/>
      <c r="B20" s="60" t="s">
        <v>270</v>
      </c>
      <c r="C20" s="53">
        <f>'ostali izvori'!C1427</f>
        <v>47803500</v>
      </c>
      <c r="D20" s="62">
        <f>'ostali izvori'!F1427</f>
        <v>42723800</v>
      </c>
      <c r="E20" s="53">
        <f>'ostali izvori'!G1427</f>
        <v>2211000</v>
      </c>
      <c r="F20" s="53">
        <f>'ostali izvori'!H1427</f>
        <v>2130000</v>
      </c>
      <c r="G20" s="53">
        <f>'ostali izvori'!I1427</f>
        <v>20000000</v>
      </c>
      <c r="H20" s="53">
        <f>'ostali izvori'!J1427</f>
        <v>50381000</v>
      </c>
      <c r="I20" s="53">
        <f>'ostali izvori'!K1427</f>
        <v>35117000</v>
      </c>
    </row>
    <row r="21" spans="1:9" s="55" customFormat="1" x14ac:dyDescent="0.2">
      <c r="A21" s="57"/>
      <c r="B21" s="61" t="s">
        <v>205</v>
      </c>
      <c r="C21" s="53">
        <f>'ostali izvori'!C1428</f>
        <v>72225200</v>
      </c>
      <c r="D21" s="62">
        <f>'ostali izvori'!F1428</f>
        <v>21405700</v>
      </c>
      <c r="E21" s="53">
        <f>'ostali izvori'!G1428</f>
        <v>46773000</v>
      </c>
      <c r="F21" s="53">
        <f>'ostali izvori'!H1428</f>
        <v>55496000</v>
      </c>
      <c r="G21" s="53">
        <f>'ostali izvori'!I1428</f>
        <v>60000000</v>
      </c>
      <c r="H21" s="53">
        <f>'ostali izvori'!J1428</f>
        <v>107418000</v>
      </c>
      <c r="I21" s="53">
        <f>'ostali izvori'!K1428</f>
        <v>58572000</v>
      </c>
    </row>
    <row r="22" spans="1:9" s="55" customFormat="1" ht="25.5" x14ac:dyDescent="0.2">
      <c r="A22" s="57"/>
      <c r="B22" s="61" t="s">
        <v>316</v>
      </c>
      <c r="C22" s="53">
        <f>'ostali izvori'!C1429</f>
        <v>1461544</v>
      </c>
      <c r="D22" s="62">
        <f>'ostali izvori'!F1429</f>
        <v>1461544</v>
      </c>
      <c r="E22" s="53">
        <f>'ostali izvori'!G1429</f>
        <v>0</v>
      </c>
      <c r="F22" s="53">
        <f>'ostali izvori'!H1429</f>
        <v>0</v>
      </c>
      <c r="G22" s="53">
        <f>'ostali izvori'!I1429</f>
        <v>0</v>
      </c>
      <c r="H22" s="53">
        <f>'ostali izvori'!J1429</f>
        <v>0</v>
      </c>
      <c r="I22" s="53">
        <f>'ostali izvori'!K1429</f>
        <v>0</v>
      </c>
    </row>
    <row r="23" spans="1:9" s="55" customFormat="1" ht="25.5" x14ac:dyDescent="0.2">
      <c r="A23" s="57"/>
      <c r="B23" s="61" t="s">
        <v>355</v>
      </c>
      <c r="C23" s="53">
        <f>'ostali izvori'!C1430</f>
        <v>11663471</v>
      </c>
      <c r="D23" s="62">
        <f>'ostali izvori'!F1430</f>
        <v>11663471</v>
      </c>
      <c r="E23" s="53">
        <f>'ostali izvori'!G1430</f>
        <v>0</v>
      </c>
      <c r="F23" s="53">
        <f>'ostali izvori'!H1430</f>
        <v>0</v>
      </c>
      <c r="G23" s="53">
        <f>'ostali izvori'!I1430</f>
        <v>0</v>
      </c>
      <c r="H23" s="53">
        <f>'ostali izvori'!J1430</f>
        <v>0</v>
      </c>
      <c r="I23" s="53">
        <f>'ostali izvori'!K1430</f>
        <v>0</v>
      </c>
    </row>
    <row r="24" spans="1:9" s="55" customFormat="1" ht="17.25" customHeight="1" x14ac:dyDescent="0.2">
      <c r="A24" s="57"/>
      <c r="B24" s="61" t="s">
        <v>305</v>
      </c>
      <c r="C24" s="53">
        <f>'ostali izvori'!C1431</f>
        <v>7473000</v>
      </c>
      <c r="D24" s="62">
        <f>'ostali izvori'!F1431</f>
        <v>7473000</v>
      </c>
      <c r="E24" s="53">
        <f>'ostali izvori'!G1431</f>
        <v>2813000</v>
      </c>
      <c r="F24" s="53">
        <f>'ostali izvori'!H1431</f>
        <v>85000</v>
      </c>
      <c r="G24" s="53">
        <f>'ostali izvori'!I1431</f>
        <v>1699000</v>
      </c>
      <c r="H24" s="53">
        <f>'ostali izvori'!J1431</f>
        <v>879000</v>
      </c>
      <c r="I24" s="53">
        <f>'ostali izvori'!K1431</f>
        <v>0</v>
      </c>
    </row>
    <row r="25" spans="1:9" s="55" customFormat="1" ht="15" customHeight="1" x14ac:dyDescent="0.2">
      <c r="A25" s="57"/>
      <c r="B25" s="61" t="s">
        <v>206</v>
      </c>
      <c r="C25" s="63">
        <f>'ostali izvori'!C1432</f>
        <v>74000</v>
      </c>
      <c r="D25" s="62">
        <f>'ostali izvori'!F1432</f>
        <v>195000</v>
      </c>
      <c r="E25" s="53">
        <f>'ostali izvori'!G1432</f>
        <v>74000</v>
      </c>
      <c r="F25" s="53">
        <f>'ostali izvori'!H1432</f>
        <v>74000</v>
      </c>
      <c r="G25" s="53">
        <f>'ostali izvori'!I1432</f>
        <v>74000</v>
      </c>
      <c r="H25" s="53">
        <f>'ostali izvori'!J1432</f>
        <v>74000</v>
      </c>
      <c r="I25" s="53">
        <f>'ostali izvori'!K1432</f>
        <v>74000</v>
      </c>
    </row>
    <row r="26" spans="1:9" ht="21.75" customHeight="1" x14ac:dyDescent="0.2"/>
    <row r="27" spans="1:9" x14ac:dyDescent="0.2">
      <c r="G27" s="65"/>
    </row>
    <row r="28" spans="1:9" x14ac:dyDescent="0.2">
      <c r="G28" s="65"/>
    </row>
    <row r="29" spans="1:9" x14ac:dyDescent="0.2">
      <c r="G29" s="65"/>
      <c r="H29" s="65"/>
      <c r="I29" s="65"/>
    </row>
    <row r="34" spans="7:7" x14ac:dyDescent="0.2">
      <c r="G34" s="65"/>
    </row>
  </sheetData>
  <mergeCells count="9">
    <mergeCell ref="A3:I3"/>
    <mergeCell ref="G5:G6"/>
    <mergeCell ref="H5:H6"/>
    <mergeCell ref="I5:I6"/>
    <mergeCell ref="F5:F6"/>
    <mergeCell ref="A5:B6"/>
    <mergeCell ref="C5:C6"/>
    <mergeCell ref="E5:E6"/>
    <mergeCell ref="D5:D6"/>
  </mergeCells>
  <pageMargins left="0.98425196850393704" right="0.19685039370078741" top="0.98425196850393704" bottom="0.19685039370078741" header="0.31496062992125984" footer="0.31496062992125984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110D3BDC810647B33CAA8B452EA575" ma:contentTypeVersion="0" ma:contentTypeDescription="Create a new document." ma:contentTypeScope="" ma:versionID="baaf634e467062fbbbb7011a0e457e3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CD3B4C-C15F-47CA-BBB5-D36D1A15C1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064CD5-FD77-4CA2-ACAB-50BABB916DF4}">
  <ds:schemaRefs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3E3802F-8506-4E47-90D1-397E456EE7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4</vt:i4>
      </vt:variant>
    </vt:vector>
  </HeadingPairs>
  <TitlesOfParts>
    <vt:vector size="7" baseType="lpstr">
      <vt:lpstr>Izvor 11 i 12</vt:lpstr>
      <vt:lpstr>ostali izvori</vt:lpstr>
      <vt:lpstr>Rekapitulacija u eur</vt:lpstr>
      <vt:lpstr>'Izvor 11 i 12'!Ispis_naslova</vt:lpstr>
      <vt:lpstr>'ostali izvori'!Ispis_naslova</vt:lpstr>
      <vt:lpstr>'Izvor 11 i 12'!Podrucje_ispisa</vt:lpstr>
      <vt:lpstr>'ostali izvori'!Podrucje_ispisa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Maleković Iva</dc:creator>
  <cp:lastModifiedBy>Štefanec Anita</cp:lastModifiedBy>
  <cp:lastPrinted>2023-12-15T10:40:55Z</cp:lastPrinted>
  <dcterms:created xsi:type="dcterms:W3CDTF">2017-06-14T07:23:35Z</dcterms:created>
  <dcterms:modified xsi:type="dcterms:W3CDTF">2023-12-29T09:00:31Z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0x010100F5110D3BDC810647B33CAA8B452EA575</vt:lpwstr>
  </property>
</Properties>
</file>