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A7042217-06CF-417F-A88C-D25ECD781231}" xr6:coauthVersionLast="47" xr6:coauthVersionMax="47" xr10:uidLastSave="{00000000-0000-0000-0000-000000000000}"/>
  <bookViews>
    <workbookView xWindow="-120" yWindow="-120" windowWidth="29040" windowHeight="17640" activeTab="5" xr2:uid="{E5BDAA76-C1D4-4FC0-BB12-146B069FA56E}"/>
  </bookViews>
  <sheets>
    <sheet name="2018" sheetId="3" r:id="rId1"/>
    <sheet name="2019" sheetId="4" r:id="rId2"/>
    <sheet name="2020" sheetId="5" r:id="rId3"/>
    <sheet name="2021" sheetId="8" r:id="rId4"/>
    <sheet name="2022" sheetId="9" r:id="rId5"/>
    <sheet name="2023" sheetId="10" r:id="rId6"/>
  </sheets>
  <definedNames>
    <definedName name="_xlnm.Print_Titles" localSheetId="0">'2018'!$1:$4</definedName>
    <definedName name="_xlnm.Print_Titles" localSheetId="1">'2019'!$1:$4</definedName>
    <definedName name="_xlnm.Print_Titles" localSheetId="2">'2020'!$1:$4</definedName>
    <definedName name="_xlnm.Print_Titles" localSheetId="3">'2021'!$1:$4</definedName>
    <definedName name="_xlnm.Print_Titles" localSheetId="4">'2022'!$1:$4</definedName>
    <definedName name="_xlnm.Print_Titles" localSheetId="5">'2023'!$1:$4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0" l="1"/>
  <c r="N29" i="10" s="1"/>
  <c r="N28" i="10"/>
  <c r="M28" i="10"/>
  <c r="M27" i="10"/>
  <c r="N27" i="10" s="1"/>
  <c r="N26" i="10"/>
  <c r="N25" i="10"/>
  <c r="N24" i="10"/>
  <c r="M23" i="10"/>
  <c r="N23" i="10" s="1"/>
  <c r="N22" i="10"/>
  <c r="N21" i="10"/>
  <c r="M20" i="10"/>
  <c r="N20" i="10" s="1"/>
  <c r="N19" i="10"/>
  <c r="M19" i="10"/>
  <c r="M18" i="10"/>
  <c r="N18" i="10" s="1"/>
  <c r="M17" i="10"/>
  <c r="N17" i="10" s="1"/>
  <c r="M16" i="10"/>
  <c r="N16" i="10" s="1"/>
  <c r="N15" i="10"/>
  <c r="M15" i="10"/>
  <c r="M14" i="10"/>
  <c r="N14" i="10" s="1"/>
  <c r="M13" i="10"/>
  <c r="N13" i="10" s="1"/>
  <c r="M12" i="10"/>
  <c r="N12" i="10" s="1"/>
  <c r="N11" i="10"/>
  <c r="M11" i="10"/>
  <c r="M10" i="10"/>
  <c r="N10" i="10" s="1"/>
  <c r="M9" i="10"/>
  <c r="N9" i="10" s="1"/>
  <c r="Q8" i="10"/>
  <c r="M8" i="10"/>
  <c r="L8" i="10"/>
  <c r="N8" i="10" s="1"/>
  <c r="L7" i="10"/>
  <c r="N7" i="10" s="1"/>
  <c r="M6" i="10"/>
  <c r="N6" i="10" s="1"/>
  <c r="M5" i="10"/>
  <c r="N5" i="10" s="1"/>
  <c r="M32" i="9"/>
  <c r="N32" i="9" s="1"/>
  <c r="Q31" i="9"/>
  <c r="N31" i="9"/>
  <c r="M30" i="9"/>
  <c r="N30" i="9" s="1"/>
  <c r="N29" i="9"/>
  <c r="N28" i="9"/>
  <c r="M27" i="9"/>
  <c r="N27" i="9" s="1"/>
  <c r="Q26" i="9"/>
  <c r="M26" i="9"/>
  <c r="N26" i="9" s="1"/>
  <c r="N25" i="9"/>
  <c r="M25" i="9"/>
  <c r="N24" i="9"/>
  <c r="N23" i="9"/>
  <c r="N22" i="9"/>
  <c r="M22" i="9"/>
  <c r="M21" i="9"/>
  <c r="N21" i="9" s="1"/>
  <c r="N20" i="9"/>
  <c r="M20" i="9"/>
  <c r="Q19" i="9"/>
  <c r="M19" i="9"/>
  <c r="N19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N11" i="9"/>
  <c r="N10" i="9"/>
  <c r="M10" i="9"/>
  <c r="M9" i="9"/>
  <c r="N9" i="9" s="1"/>
  <c r="N8" i="9"/>
  <c r="M8" i="9"/>
  <c r="N7" i="9"/>
  <c r="M6" i="9"/>
  <c r="N6" i="9" s="1"/>
  <c r="Q5" i="9"/>
  <c r="N5" i="9"/>
  <c r="M31" i="4"/>
  <c r="L31" i="4"/>
  <c r="L30" i="4"/>
  <c r="M30" i="4" s="1"/>
  <c r="M29" i="4"/>
  <c r="L29" i="4"/>
  <c r="L28" i="4"/>
  <c r="M28" i="4" s="1"/>
  <c r="M27" i="4"/>
  <c r="O26" i="4"/>
  <c r="M26" i="4"/>
  <c r="K26" i="4"/>
  <c r="L25" i="4"/>
  <c r="M25" i="4" s="1"/>
  <c r="K24" i="4"/>
  <c r="K23" i="4"/>
  <c r="L23" i="4" s="1"/>
  <c r="M23" i="4" s="1"/>
  <c r="M22" i="4"/>
  <c r="L22" i="4"/>
  <c r="L21" i="4"/>
  <c r="M21" i="4" s="1"/>
  <c r="L20" i="4"/>
  <c r="M20" i="4" s="1"/>
  <c r="L19" i="4"/>
  <c r="K19" i="4"/>
  <c r="M19" i="4" s="1"/>
  <c r="L18" i="4"/>
  <c r="M18" i="4" s="1"/>
  <c r="M17" i="4"/>
  <c r="L17" i="4"/>
  <c r="M16" i="4"/>
  <c r="L16" i="4"/>
  <c r="M15" i="4"/>
  <c r="L15" i="4"/>
  <c r="L14" i="4"/>
  <c r="M14" i="4" s="1"/>
  <c r="K13" i="4"/>
  <c r="L13" i="4" s="1"/>
  <c r="M13" i="4" s="1"/>
  <c r="L12" i="4"/>
  <c r="M12" i="4" s="1"/>
  <c r="M11" i="4"/>
  <c r="L11" i="4"/>
  <c r="L10" i="4"/>
  <c r="M10" i="4" s="1"/>
  <c r="M9" i="4"/>
  <c r="M8" i="4"/>
  <c r="L8" i="4"/>
  <c r="M7" i="4"/>
  <c r="L7" i="4"/>
  <c r="O6" i="4"/>
  <c r="L6" i="4"/>
  <c r="M6" i="4" s="1"/>
  <c r="L5" i="4"/>
  <c r="M5" i="4" s="1"/>
  <c r="N32" i="8" l="1"/>
  <c r="M32" i="8"/>
  <c r="M31" i="8"/>
  <c r="N31" i="8" s="1"/>
  <c r="N30" i="8"/>
  <c r="Q29" i="8"/>
  <c r="M29" i="8"/>
  <c r="N29" i="8" s="1"/>
  <c r="M28" i="8"/>
  <c r="N28" i="8" s="1"/>
  <c r="M27" i="8"/>
  <c r="N27" i="8" s="1"/>
  <c r="N26" i="8"/>
  <c r="N25" i="8"/>
  <c r="M24" i="8"/>
  <c r="N24" i="8" s="1"/>
  <c r="M23" i="8"/>
  <c r="N23" i="8" s="1"/>
  <c r="L22" i="8"/>
  <c r="N22" i="8" s="1"/>
  <c r="N21" i="8"/>
  <c r="M21" i="8"/>
  <c r="M20" i="8"/>
  <c r="N20" i="8" s="1"/>
  <c r="M19" i="8"/>
  <c r="N19" i="8" s="1"/>
  <c r="M18" i="8"/>
  <c r="N18" i="8" s="1"/>
  <c r="Q17" i="8"/>
  <c r="M17" i="8"/>
  <c r="N17" i="8" s="1"/>
  <c r="M16" i="8"/>
  <c r="N16" i="8" s="1"/>
  <c r="Q15" i="8"/>
  <c r="M15" i="8"/>
  <c r="N15" i="8" s="1"/>
  <c r="Q14" i="8"/>
  <c r="L14" i="8"/>
  <c r="M14" i="8" s="1"/>
  <c r="M13" i="8"/>
  <c r="N13" i="8" s="1"/>
  <c r="M12" i="8"/>
  <c r="N12" i="8" s="1"/>
  <c r="Q11" i="8"/>
  <c r="M11" i="8"/>
  <c r="N11" i="8" s="1"/>
  <c r="M10" i="8"/>
  <c r="N10" i="8" s="1"/>
  <c r="M9" i="8"/>
  <c r="N9" i="8" s="1"/>
  <c r="Q8" i="8"/>
  <c r="L8" i="8"/>
  <c r="N7" i="8"/>
  <c r="M6" i="8"/>
  <c r="N6" i="8" s="1"/>
  <c r="M5" i="8"/>
  <c r="N5" i="8" s="1"/>
  <c r="N8" i="8" l="1"/>
  <c r="M8" i="8"/>
  <c r="N14" i="8"/>
  <c r="M30" i="5"/>
  <c r="L29" i="5"/>
  <c r="M29" i="5" s="1"/>
  <c r="M28" i="5"/>
  <c r="L28" i="5"/>
  <c r="O27" i="5"/>
  <c r="L27" i="5"/>
  <c r="M27" i="5" s="1"/>
  <c r="O26" i="5"/>
  <c r="O22" i="5"/>
  <c r="L22" i="5"/>
  <c r="M22" i="5" s="1"/>
  <c r="O20" i="5"/>
  <c r="M19" i="5"/>
  <c r="L19" i="5"/>
  <c r="O18" i="5"/>
  <c r="O17" i="5"/>
  <c r="M17" i="5"/>
  <c r="L17" i="5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M7" i="5"/>
  <c r="L6" i="5"/>
  <c r="M6" i="5" s="1"/>
  <c r="M5" i="5"/>
  <c r="M28" i="3"/>
  <c r="L28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M15" i="3"/>
  <c r="L15" i="3"/>
  <c r="M14" i="3"/>
  <c r="L14" i="3"/>
  <c r="M13" i="3"/>
  <c r="L13" i="3"/>
  <c r="O12" i="3"/>
  <c r="L12" i="3"/>
  <c r="M12" i="3" s="1"/>
</calcChain>
</file>

<file path=xl/sharedStrings.xml><?xml version="1.0" encoding="utf-8"?>
<sst xmlns="http://schemas.openxmlformats.org/spreadsheetml/2006/main" count="1796" uniqueCount="936">
  <si>
    <t xml:space="preserve">Registar ugovora  i okvirnih sporazuma za 2018. godinu </t>
  </si>
  <si>
    <t>R. br.</t>
  </si>
  <si>
    <t xml:space="preserve">Evidencijski broj nabave </t>
  </si>
  <si>
    <t>Predmet nabave</t>
  </si>
  <si>
    <t>CPV</t>
  </si>
  <si>
    <t>Broj objave iz EOJN</t>
  </si>
  <si>
    <t>Vrsta postupka</t>
  </si>
  <si>
    <t>Naziv i OIB ugovaratelja</t>
  </si>
  <si>
    <t>Naziv i OIB podugovaratelja</t>
  </si>
  <si>
    <t>Datum sklapanja ugovora ili okvirnog sporazuma</t>
  </si>
  <si>
    <t>Rok na koji je ugovor ili okvirni sporazum sklopljen</t>
  </si>
  <si>
    <t>Iznos bez PDV-a</t>
  </si>
  <si>
    <t>Iznos PDV-a</t>
  </si>
  <si>
    <t>Ukupni iznos s PDV-om</t>
  </si>
  <si>
    <t>Datum izvršenja ugovora ili okvirnog sporazuma</t>
  </si>
  <si>
    <t>Ukupni isplaćeni iznos s PDV-om</t>
  </si>
  <si>
    <t>Obrazloženja</t>
  </si>
  <si>
    <t>Napomena</t>
  </si>
  <si>
    <t>1.</t>
  </si>
  <si>
    <t>Namirnice za internu reprezentaciju i voda za piće</t>
  </si>
  <si>
    <t>15000000</t>
  </si>
  <si>
    <t>Jednostavna nabava</t>
  </si>
  <si>
    <t>VELPRO-CENTAR d.o.o. 
OIB: 46660800468</t>
  </si>
  <si>
    <t>10.01.2018.</t>
  </si>
  <si>
    <t>do 31.12.2018.</t>
  </si>
  <si>
    <t>31.12.2018.</t>
  </si>
  <si>
    <t>2.</t>
  </si>
  <si>
    <t>30-2018</t>
  </si>
  <si>
    <t>Psihologijsko testiranje kandidata prilikom zapošljavanja za 2018.</t>
  </si>
  <si>
    <t>79414000</t>
  </si>
  <si>
    <t>ELECTUS LJUDSKI POTENCIJALI d.o.o. 
OIB: 25649909399</t>
  </si>
  <si>
    <t>31.01.2018.</t>
  </si>
  <si>
    <t>3.</t>
  </si>
  <si>
    <t>28-2018</t>
  </si>
  <si>
    <t>Usluge čišćenja poslovnog prostora u poslovnoj zgradi HERA-e</t>
  </si>
  <si>
    <t>DINA d.o.o.
OIB: 17649595073</t>
  </si>
  <si>
    <t>12.03.2018.</t>
  </si>
  <si>
    <t>14.03.2018.-13.03.2019.</t>
  </si>
  <si>
    <t>13.03.2019.</t>
  </si>
  <si>
    <t>4.</t>
  </si>
  <si>
    <t>13-2018</t>
  </si>
  <si>
    <t>Najam mulitfunkcionalnih fotokopirnih uređaja</t>
  </si>
  <si>
    <t>30121100</t>
  </si>
  <si>
    <t>KSU d.o.o.
OIB: 34976993601</t>
  </si>
  <si>
    <t>21.03.2018.</t>
  </si>
  <si>
    <t>26.03.2018.-26.03.2019.</t>
  </si>
  <si>
    <t>26.03.2019.</t>
  </si>
  <si>
    <t>5.</t>
  </si>
  <si>
    <t>24-2018</t>
  </si>
  <si>
    <t>Studija "Analiza standardne kvalitete plina s obzirom na nove dobavne pravce u Republici Hrvatskoj"</t>
  </si>
  <si>
    <t>71335000</t>
  </si>
  <si>
    <t>Sveučilište u Zagrebu, Rudarsko-geološko-naftni fakultet
OIB: 99534693762</t>
  </si>
  <si>
    <t>30.03.2018.</t>
  </si>
  <si>
    <t>2019.</t>
  </si>
  <si>
    <t>09.09.2019.</t>
  </si>
  <si>
    <t>6.</t>
  </si>
  <si>
    <t>6-2018</t>
  </si>
  <si>
    <t>Nabava usluga mobilne komunikacije</t>
  </si>
  <si>
    <t>64212000</t>
  </si>
  <si>
    <t>HRVATSKI TELEKOM d.d.
OIB: 34976993601</t>
  </si>
  <si>
    <t>05.04.2018.</t>
  </si>
  <si>
    <t>11.04.2018.-11.04.2019.</t>
  </si>
  <si>
    <t>11.04.2019.</t>
  </si>
  <si>
    <t>7.</t>
  </si>
  <si>
    <t>34-2018</t>
  </si>
  <si>
    <t>Usluga savjetovanja tijekom implementacije Sustava za upravljanje uredskim poslovanjem i poslovnim sadržajima (SUUPPS) u HERA-i</t>
  </si>
  <si>
    <t>72266000</t>
  </si>
  <si>
    <t>NEPHOS d.o.o.
OIB: 45593438856</t>
  </si>
  <si>
    <t>23.04.2018.</t>
  </si>
  <si>
    <t>7 mjeseci (od 02.05.2018 do 30.11.2018.)</t>
  </si>
  <si>
    <t>30.11.2018.</t>
  </si>
  <si>
    <t>8.</t>
  </si>
  <si>
    <t>7-2017-M</t>
  </si>
  <si>
    <t>Nabava sustava za upravljanje uredskim pslovanjem i poslovnim sadržajima (SUUPPS)</t>
  </si>
  <si>
    <t>72000000</t>
  </si>
  <si>
    <t>2018/S 0F3-0012229</t>
  </si>
  <si>
    <t>Otvoreni postupak</t>
  </si>
  <si>
    <t>INFODOM d.o.o.
OIB: 99054430142</t>
  </si>
  <si>
    <t xml:space="preserve">03.05.2018.;
1. Aneks OS 28.07.2020. </t>
  </si>
  <si>
    <t>36 mjeseci</t>
  </si>
  <si>
    <t>09.08.2021.</t>
  </si>
  <si>
    <t xml:space="preserve">Okvirni sporazum
</t>
  </si>
  <si>
    <t>9.</t>
  </si>
  <si>
    <t>Nabava sustava za upravljanje uredskim pslovanjem i poslovnim sadržajima (SUUPPS) - 1. Ugovor</t>
  </si>
  <si>
    <t>2018/S 0F3-0015246</t>
  </si>
  <si>
    <t>21.05.2018.;
Aneks ugovora 16.11.2018.</t>
  </si>
  <si>
    <t>do 16.11.2018.</t>
  </si>
  <si>
    <t>16.11.2018.</t>
  </si>
  <si>
    <t>Plaćeno u skladu s Aneksom ugovora od 16.11.2018.</t>
  </si>
  <si>
    <t>Ugovor sklopljen na temelju OS</t>
  </si>
  <si>
    <t>10.</t>
  </si>
  <si>
    <t>29-2018</t>
  </si>
  <si>
    <t>Usluga tjelesne zaštite osobe i imovine u poslovnom objektu HERA-e</t>
  </si>
  <si>
    <t>79713000</t>
  </si>
  <si>
    <t>2018/S F21-0016151</t>
  </si>
  <si>
    <t>P &amp; F ZAŠTITA d.o.o.
OIB: 95517402410</t>
  </si>
  <si>
    <t>13.06.2018.</t>
  </si>
  <si>
    <t>14.06.2018.-13.06.2019.</t>
  </si>
  <si>
    <t>13.06.2019.</t>
  </si>
  <si>
    <t>11.</t>
  </si>
  <si>
    <t>32-2018</t>
  </si>
  <si>
    <t>Nabava telefonske centrale s pripadajućim uređajima</t>
  </si>
  <si>
    <t>32552000</t>
  </si>
  <si>
    <t>CALLIDUS GRUPA d.o.o.
OIB: 30492122828</t>
  </si>
  <si>
    <t>28.06.2018.</t>
  </si>
  <si>
    <t>14 mjeseci</t>
  </si>
  <si>
    <t>31.08.2019.</t>
  </si>
  <si>
    <t>12.</t>
  </si>
  <si>
    <t>14-2018</t>
  </si>
  <si>
    <t xml:space="preserve">Usluga sistematskog liječničkog pregleda radnika HERA-e </t>
  </si>
  <si>
    <t>85147000</t>
  </si>
  <si>
    <t>POLIKLINIKA CROATIA ZDRAVSTVENO OSIGURANJE
OIB: 80848401890</t>
  </si>
  <si>
    <t>13.07.2018.</t>
  </si>
  <si>
    <t>13.</t>
  </si>
  <si>
    <t>10-2018</t>
  </si>
  <si>
    <t>Rekonstrukcija rasvjete u dijelu poslovne zgrade - Isporuka rasvjetnih tijela</t>
  </si>
  <si>
    <t>31524120</t>
  </si>
  <si>
    <t>EGLO RASVJETA d.o.o.
OIB: 21383520848</t>
  </si>
  <si>
    <t>30.07.2018.</t>
  </si>
  <si>
    <t>kolovoz 2018.</t>
  </si>
  <si>
    <t>07.08.2018.</t>
  </si>
  <si>
    <t>Narudžbenica 60/2018</t>
  </si>
  <si>
    <t>14.</t>
  </si>
  <si>
    <t>33-2018</t>
  </si>
  <si>
    <t>Računalna oprema</t>
  </si>
  <si>
    <t>30230000</t>
  </si>
  <si>
    <t>MIKRONIS d.o.o.
OIB: 59964152545</t>
  </si>
  <si>
    <t>08.08.2018.</t>
  </si>
  <si>
    <t>Narudžbenica 61/2018</t>
  </si>
  <si>
    <t>15.</t>
  </si>
  <si>
    <t>15-2018</t>
  </si>
  <si>
    <t>Revizija financijskih izvješća za 2018.</t>
  </si>
  <si>
    <t>79212000-3</t>
  </si>
  <si>
    <t>HLB REVIDICON d.o.o.
OIB: 41748200389</t>
  </si>
  <si>
    <t>18.10.2018.</t>
  </si>
  <si>
    <t>lipanj 2019.</t>
  </si>
  <si>
    <t>01.04.2019.</t>
  </si>
  <si>
    <t>16.</t>
  </si>
  <si>
    <t>35-2019</t>
  </si>
  <si>
    <t>Natkrivanje terase na 3. katu poslovne zgrade</t>
  </si>
  <si>
    <t>45400000</t>
  </si>
  <si>
    <t>BRAVARIJA I TRANSPORT ŠALIĆ d.o.o.
OIB: 95517402410</t>
  </si>
  <si>
    <t>17.10.2018.</t>
  </si>
  <si>
    <t>prosinac 2018.</t>
  </si>
  <si>
    <t>07.12.2018.</t>
  </si>
  <si>
    <t>17.</t>
  </si>
  <si>
    <t>25-2018</t>
  </si>
  <si>
    <t>Izrada studije "Metodologija i kriteriji za odobravanje i praćenje planova razvoja operatora prijenosnog sustava u Republici Hrvatskoj"</t>
  </si>
  <si>
    <t>ENERGETSKI INSTITUT HRVOJE POŽAR
OIB: 43980170614</t>
  </si>
  <si>
    <t>06.11.2018.</t>
  </si>
  <si>
    <t>kolovoz 2019.</t>
  </si>
  <si>
    <t>03.07.2019.</t>
  </si>
  <si>
    <t>18.</t>
  </si>
  <si>
    <t>26-2018</t>
  </si>
  <si>
    <t>Izrada studije "Metodologija i kriteriji za odobravanje i praćenje planova razvoja operatora distribucijskog sustava u Republici Hrvatskoj"</t>
  </si>
  <si>
    <t>19.07.2019.</t>
  </si>
  <si>
    <t>19.</t>
  </si>
  <si>
    <t>36-2019</t>
  </si>
  <si>
    <t>Izrada studije "Procjena utjecaja krajnjih kupaca s vlastitom proizvodnjom električne energije na iznos naknade za korištenje distribucijske i prijenosne mreže"</t>
  </si>
  <si>
    <t>06.11.2018.;
Aneks ugovora 04.09.2019.</t>
  </si>
  <si>
    <t>listopad 2019.;
Aneksom ugovora produžen rok do 22.04.2020.</t>
  </si>
  <si>
    <t>09.04.2020.</t>
  </si>
  <si>
    <t>20.</t>
  </si>
  <si>
    <t>18-2018</t>
  </si>
  <si>
    <t>Revizija provedbe samostalnog pristupa internetu i odvajanja telekomunikacijskog sustava kojeg koristi društvo Hrvatski operator prijenosnog sustava d.o.o.</t>
  </si>
  <si>
    <t>79313000</t>
  </si>
  <si>
    <t>INCEPTUM d.o.o.
OIB: 56920339258</t>
  </si>
  <si>
    <t>12.11.2018.</t>
  </si>
  <si>
    <t>ožujak 2019.</t>
  </si>
  <si>
    <t>06.03.2019.</t>
  </si>
  <si>
    <t>21.</t>
  </si>
  <si>
    <t>Nabava sustava za upravljanje uredskim pslovanjem i poslovnim sadržajima (SUUPPS) - 2. Ugovor</t>
  </si>
  <si>
    <t>2019/S 0F3-0001672</t>
  </si>
  <si>
    <t>21.11.2018.;
Aneks ugovora 29.03.2019.</t>
  </si>
  <si>
    <t>do 31.03.2019.;
Aneksom ugovora produžen rok do 15.12.2019.</t>
  </si>
  <si>
    <t>13.12.2019.</t>
  </si>
  <si>
    <t>Plaćeno u skladu s Aneksom ugovora od 29.03.2019.</t>
  </si>
  <si>
    <t>22.</t>
  </si>
  <si>
    <t>37-2018</t>
  </si>
  <si>
    <t>Nabava i isporuka tonera i ostalog potrošnog materijala za pisače i fotokopirne uređaje</t>
  </si>
  <si>
    <t>30125110-5
30125120-8</t>
  </si>
  <si>
    <t>LIMES PLUS d.o.o.
OIB: 57560191883</t>
  </si>
  <si>
    <t>19.12.2018.</t>
  </si>
  <si>
    <t>do 31.12.2019.</t>
  </si>
  <si>
    <t>31.12.2019.</t>
  </si>
  <si>
    <t>23.</t>
  </si>
  <si>
    <t>4-2018</t>
  </si>
  <si>
    <t>Električna energija za vlastitu potrošnju</t>
  </si>
  <si>
    <t>09310000-5</t>
  </si>
  <si>
    <t>HEP-OPSKRBA d.o.o. 
OIB: 63073332379</t>
  </si>
  <si>
    <t>01.01.2019.-31.12.2019.</t>
  </si>
  <si>
    <t>24.</t>
  </si>
  <si>
    <t>2-2018</t>
  </si>
  <si>
    <t>Nabava uredskog materijala</t>
  </si>
  <si>
    <t>22800000-8</t>
  </si>
  <si>
    <t>LIMES PLUS d.o.o. 
OIB: 63073332379</t>
  </si>
  <si>
    <t xml:space="preserve">Registar ugovora  i okvirnih sporazuma za 2019. godinu </t>
  </si>
  <si>
    <t>11-2018</t>
  </si>
  <si>
    <t>Održavanje programske opreme</t>
  </si>
  <si>
    <t>48444000-2</t>
  </si>
  <si>
    <t>FORTIUS INFO d.o.o. 
OIB: 15956530643</t>
  </si>
  <si>
    <t>04.01.2019.</t>
  </si>
  <si>
    <t>15900000-7</t>
  </si>
  <si>
    <t>02.01.2019.</t>
  </si>
  <si>
    <t>02.01.2019.-31.12.2019.</t>
  </si>
  <si>
    <t>1-2018</t>
  </si>
  <si>
    <t>Tečaj poslovnog engleskog jezika</t>
  </si>
  <si>
    <t>80580000-3</t>
  </si>
  <si>
    <t>HALPET d.o.o.
OIB: 34309893684</t>
  </si>
  <si>
    <t>04.02.2019.;
Dodatak I. 23.12.20219.;
Dodatak II. 29.06.2020.</t>
  </si>
  <si>
    <t>do 31.12.2019.;
Dodatkom I. 
 produžen rok do 30.06.2020., Dodatkom II. produžen rok do 31.10.2020.</t>
  </si>
  <si>
    <t>31.10.2020.</t>
  </si>
  <si>
    <t>29-2019</t>
  </si>
  <si>
    <t>Psihologijsko testiranje kandidata prilikom zapošljavanja</t>
  </si>
  <si>
    <t>79414000-9</t>
  </si>
  <si>
    <t>ELECTUS LJUDSKI POTENCIJALI d.o.o.
OIB: 25649909399</t>
  </si>
  <si>
    <t>11.02.2019.</t>
  </si>
  <si>
    <t>Nabava poštanskih usluga - Grupa A</t>
  </si>
  <si>
    <t>64110000-0</t>
  </si>
  <si>
    <t>2019/S F21-0008931</t>
  </si>
  <si>
    <t>HRVATSKA POŠTA d.d.
OIB: 87311810356</t>
  </si>
  <si>
    <t>25.02.2019.</t>
  </si>
  <si>
    <t>01.03.2019.-29.02.2020.</t>
  </si>
  <si>
    <t>29.02.2020.</t>
  </si>
  <si>
    <t>Ugovor sklopljen na temelju OS SDUSJN</t>
  </si>
  <si>
    <t>Nabava poštanskih usluga - Grupa B</t>
  </si>
  <si>
    <t>27-2019</t>
  </si>
  <si>
    <t>Usluge čišćenja poslovnog prostora HERA-e</t>
  </si>
  <si>
    <t>90910000-9</t>
  </si>
  <si>
    <t>05.03.2019.</t>
  </si>
  <si>
    <t>14.03.2019.-13.03.2020.</t>
  </si>
  <si>
    <t>13.03.2020.</t>
  </si>
  <si>
    <t>11-2019</t>
  </si>
  <si>
    <t>Najam multifunkcijskih fotokopirnih uređaja</t>
  </si>
  <si>
    <t>30121100-4</t>
  </si>
  <si>
    <t>27.03.2019.-27.03.2020.</t>
  </si>
  <si>
    <t>27.03.2020.</t>
  </si>
  <si>
    <t>9-2019</t>
  </si>
  <si>
    <t>Rekonstrukcija rasvjete u dijelu poslovne zgrade HERA-e</t>
  </si>
  <si>
    <t>31524120-2</t>
  </si>
  <si>
    <t>19.03.2019.</t>
  </si>
  <si>
    <t>21.03.2019.</t>
  </si>
  <si>
    <t>Narudžbenica 20/2019</t>
  </si>
  <si>
    <t>Opskrba gorivom na benzinskim postajama - Grupa 7</t>
  </si>
  <si>
    <t>09100000</t>
  </si>
  <si>
    <t>2019/S 0F3-0020311</t>
  </si>
  <si>
    <t>INA - Industrija nafte d.d.
OIB: 27759560625</t>
  </si>
  <si>
    <t>27.03.2019.</t>
  </si>
  <si>
    <t>01.04.2019.-31.03.2022.</t>
  </si>
  <si>
    <t>31.03.2022.</t>
  </si>
  <si>
    <t>Opskrba gorivom na benzinskim postajama - Grupa 8</t>
  </si>
  <si>
    <t>Opskrba gorivom na benzinskim postajama - Grupa 9</t>
  </si>
  <si>
    <t>6-2019</t>
  </si>
  <si>
    <t>Usluga mobilne komunikacije</t>
  </si>
  <si>
    <t>64212000-5</t>
  </si>
  <si>
    <t>HRVATSKI TELEKOM d.d.
OIB: 81793146560</t>
  </si>
  <si>
    <t>08.04.2019.</t>
  </si>
  <si>
    <t>12.04.2019.-12.04.2020.</t>
  </si>
  <si>
    <t>12.04.2020.</t>
  </si>
  <si>
    <t>33-2019</t>
  </si>
  <si>
    <t>Najam automobila putem usluge rent-a-car</t>
  </si>
  <si>
    <t>60100000-9</t>
  </si>
  <si>
    <t>A-ANTICUS d.o.o.
OIB: 07545451198</t>
  </si>
  <si>
    <t>24.04.2019.</t>
  </si>
  <si>
    <t>3 mjeseca</t>
  </si>
  <si>
    <t>16.09.2019.</t>
  </si>
  <si>
    <t>Narudžbenica 32/2019</t>
  </si>
  <si>
    <t>15-2019</t>
  </si>
  <si>
    <t>Prevođenje godišnjeg izvješća HERA-e za 2017.</t>
  </si>
  <si>
    <t>79530000-8</t>
  </si>
  <si>
    <t>PROJECTUS GRUPA d.o.o.
OIB: 81273950425</t>
  </si>
  <si>
    <t>16.05.2019.</t>
  </si>
  <si>
    <t>Narudžbenica 35/2020</t>
  </si>
  <si>
    <t>28-2019</t>
  </si>
  <si>
    <t>Usluga tjelesne zaštite osoba i imovine</t>
  </si>
  <si>
    <t>79713000-5</t>
  </si>
  <si>
    <t>2019/S F21-0021637</t>
  </si>
  <si>
    <t>LUPUS ZAŠTITA d.o.o.
OIB: 27928056511</t>
  </si>
  <si>
    <t>24.05.2019.</t>
  </si>
  <si>
    <t>14.06.2019.-13.06.2020.</t>
  </si>
  <si>
    <t>13.06.2020.</t>
  </si>
  <si>
    <t>34-2019</t>
  </si>
  <si>
    <t>Nabava klima uređaja</t>
  </si>
  <si>
    <t>42512200-0</t>
  </si>
  <si>
    <t>EKO PLAMEN ŠTIMAC d.o.o.
OIB: 29147492766</t>
  </si>
  <si>
    <t>10.06.2019.</t>
  </si>
  <si>
    <t>srpanj 2019.</t>
  </si>
  <si>
    <t>16.07.2019.</t>
  </si>
  <si>
    <t>Narudžbenica 44/2020</t>
  </si>
  <si>
    <t>3-2019</t>
  </si>
  <si>
    <t>Nabava potrošnog materijala za sanitarne prostorije</t>
  </si>
  <si>
    <t>33760000-5</t>
  </si>
  <si>
    <t>BON-TON d.o.o.
OIB: 83764654530</t>
  </si>
  <si>
    <t>18.06.2019.</t>
  </si>
  <si>
    <t>do 19.06.2020.</t>
  </si>
  <si>
    <t>19.06.2020.</t>
  </si>
  <si>
    <t>16-2019</t>
  </si>
  <si>
    <t>Prevođenje godišnjeg izvješća HERA-e za 2018.</t>
  </si>
  <si>
    <t>25.07.2019.</t>
  </si>
  <si>
    <t>rujan 2019.</t>
  </si>
  <si>
    <t>26.09.2019.</t>
  </si>
  <si>
    <t>Narudžbenica 54/2020</t>
  </si>
  <si>
    <t>12-2019</t>
  </si>
  <si>
    <t>Nabava službenih automobila putem operativnog leasinga</t>
  </si>
  <si>
    <t>34110000-1</t>
  </si>
  <si>
    <t>2019/S 0F3-0027748</t>
  </si>
  <si>
    <t>UNICREDIT LEASING CROATIA d.o.o.
OIB: 18736141210</t>
  </si>
  <si>
    <t>26.06.2019.</t>
  </si>
  <si>
    <t>48 mjeseci</t>
  </si>
  <si>
    <t>u tijeku</t>
  </si>
  <si>
    <t>32-2019</t>
  </si>
  <si>
    <t>Nabava prijenosnih računala</t>
  </si>
  <si>
    <t>30230000-0</t>
  </si>
  <si>
    <t>2019/S 0F3-0032307</t>
  </si>
  <si>
    <t>COMBIS d.o.o.
OIB: 91678676896</t>
  </si>
  <si>
    <t>06.08.2019.</t>
  </si>
  <si>
    <t>do 05.09.2019.</t>
  </si>
  <si>
    <t>27.08.2019.</t>
  </si>
  <si>
    <t>30-2019</t>
  </si>
  <si>
    <t>Osiguranje prijevoznih sredstava</t>
  </si>
  <si>
    <t>66514110-0</t>
  </si>
  <si>
    <t>CROATIA OSIGURANJE d.d.
OIB: 26187994862</t>
  </si>
  <si>
    <t>12.09.2019.;
07.11.2019.</t>
  </si>
  <si>
    <t>12.09.2019.-12.09.2020.;
08.11.2019.-08.11.2020.</t>
  </si>
  <si>
    <t>08.11.2020.</t>
  </si>
  <si>
    <t>Narudžbenice 
61-1/2019, 61-2/2019, 78/2019, 79/2019</t>
  </si>
  <si>
    <t>13-2019</t>
  </si>
  <si>
    <t>Sistematski liječnički pregled radnika</t>
  </si>
  <si>
    <t>85147000-1</t>
  </si>
  <si>
    <t>CROATIA POLIKLINIKA
OIB: 80848401890</t>
  </si>
  <si>
    <t>do 20.12.2019.</t>
  </si>
  <si>
    <t>20.12.2019.</t>
  </si>
  <si>
    <t>14-2019</t>
  </si>
  <si>
    <t>Revizija financijskih izvještaja za 2019.</t>
  </si>
  <si>
    <t>11.10.2019.</t>
  </si>
  <si>
    <t>do 10.06.2020.</t>
  </si>
  <si>
    <t>24.02.2020.</t>
  </si>
  <si>
    <t>25.</t>
  </si>
  <si>
    <t>31-2019</t>
  </si>
  <si>
    <t>17.12.2019.</t>
  </si>
  <si>
    <t>02.01.2020.-31.12.2020.</t>
  </si>
  <si>
    <t>31.12.2020.</t>
  </si>
  <si>
    <t>26.</t>
  </si>
  <si>
    <t>4-2019</t>
  </si>
  <si>
    <t>18.12.2019.</t>
  </si>
  <si>
    <t>01.01.2020.-31.12.2020.</t>
  </si>
  <si>
    <t>27.</t>
  </si>
  <si>
    <t>2-2019</t>
  </si>
  <si>
    <t xml:space="preserve">Registar ugovora  i okvirnih sporazuma za 2020. godinu </t>
  </si>
  <si>
    <t xml:space="preserve">Namirnice za internu reprezentaciju </t>
  </si>
  <si>
    <t>KONZUM plus d.o.o. 
OIB: 62226620908</t>
  </si>
  <si>
    <t>20.01.2020.</t>
  </si>
  <si>
    <t>20.01.2020.-31.12.2020.</t>
  </si>
  <si>
    <t>10-2019</t>
  </si>
  <si>
    <t>48444000-3</t>
  </si>
  <si>
    <t>03.01.2020.</t>
  </si>
  <si>
    <t>2020/S F21-0011631</t>
  </si>
  <si>
    <t>04.03.2020.</t>
  </si>
  <si>
    <t>01.03.2020.-28.02.2022.</t>
  </si>
  <si>
    <t>28.02.2022.</t>
  </si>
  <si>
    <t>25-2020</t>
  </si>
  <si>
    <t>06.03.2020.</t>
  </si>
  <si>
    <t>14.03.2020.-13.03.2021.</t>
  </si>
  <si>
    <t>13.03.2021.</t>
  </si>
  <si>
    <t>14-2020</t>
  </si>
  <si>
    <t>12.03.2020.</t>
  </si>
  <si>
    <t>28.03.2020.-27.03.2021.</t>
  </si>
  <si>
    <t>27.03.2021.</t>
  </si>
  <si>
    <t>8-2020</t>
  </si>
  <si>
    <t>08.04.2020.</t>
  </si>
  <si>
    <t>12.04.2020.-11.04.2021.</t>
  </si>
  <si>
    <t>11.04.2021.</t>
  </si>
  <si>
    <t>26-2020</t>
  </si>
  <si>
    <t>79710000-4</t>
  </si>
  <si>
    <t>2020/S F21-0022377</t>
  </si>
  <si>
    <t>P&amp;F ZAŠTITA d.o.o.
OIB: 95517402410</t>
  </si>
  <si>
    <t>10.06.2020.</t>
  </si>
  <si>
    <t>14.06.2020.-13.06.2021.</t>
  </si>
  <si>
    <t>13.06.2021.</t>
  </si>
  <si>
    <t>4-2020</t>
  </si>
  <si>
    <t>16.06.2020.</t>
  </si>
  <si>
    <t>do 19.06.2021.</t>
  </si>
  <si>
    <t>19.06.2021.</t>
  </si>
  <si>
    <t>29-2020</t>
  </si>
  <si>
    <t>Nabava prijenosnih osobnih računala</t>
  </si>
  <si>
    <t>30213100-6</t>
  </si>
  <si>
    <t>25.06.2020.</t>
  </si>
  <si>
    <t>30 dana</t>
  </si>
  <si>
    <t>29.07.2020.</t>
  </si>
  <si>
    <t>Narudžbenica 30/2020</t>
  </si>
  <si>
    <t>35-2020</t>
  </si>
  <si>
    <t>Nadogradnja na uslugu Microsoft 365 Business Standard</t>
  </si>
  <si>
    <t>48000000</t>
  </si>
  <si>
    <t/>
  </si>
  <si>
    <t>INFODOM d.o.o.
 99054430142</t>
  </si>
  <si>
    <t>14.07.2020.</t>
  </si>
  <si>
    <t>srpanj 2020.</t>
  </si>
  <si>
    <t>17.07.2020.</t>
  </si>
  <si>
    <t>17-2020</t>
  </si>
  <si>
    <t>Prevođenje Godišnjeg izvješća HERA-e za 2019.</t>
  </si>
  <si>
    <t>79530000</t>
  </si>
  <si>
    <t>INTEGRA d.o.o.
 41849057634</t>
  </si>
  <si>
    <t>20.07.2020.-23.09.2020.</t>
  </si>
  <si>
    <t>23.09.2020.</t>
  </si>
  <si>
    <t>Nabava sustava za upravljanje uredskim poslovanjem i poslovnim sadržajima (SUUPPS) - 3. Ugovor</t>
  </si>
  <si>
    <t>2020/S 0F3-0029908</t>
  </si>
  <si>
    <t>28.07.2020.;
Aneks ugovora 08.12.2020.</t>
  </si>
  <si>
    <t>do 03.05.2021.</t>
  </si>
  <si>
    <t>27-2020</t>
  </si>
  <si>
    <t>Osiguranje prijevoznih sredstava (kasko i obavezno osiguranje)</t>
  </si>
  <si>
    <t>66514110</t>
  </si>
  <si>
    <t>UNIQA osiguranje d.d. 
OIB: 75665455333</t>
  </si>
  <si>
    <t>10.09.2020.</t>
  </si>
  <si>
    <t>12.09.2020.-12.09.2021.</t>
  </si>
  <si>
    <t>12.09.2021.</t>
  </si>
  <si>
    <t>Narudžbenica 58/2020 i 59/2020</t>
  </si>
  <si>
    <t>24-2020</t>
  </si>
  <si>
    <t>Izrada studije „Analiza mogućnosti uvođenja tarifnog elementa snage kod određivanja naknada za korištenje prijenosne i distribucijske elektroenergetske mreže u Republici Hrvatskoj“</t>
  </si>
  <si>
    <t>2020/S 0F3-0033620</t>
  </si>
  <si>
    <t xml:space="preserve">Otvoreni postupak </t>
  </si>
  <si>
    <t>Energetski institut Hrvoje Požar 
OIB: 43980170614</t>
  </si>
  <si>
    <t>11.09.2020.</t>
  </si>
  <si>
    <t>do 11.09.2021.</t>
  </si>
  <si>
    <t>10.09.2021.</t>
  </si>
  <si>
    <t>11-2020</t>
  </si>
  <si>
    <t>Zamjena hidroizolacije na ravnoj površini krova na 6. katu</t>
  </si>
  <si>
    <t>45261410</t>
  </si>
  <si>
    <t>G.R.B. d.o.o.
OIB: 68915646131</t>
  </si>
  <si>
    <t>21.09.2020.</t>
  </si>
  <si>
    <t>30 kalendarskih dana od dana uvođenja u posao</t>
  </si>
  <si>
    <t>29.10.2020.</t>
  </si>
  <si>
    <t>Prijenos porezne obveze (čl. 75. st. 3. Zakona o PDV-u)</t>
  </si>
  <si>
    <t>31-2020</t>
  </si>
  <si>
    <t>Migracija elektroničke pošte na uslugu Microsoft 365 Business Standard</t>
  </si>
  <si>
    <t>72212223</t>
  </si>
  <si>
    <t>3 PRO d.o.o.
OIB: 60378406301</t>
  </si>
  <si>
    <t>22.09.2020.</t>
  </si>
  <si>
    <t>30 kalendarskih dana od dana sklapanja ugovora. Nakon potpisivanja primopredajnog zapisnika počinje teći rok od 12 mjeseci za održavanje i nadzor Sustava.</t>
  </si>
  <si>
    <t>30.09.2021.</t>
  </si>
  <si>
    <t>9-2020</t>
  </si>
  <si>
    <t>Usluge interneta</t>
  </si>
  <si>
    <t>72400000-4</t>
  </si>
  <si>
    <t>A1 Hrvatska d.o.o. 
OIB: 29524210204</t>
  </si>
  <si>
    <t>30.07.2020.</t>
  </si>
  <si>
    <t>12 mjeseci</t>
  </si>
  <si>
    <t>30.07.2021.</t>
  </si>
  <si>
    <t>23-2020</t>
  </si>
  <si>
    <t>Izrada studije „Smjernice za regulatorni tretman gubitaka električne energije u distribucijskoj i prijenosnoj elektroenergetskoj mreži u Republici Hrvatskoj“</t>
  </si>
  <si>
    <t>2020/S 0F3-0035151</t>
  </si>
  <si>
    <t>Energetski institut Hrvoje Požar
OIB: 43980170614</t>
  </si>
  <si>
    <t>24.09.2020.</t>
  </si>
  <si>
    <t>do 24.09.2021.</t>
  </si>
  <si>
    <t>15-2020</t>
  </si>
  <si>
    <t>Croatia poliklinika
OIB: 80848401890</t>
  </si>
  <si>
    <t>25.09.2020.</t>
  </si>
  <si>
    <t>do 31.08.2021.</t>
  </si>
  <si>
    <t>30.06.2021.</t>
  </si>
  <si>
    <t>16-2020</t>
  </si>
  <si>
    <t>Revizija financijskih izvješća za 2020.</t>
  </si>
  <si>
    <t>79212000</t>
  </si>
  <si>
    <t>HLB Revidicon d.o.o. 
OIB: 41748200389</t>
  </si>
  <si>
    <t>29.09.2020.</t>
  </si>
  <si>
    <t>15.02.2021.</t>
  </si>
  <si>
    <t>Usluge obveznog osiguranja od automobilske odgovornosti i kasko osiguranja: Grupa 1- osobna vozila</t>
  </si>
  <si>
    <t>2020/S 0F3-0042577</t>
  </si>
  <si>
    <t>CROATIA osiguranje d.d. 
OIB: 26187994862</t>
  </si>
  <si>
    <t>03.11.2020.</t>
  </si>
  <si>
    <t>08.11.2020.- 08.11.2021.</t>
  </si>
  <si>
    <t>08.11.2021.</t>
  </si>
  <si>
    <t>Narudžbenica 81/2020 sklopljena na temelju OS SDUSJN</t>
  </si>
  <si>
    <t>13-2020</t>
  </si>
  <si>
    <t>16.12.2020.</t>
  </si>
  <si>
    <t>01.01.2021.-31.12.2021.</t>
  </si>
  <si>
    <t>31.12.2021.</t>
  </si>
  <si>
    <t>2-2020</t>
  </si>
  <si>
    <t>17.12.2020.</t>
  </si>
  <si>
    <t>04.01.2021.-31.12.2021.</t>
  </si>
  <si>
    <t>5-2020</t>
  </si>
  <si>
    <t>PETROL d.o.o. 
OIB: 75550985023</t>
  </si>
  <si>
    <t>18.12.2020.</t>
  </si>
  <si>
    <t>28-2020</t>
  </si>
  <si>
    <t>24.12.2020.</t>
  </si>
  <si>
    <t xml:space="preserve">Registar ugovora  i okvirnih sporazuma za 2021. godinu </t>
  </si>
  <si>
    <t>Oznaka/broj ugovora</t>
  </si>
  <si>
    <t>Ugovor ili okvirni sporazum financira se iz fondova EU</t>
  </si>
  <si>
    <t>2-2021</t>
  </si>
  <si>
    <t>Dezinfekcija poslovne zgrade HERA-e</t>
  </si>
  <si>
    <t>90921000-9</t>
  </si>
  <si>
    <t>ID EKO d.o.o.
OIB: 72667678548</t>
  </si>
  <si>
    <t>19.01.2021.</t>
  </si>
  <si>
    <t>N 5/2021</t>
  </si>
  <si>
    <t>01.02.2021.-31.12.2021.</t>
  </si>
  <si>
    <t>NE</t>
  </si>
  <si>
    <t>Narudžbenica 5/2021</t>
  </si>
  <si>
    <t>1-2021</t>
  </si>
  <si>
    <t>Stručni pregled poslovne zgrade HERA-e</t>
  </si>
  <si>
    <t>71500000-3</t>
  </si>
  <si>
    <t>LED ART d.o.o.
OIB: 35748176219</t>
  </si>
  <si>
    <t>22.01.2021.</t>
  </si>
  <si>
    <t>N 6/2021</t>
  </si>
  <si>
    <t>veljača 2021.</t>
  </si>
  <si>
    <t>12.03.2021.</t>
  </si>
  <si>
    <t>Narudžbenica 6/2021</t>
  </si>
  <si>
    <t>21-2021</t>
  </si>
  <si>
    <t>Osiguranje poslovne zgrade HERA-e</t>
  </si>
  <si>
    <t>66515200-5</t>
  </si>
  <si>
    <t>UNIQUA OSIGURANJE d.d.
OIB: 75665455333</t>
  </si>
  <si>
    <t>17.02.2021.</t>
  </si>
  <si>
    <t>N 10/2021</t>
  </si>
  <si>
    <t>18.02.2021.-18.02.2022.</t>
  </si>
  <si>
    <t>Narudžbenica 10/2021</t>
  </si>
  <si>
    <t>23-2021</t>
  </si>
  <si>
    <t>17.02.2021.;
24.05.2021.</t>
  </si>
  <si>
    <t>N 9/2021;
N 29/2021</t>
  </si>
  <si>
    <t>do 30.06.2021.</t>
  </si>
  <si>
    <t>11.06.2021.</t>
  </si>
  <si>
    <t>Narudžbenice 9/2021 i 29/2021</t>
  </si>
  <si>
    <t>19-2021</t>
  </si>
  <si>
    <t>15/2021</t>
  </si>
  <si>
    <t>14.03.2021.-13.03.2022.</t>
  </si>
  <si>
    <t>13.03.2022.</t>
  </si>
  <si>
    <t>14-2021</t>
  </si>
  <si>
    <t>PROPRINT d.o.o.
OIB: 72612732139</t>
  </si>
  <si>
    <t>19.03.2020.</t>
  </si>
  <si>
    <t>16/2021</t>
  </si>
  <si>
    <t>28.03.2021.-27.03.2022.</t>
  </si>
  <si>
    <t>27.03.2022.</t>
  </si>
  <si>
    <t>7-2021</t>
  </si>
  <si>
    <t>Usluga i oprema u pokretnoj elektroničkoj komunikacijskoj mreži</t>
  </si>
  <si>
    <t>2021/S 0F3-0015408</t>
  </si>
  <si>
    <t>06.04.2021.</t>
  </si>
  <si>
    <t>19/2021</t>
  </si>
  <si>
    <t>06.04.2021.-05.04.2023.</t>
  </si>
  <si>
    <t>Okvirni sporazum</t>
  </si>
  <si>
    <t>Usluga i oprema u pokretnoj elektroničkoj komunikacijskoj mreži - 1. Ugovor</t>
  </si>
  <si>
    <t>2021/S 0F3-0019123</t>
  </si>
  <si>
    <t>12.04.2021.</t>
  </si>
  <si>
    <t>20/2021</t>
  </si>
  <si>
    <t>12.04.2021.-11.04.2022.</t>
  </si>
  <si>
    <t>11.04.2022.</t>
  </si>
  <si>
    <t>10-2021</t>
  </si>
  <si>
    <t>Rekonstrukcija dizala u poslovnoj zgradi HERA-e</t>
  </si>
  <si>
    <t>45313000-4</t>
  </si>
  <si>
    <t>DEMS LIFT d.o.o.
OIB: 73676758814</t>
  </si>
  <si>
    <t>28.04.2021.</t>
  </si>
  <si>
    <t>21/2021</t>
  </si>
  <si>
    <t>28.06.2021.</t>
  </si>
  <si>
    <t>24-2021</t>
  </si>
  <si>
    <t>Godišnja pretplata za uslugu Microsoft 365</t>
  </si>
  <si>
    <t>48000000-9</t>
  </si>
  <si>
    <t>DOLI PROM d.o.o.
OIB: 08741309749</t>
  </si>
  <si>
    <t>11.05.2021.;
06.12.2021.</t>
  </si>
  <si>
    <t>N 26/2021;
N 89/2021</t>
  </si>
  <si>
    <t>16.05.2021.-16.05.2022.</t>
  </si>
  <si>
    <t>Narudžbenice 26/2021 i 89/2021</t>
  </si>
  <si>
    <t>13-2021</t>
  </si>
  <si>
    <t>Održavanje i podrška Sustava za upravljanje uredskim poslovanjem i poslovnim sadržajima (SUUPPS)</t>
  </si>
  <si>
    <t>72000000-5</t>
  </si>
  <si>
    <t>2021/S 0F3-0022794</t>
  </si>
  <si>
    <t>01.06.2021.</t>
  </si>
  <si>
    <t>22/2021</t>
  </si>
  <si>
    <t>01.06.2021.-31.05.2023.</t>
  </si>
  <si>
    <t>Održavanje i podrška Sustava za upravljanje uredskim poslovanjem i poslovnim sadržajima (SUUPPS) - 1. Ugovor</t>
  </si>
  <si>
    <t>2021/S 0F3-0023184</t>
  </si>
  <si>
    <t>23/2021</t>
  </si>
  <si>
    <t>01.06.2021.-31.05.2022.</t>
  </si>
  <si>
    <t>31.05.2022.</t>
  </si>
  <si>
    <t>20-2021</t>
  </si>
  <si>
    <t>2021/S F21-0022805</t>
  </si>
  <si>
    <t>09.06.2021.</t>
  </si>
  <si>
    <t>26/2021</t>
  </si>
  <si>
    <t>14.06.2021.-13.06.2023.</t>
  </si>
  <si>
    <t>Usluga tjelesne zaštite osoba i imovine - 
1. Ugovor</t>
  </si>
  <si>
    <t>2021/S F21-0023194</t>
  </si>
  <si>
    <t>27/2021</t>
  </si>
  <si>
    <t>14.06.2021.-30.06.2022.</t>
  </si>
  <si>
    <t>30.06.2022.</t>
  </si>
  <si>
    <t>8-2021</t>
  </si>
  <si>
    <t>A1 HRVATSKA d.o.o.
OIB: 29524210204</t>
  </si>
  <si>
    <t>19.07.2021.</t>
  </si>
  <si>
    <t>N 42/2021</t>
  </si>
  <si>
    <t>Narudžbenica 42/2021</t>
  </si>
  <si>
    <t>17-2021</t>
  </si>
  <si>
    <t>Prevođenje godišnjeg izvješća HERA-e za 2020.</t>
  </si>
  <si>
    <t>21.07.2021.</t>
  </si>
  <si>
    <t>N 43/2021</t>
  </si>
  <si>
    <t>do 30.09.2021.</t>
  </si>
  <si>
    <t>Narudžbenica 43/2021</t>
  </si>
  <si>
    <t>11-2021</t>
  </si>
  <si>
    <t>Sanacija poslovne zgrade HERA-e od posljedica potresa</t>
  </si>
  <si>
    <t>45400000-1</t>
  </si>
  <si>
    <t>REBAKO d.o.o.
OIB: 42350437328</t>
  </si>
  <si>
    <t>26.08.2021.</t>
  </si>
  <si>
    <t>30/2021</t>
  </si>
  <si>
    <t>30.08.2021.-30.10.2021.</t>
  </si>
  <si>
    <t>08.09.2021.</t>
  </si>
  <si>
    <t>Usluge obveznog osiguranja od automobilske odgovornosti i kasko osiguranja: Grupa 1 - osobna vozila</t>
  </si>
  <si>
    <t>2021/S 0F3-0035953</t>
  </si>
  <si>
    <t>CROATIA OSIGURANJE d.d. 
OIB: 26187994862</t>
  </si>
  <si>
    <t>07.09.2021.</t>
  </si>
  <si>
    <t>N 53/2021 i
N 54/2021</t>
  </si>
  <si>
    <t>12.09.2021.- 12.09.2022.</t>
  </si>
  <si>
    <t>Narudžbenice 53/2021 i 54/2021 sklopljene na temelju OS SDUSJN</t>
  </si>
  <si>
    <t>16-2021</t>
  </si>
  <si>
    <t>Revizija financijskih izvještaja za 2021.</t>
  </si>
  <si>
    <t>32/2021</t>
  </si>
  <si>
    <t>do 10.06.2022.</t>
  </si>
  <si>
    <t>38-2021</t>
  </si>
  <si>
    <t>Izrada studije "Revizija pristupa određivanju naknade za priključenje na prijenosnu mrežu"</t>
  </si>
  <si>
    <t>71335000-5</t>
  </si>
  <si>
    <t>2021/S 0F3-0036499</t>
  </si>
  <si>
    <t>04.10.2021.</t>
  </si>
  <si>
    <t>31/2021</t>
  </si>
  <si>
    <t>04.10.2021.-03.10.2022.</t>
  </si>
  <si>
    <t>2021/S 0F3-0046270</t>
  </si>
  <si>
    <t>02.11.2021.</t>
  </si>
  <si>
    <t>N 75/2021</t>
  </si>
  <si>
    <t>08.11.2021.- 08.11.2022.</t>
  </si>
  <si>
    <t>Narudžbenica 75/2021 sklopljena na temelju OS SDUSJN</t>
  </si>
  <si>
    <t>15-2021</t>
  </si>
  <si>
    <t>10.11.2021.</t>
  </si>
  <si>
    <t>35/2021</t>
  </si>
  <si>
    <t>do 30.06.2022.</t>
  </si>
  <si>
    <t>43-2021</t>
  </si>
  <si>
    <t>Izrada studije "Podloge za ekonomsku procjenu svih dugoročnih troškova i koristi sustava naprednog mjerenja za tržište i pojedinog krajnjeg kupca u Republici
Hrvatskoj"</t>
  </si>
  <si>
    <t>2021/S 0F3-0045927</t>
  </si>
  <si>
    <t>ERNST &amp; YOUNG SAVJETOVANJE d.o.o.
OIB: 82067332481</t>
  </si>
  <si>
    <t>34/2021</t>
  </si>
  <si>
    <t>Opskrba električnom energijom</t>
  </si>
  <si>
    <t>2021/S 0F3-0047405</t>
  </si>
  <si>
    <t>HEP - OPSKRBA d.o.o.
OIB: 63073332379</t>
  </si>
  <si>
    <t>16.12.2021.</t>
  </si>
  <si>
    <t>O-20-3321</t>
  </si>
  <si>
    <t>01.01.2022-31.12.2022.</t>
  </si>
  <si>
    <t>12-2021</t>
  </si>
  <si>
    <t>3/2022</t>
  </si>
  <si>
    <t>22-2021</t>
  </si>
  <si>
    <t>Interna reprezentacija</t>
  </si>
  <si>
    <t xml:space="preserve">15900000-7 </t>
  </si>
  <si>
    <t>KONZUM PLUS d.o.o. 
OIB: 62226620908</t>
  </si>
  <si>
    <t>23.12.2021.</t>
  </si>
  <si>
    <t>12/2022</t>
  </si>
  <si>
    <t>29-2021</t>
  </si>
  <si>
    <t xml:space="preserve">Energetski pregled poslovne zgrade i izrada novog energetskog certifikata </t>
  </si>
  <si>
    <t>27.12.2021.</t>
  </si>
  <si>
    <t>11/2022</t>
  </si>
  <si>
    <t>do 15.03.2022.</t>
  </si>
  <si>
    <t>15.03.2022.</t>
  </si>
  <si>
    <t>28.</t>
  </si>
  <si>
    <t>26-2021</t>
  </si>
  <si>
    <t>Nabava integralnog sustava za backup podataka</t>
  </si>
  <si>
    <t>48710000-8</t>
  </si>
  <si>
    <t>S&amp;T HRVATSKA d.o.o. 
OIB: 55648908488</t>
  </si>
  <si>
    <t>29.12.2021.</t>
  </si>
  <si>
    <t>9/2022</t>
  </si>
  <si>
    <t>60 kalendarskih dana od dana sklapanja ugovora. Nakon potpisivanja primopredajnog zapisnika počinje teći rok od 12 mjeseci za podršku Sustavu.</t>
  </si>
  <si>
    <t xml:space="preserve">Registar ugovora  i okvirnih sporazuma za 2022. godinu </t>
  </si>
  <si>
    <t>11-2022</t>
  </si>
  <si>
    <t>Antigensko testiranje radnika HERA-a</t>
  </si>
  <si>
    <t>85145000-7</t>
  </si>
  <si>
    <t>POLIKLINIKA LAB PLUS 2
OIB: 05355685913</t>
  </si>
  <si>
    <t>21.01.2022.</t>
  </si>
  <si>
    <t>N 6/2022</t>
  </si>
  <si>
    <t>01.01.2022.-31.12.2022.</t>
  </si>
  <si>
    <t>Narudžbenica 6/2022</t>
  </si>
  <si>
    <t>15-2022</t>
  </si>
  <si>
    <t>Dezinfekcija poslovne zgrade HERA-a</t>
  </si>
  <si>
    <t>25.01.2022.</t>
  </si>
  <si>
    <t>N 7/2022</t>
  </si>
  <si>
    <t>Narudžbenica 7/2022</t>
  </si>
  <si>
    <t>16-2022</t>
  </si>
  <si>
    <t>UNIQA OSIGURANJE d.o.o.
OIB: 75665455333</t>
  </si>
  <si>
    <t>04.02.2022.</t>
  </si>
  <si>
    <t>N 10/2022</t>
  </si>
  <si>
    <t>18.02.2022.-18.02.2023.</t>
  </si>
  <si>
    <t>Narudžbenica 10/2022</t>
  </si>
  <si>
    <t>19-2022</t>
  </si>
  <si>
    <t>Nabava monitora za osobna računala</t>
  </si>
  <si>
    <t>18.02.2022.</t>
  </si>
  <si>
    <t>N 11/2022</t>
  </si>
  <si>
    <t>veljača 2022. - svibanj 2022.</t>
  </si>
  <si>
    <t>27.04.2022.</t>
  </si>
  <si>
    <t>Narudžbenica 11/2022</t>
  </si>
  <si>
    <t>9-2022</t>
  </si>
  <si>
    <t>04.03.2022.</t>
  </si>
  <si>
    <t>14/2022</t>
  </si>
  <si>
    <t>28.03.2022.-27.03.2023.</t>
  </si>
  <si>
    <t>14-2022</t>
  </si>
  <si>
    <t>10.03.2022.</t>
  </si>
  <si>
    <t>15/2022</t>
  </si>
  <si>
    <t>14.03.2022.-13.03.2023.</t>
  </si>
  <si>
    <t>Nabava poštanskih usluga - Grupa 1</t>
  </si>
  <si>
    <t>2022/S F21-0014064</t>
  </si>
  <si>
    <t>23.03.2022.</t>
  </si>
  <si>
    <t>19/2022</t>
  </si>
  <si>
    <t>01.03.2022.-29.02.2024.</t>
  </si>
  <si>
    <t>Nabava poštanskih usluga - Grupa 2</t>
  </si>
  <si>
    <t>20/2022</t>
  </si>
  <si>
    <t>2022/S 0F3-0016175</t>
  </si>
  <si>
    <t>16/2022</t>
  </si>
  <si>
    <t>02.04.2022.-31.03.2023.</t>
  </si>
  <si>
    <t>17/2022</t>
  </si>
  <si>
    <t>18/2022</t>
  </si>
  <si>
    <t>1-2022</t>
  </si>
  <si>
    <t>24/2022</t>
  </si>
  <si>
    <t>Usluga i oprema u pokretnoj elektroničkoj komunikacijskoj mreži - 2. Ugovor</t>
  </si>
  <si>
    <t>2022/S 0F3-0025014</t>
  </si>
  <si>
    <t>13.04.2022.</t>
  </si>
  <si>
    <t>28/2022</t>
  </si>
  <si>
    <t>13.04.2022.-12.04.2023.</t>
  </si>
  <si>
    <t>Održavanje i podrška Sustava za upravljanje uredskim poslovanjem i poslovnim sadržajima (SUUPPS) - 2. Ugovor</t>
  </si>
  <si>
    <t>2022/S 0F3-0021416</t>
  </si>
  <si>
    <t>03.05.2022.</t>
  </si>
  <si>
    <t>25/2022</t>
  </si>
  <si>
    <t>do 31.05.2023.</t>
  </si>
  <si>
    <t>34-2022</t>
  </si>
  <si>
    <t>Revizija internih akata HERA-e i usklađivanje s relevantnim pravnim okvirom</t>
  </si>
  <si>
    <t>79100000</t>
  </si>
  <si>
    <t>Odvjetničko društvo Babić, Brborović &amp; partneri j.t.d.
OIB: 99054430142</t>
  </si>
  <si>
    <t>06.05.2022.</t>
  </si>
  <si>
    <t>26/2022</t>
  </si>
  <si>
    <t>06.05.2022.- 31.12.2022.</t>
  </si>
  <si>
    <t>33-2022</t>
  </si>
  <si>
    <t>SPAN d.d.
OIB: 19680551758</t>
  </si>
  <si>
    <t>09.05.2022.</t>
  </si>
  <si>
    <t>N 26/2022</t>
  </si>
  <si>
    <t>16.05.2022.-15.05.2023.</t>
  </si>
  <si>
    <t>Narudžbenica 26/2022</t>
  </si>
  <si>
    <t>Usluga tjelesne zaštite osoba i imovine - 
2. Ugovor</t>
  </si>
  <si>
    <t>2022/S F21-0025035</t>
  </si>
  <si>
    <t>03.06.2022.</t>
  </si>
  <si>
    <t>29/2022</t>
  </si>
  <si>
    <t>01.07.2022.-13.06.2023.</t>
  </si>
  <si>
    <t>16.05.2022.</t>
  </si>
  <si>
    <t>01.08.2021.-31.07.2022.</t>
  </si>
  <si>
    <t>31.07.2022.</t>
  </si>
  <si>
    <t>12.09.2022.</t>
  </si>
  <si>
    <t>29.08.2022.</t>
  </si>
  <si>
    <t>08.11.2022.</t>
  </si>
  <si>
    <t>15.12.2021.;
Aneks ugovora 12.12.2022.</t>
  </si>
  <si>
    <t>15.12.2021-14.12.2022.;
Aneksom ugovora produžen rok do 15.02.2023.</t>
  </si>
  <si>
    <t>31.12.2022.</t>
  </si>
  <si>
    <t>Iznos bez PDV-a (kn)</t>
  </si>
  <si>
    <t>Iznos PDV-a (kn)</t>
  </si>
  <si>
    <t>Ukupni iznos s PDV-om (kn)</t>
  </si>
  <si>
    <t>Ukupni isplaćeni iznos s PDV-om (kn)</t>
  </si>
  <si>
    <r>
      <t xml:space="preserve">11.04.2022.;
</t>
    </r>
    <r>
      <rPr>
        <sz val="10"/>
        <rFont val="Arial"/>
        <family val="2"/>
        <charset val="238"/>
      </rPr>
      <t>Aneks ugovora 09.01.2023.</t>
    </r>
  </si>
  <si>
    <r>
      <t xml:space="preserve">11.04.2022.-31.12.2022.;
</t>
    </r>
    <r>
      <rPr>
        <sz val="10"/>
        <rFont val="Arial"/>
        <family val="2"/>
        <charset val="238"/>
      </rPr>
      <t>Aneksom ugovora produžen rok do 30.06.2023.</t>
    </r>
  </si>
  <si>
    <t>2-2022</t>
  </si>
  <si>
    <t>Potrošni sanitarni materijal</t>
  </si>
  <si>
    <t>ORCUS PLUS d.o.o.
OIB: 70812508533</t>
  </si>
  <si>
    <t>28.06.2022.</t>
  </si>
  <si>
    <t>32/2022</t>
  </si>
  <si>
    <t>01.07.2022.-30.06.2023.</t>
  </si>
  <si>
    <t>Usluge obveznog osiguranja od automobilske odgovornosti: Grupa 1 - osobna vozila</t>
  </si>
  <si>
    <t>2022/S 0F3-0039949</t>
  </si>
  <si>
    <t>30.08.2022.</t>
  </si>
  <si>
    <t>N 51/2022</t>
  </si>
  <si>
    <t>12.09.2022.- 12.09.2023.</t>
  </si>
  <si>
    <t>Narudžbenica 51/2022 sklopljena na temelju OS SDUSJN</t>
  </si>
  <si>
    <t>Usluge kasko osiguranja: Grupa 1 - osobna vozila</t>
  </si>
  <si>
    <t>N 52/2022</t>
  </si>
  <si>
    <t>Narudžbenica 52/2022 sklopljena na temelju OS SDUSJN</t>
  </si>
  <si>
    <t>13-2022</t>
  </si>
  <si>
    <t>Prevođenje godišnjeg izvješća HERA-e za 2021.</t>
  </si>
  <si>
    <t>INTEGRA d.o.o.
OIB: 41849057634</t>
  </si>
  <si>
    <t>07.10.2022.</t>
  </si>
  <si>
    <t>N 63/2022</t>
  </si>
  <si>
    <t>do 22.11.2022.</t>
  </si>
  <si>
    <t>22.11.2023.</t>
  </si>
  <si>
    <t>Narudžbenica 63/2022</t>
  </si>
  <si>
    <t>12-2022</t>
  </si>
  <si>
    <t>Revizija financijskih izvješaja za 2022.</t>
  </si>
  <si>
    <t>AUDIT d.o.o.
OIB: 39806187636</t>
  </si>
  <si>
    <t>04.10.2022.</t>
  </si>
  <si>
    <t>33/2022</t>
  </si>
  <si>
    <t>do 26.05.2023.</t>
  </si>
  <si>
    <t>35-2022</t>
  </si>
  <si>
    <t>Uspostava alata za usporedbu cijene plina</t>
  </si>
  <si>
    <t>72212000-4</t>
  </si>
  <si>
    <t>2022/S 0F3-0042188</t>
  </si>
  <si>
    <t>RIS d.o.o.
OIB: 77917801452</t>
  </si>
  <si>
    <t>20.10.2022.</t>
  </si>
  <si>
    <t>34/2022</t>
  </si>
  <si>
    <t>do 30.04.2023.</t>
  </si>
  <si>
    <t>2022/S 0F3-0045351</t>
  </si>
  <si>
    <t>26.10.2022.</t>
  </si>
  <si>
    <t>N 66/2022</t>
  </si>
  <si>
    <t>08.11.2022.- 08.11.2023.</t>
  </si>
  <si>
    <t>Narudžbenica 66/2022 sklopljena na temelju OS SDUSJN</t>
  </si>
  <si>
    <t>N 67/2022</t>
  </si>
  <si>
    <t>Narudžbenica 67/2022 sklopljena na temelju OS SDUSJN</t>
  </si>
  <si>
    <t>05.12.2022.</t>
  </si>
  <si>
    <t>O-23-29</t>
  </si>
  <si>
    <t>01.01.2023-31.12.2024.</t>
  </si>
  <si>
    <t>5-2022</t>
  </si>
  <si>
    <t>27.12.2022.</t>
  </si>
  <si>
    <t>01.01.2023.-31.12.2023.</t>
  </si>
  <si>
    <t>Narudžbenica 04/2023</t>
  </si>
  <si>
    <t>12.04.2023.</t>
  </si>
  <si>
    <t>31.05.2023.</t>
  </si>
  <si>
    <t>13.06.2023.</t>
  </si>
  <si>
    <t>26.04.2023.</t>
  </si>
  <si>
    <t>10.05.2023.</t>
  </si>
  <si>
    <t>18.02.2023.</t>
  </si>
  <si>
    <t>27.03.2023.</t>
  </si>
  <si>
    <t>13.03.2023.</t>
  </si>
  <si>
    <t>30.06.2023.</t>
  </si>
  <si>
    <t>15.05.2023.</t>
  </si>
  <si>
    <t>02.05.2023.</t>
  </si>
  <si>
    <t>2023/S 0F3-0000990</t>
  </si>
  <si>
    <t>17-2022</t>
  </si>
  <si>
    <t>22.12.2022.</t>
  </si>
  <si>
    <t>1/2023</t>
  </si>
  <si>
    <t>01.01.2023-31.12.2023.</t>
  </si>
  <si>
    <t>N 4/2023</t>
  </si>
  <si>
    <t xml:space="preserve">Registar ugovora  i okvirnih sporazuma za 2023. godinu </t>
  </si>
  <si>
    <t>Iznos bez PDV-a (EUR)</t>
  </si>
  <si>
    <t>Iznos PDV-a (EUR)</t>
  </si>
  <si>
    <t>Ukupni iznos s PDV-om (EUR)</t>
  </si>
  <si>
    <t>Ukupni isplaćeni iznos s PDV-om (EUR)</t>
  </si>
  <si>
    <t>36-2022</t>
  </si>
  <si>
    <t>Fotokopirni papir</t>
  </si>
  <si>
    <t>30197630</t>
  </si>
  <si>
    <t>MAKROMIKRO GRUPA d.o.o.
OIB: 50467974870</t>
  </si>
  <si>
    <t>13.01.2023.</t>
  </si>
  <si>
    <t>7/2023</t>
  </si>
  <si>
    <t>13.01.2023.-31.12.2023.</t>
  </si>
  <si>
    <t>Uredski materijal</t>
  </si>
  <si>
    <t>30192000
30199000</t>
  </si>
  <si>
    <t>8/2023</t>
  </si>
  <si>
    <t>10-2022</t>
  </si>
  <si>
    <t>POLIKLINIKA MEDIKOL
OIB: 57970181621</t>
  </si>
  <si>
    <t>04.01.2023.</t>
  </si>
  <si>
    <t>9/2023</t>
  </si>
  <si>
    <t>01.02.2023.-30.04.2023.</t>
  </si>
  <si>
    <t>30.04.2023.</t>
  </si>
  <si>
    <t>8-2022</t>
  </si>
  <si>
    <t>10/2023</t>
  </si>
  <si>
    <t>14-2023</t>
  </si>
  <si>
    <t>PUT PROJEKT d.o.o.
OIB: 46582616289</t>
  </si>
  <si>
    <t>14.03.2023.</t>
  </si>
  <si>
    <t>12/2023</t>
  </si>
  <si>
    <t>14.03.2023.-13.03.2024.</t>
  </si>
  <si>
    <t>9-2023</t>
  </si>
  <si>
    <t>24.03.2023.</t>
  </si>
  <si>
    <t>14/2023</t>
  </si>
  <si>
    <t>28.03.2023.-31.03.2024.</t>
  </si>
  <si>
    <t>3-2023</t>
  </si>
  <si>
    <t xml:space="preserve">Usluge  u pokretnoj elektroničkoj komunikacijskoj mreži </t>
  </si>
  <si>
    <t>06.04.2023.</t>
  </si>
  <si>
    <t>15/2023</t>
  </si>
  <si>
    <t>12.04.2023.-30.04.2024.</t>
  </si>
  <si>
    <t>20-2023</t>
  </si>
  <si>
    <t>Godišnja pretplata na Microsoft Online usluge i Azure usluge</t>
  </si>
  <si>
    <t>48000000-8</t>
  </si>
  <si>
    <t>02.06.2023.</t>
  </si>
  <si>
    <t>17/2023</t>
  </si>
  <si>
    <t>do 31.05.2024.</t>
  </si>
  <si>
    <t>8-2023</t>
  </si>
  <si>
    <t>Održavanje Sustava za upravljanje uredskim poslovanjem i poslovnim sadržajima</t>
  </si>
  <si>
    <t>18/2023</t>
  </si>
  <si>
    <t>2023/S 0F3-0026550</t>
  </si>
  <si>
    <t>PETROL d.o.o.
OIB: 75550985023</t>
  </si>
  <si>
    <t>05.06.2023.</t>
  </si>
  <si>
    <t>19/2023</t>
  </si>
  <si>
    <t>19.06.2023.-18.06.2024.</t>
  </si>
  <si>
    <t>29-2023</t>
  </si>
  <si>
    <t>Usluge pravnog savjetovanja</t>
  </si>
  <si>
    <t>79140000-7</t>
  </si>
  <si>
    <t>TIN MATIĆ I PARTNERI odvjetničko društvo d.o.o.
OIB: 08908355669</t>
  </si>
  <si>
    <t>07.06.2023.</t>
  </si>
  <si>
    <t>20/2023</t>
  </si>
  <si>
    <t>do 31.12.2023.</t>
  </si>
  <si>
    <t>15-2023</t>
  </si>
  <si>
    <t xml:space="preserve">Usluga tjelesne zaštite osoba i imovine </t>
  </si>
  <si>
    <t>2023/S F21-0025332</t>
  </si>
  <si>
    <t>22/2023</t>
  </si>
  <si>
    <t>14.06.2023.-30.06.2024.</t>
  </si>
  <si>
    <t>12.09.2023.</t>
  </si>
  <si>
    <t>08.11.2023.</t>
  </si>
  <si>
    <t>31.12.2023.</t>
  </si>
  <si>
    <t>Ugovor sklopljen na temelju OS SDUSJN br. 10/2023-7</t>
  </si>
  <si>
    <t>2-2023</t>
  </si>
  <si>
    <t>26.06.2023.</t>
  </si>
  <si>
    <t>23/2023</t>
  </si>
  <si>
    <t>01.07.2023.-30.06.2024.</t>
  </si>
  <si>
    <t>Opskrba gorivom na benzinskim postajama - Grupa 2</t>
  </si>
  <si>
    <t>2023/S 0F3-0040082</t>
  </si>
  <si>
    <t>25.07.2023.</t>
  </si>
  <si>
    <t>24/2023</t>
  </si>
  <si>
    <t>Ugovor sklopljen na temelju OS SDUSJN br. 11/2023-2</t>
  </si>
  <si>
    <t>Opskrba gorivom na benzinskim postajama - Grupa 3</t>
  </si>
  <si>
    <t>2023/S 0F3-0040310</t>
  </si>
  <si>
    <t>25/2023</t>
  </si>
  <si>
    <t>Ugovor sklopljen na temelju OS SDUSJN br. 11/2023-3</t>
  </si>
  <si>
    <t>10-2023</t>
  </si>
  <si>
    <t>04.09.2023.</t>
  </si>
  <si>
    <t>26/2023</t>
  </si>
  <si>
    <t>2023/S 0F3-0040333</t>
  </si>
  <si>
    <t>08.09.2023.</t>
  </si>
  <si>
    <t>N 29/2023</t>
  </si>
  <si>
    <t>12.09.2023.- 12.09.2024.</t>
  </si>
  <si>
    <t>Narudžbenica sklopljena na temelju OS SDUSJN br. 7/2021-1</t>
  </si>
  <si>
    <t>N 30/2023</t>
  </si>
  <si>
    <t>12-2023</t>
  </si>
  <si>
    <t>Revizija financijskih izvješaja za 2023.</t>
  </si>
  <si>
    <t>29.09.2023.</t>
  </si>
  <si>
    <t>28/2023</t>
  </si>
  <si>
    <t>01.12.2023.-24.05.2024.</t>
  </si>
  <si>
    <t>11-2023</t>
  </si>
  <si>
    <t>Poliklinika Sv. ROK M.D.
OIB: 28842147765</t>
  </si>
  <si>
    <t>28.10.2023.</t>
  </si>
  <si>
    <t>30/2023</t>
  </si>
  <si>
    <t>28.10.2023.-31.12.2024.</t>
  </si>
  <si>
    <t>Usluge obveznog osiguranja od automobilske odgovornosti: Grupa 1 - osobni automobili</t>
  </si>
  <si>
    <t>2023/S 0F3-0050485</t>
  </si>
  <si>
    <t>06.11.2023.</t>
  </si>
  <si>
    <t>N 41/2023</t>
  </si>
  <si>
    <t>08.11.2023.- 08.11.2024.</t>
  </si>
  <si>
    <t>Narudžbenica sklopljena na temelju OS SDUSJN br. 4/2023-1</t>
  </si>
  <si>
    <t>Usluge kasko osiguranja: Grupa 1 - osobni automobili</t>
  </si>
  <si>
    <t>N 42/2023</t>
  </si>
  <si>
    <t>1-2023</t>
  </si>
  <si>
    <t>LINGUA GRUPA d.o.o.
OIB: 04550695038</t>
  </si>
  <si>
    <t>13.12.2023.</t>
  </si>
  <si>
    <t>01/2024</t>
  </si>
  <si>
    <t>13.12.2023.-31.12.2024.</t>
  </si>
  <si>
    <t>4-2023</t>
  </si>
  <si>
    <t>15.12.2023.</t>
  </si>
  <si>
    <t>N 6/2024</t>
  </si>
  <si>
    <t>01.01.2024.-31.12.2024.</t>
  </si>
  <si>
    <t>Narudžbenica 06/2024</t>
  </si>
  <si>
    <t>7-2023</t>
  </si>
  <si>
    <t>20.12.2023.</t>
  </si>
  <si>
    <t>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</si>
</sst>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charset val="238"/>
    </font>
    <font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quotePrefix="1" applyNumberFormat="1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6" fillId="0" borderId="0" xfId="0" applyFont="1"/>
    <xf numFmtId="0" fontId="1" fillId="0" borderId="0" xfId="1" applyFont="1"/>
    <xf numFmtId="0" fontId="3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10" fillId="0" borderId="0" xfId="0" applyFont="1"/>
    <xf numFmtId="49" fontId="3" fillId="0" borderId="0" xfId="0" applyNumberFormat="1" applyFont="1" applyAlignment="1">
      <alignment horizontal="left"/>
    </xf>
    <xf numFmtId="49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quotePrefix="1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1" fontId="0" fillId="0" borderId="1" xfId="0" applyNumberForma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quotePrefix="1" applyNumberFormat="1" applyBorder="1" applyAlignment="1" applyProtection="1">
      <alignment horizontal="center" vertical="center" wrapText="1"/>
      <protection locked="0"/>
    </xf>
    <xf numFmtId="4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A0CF8295-7734-4252-B664-766DAF6A9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52CE-DF91-41DA-9853-652AC3D68A12}">
  <sheetPr>
    <pageSetUpPr fitToPage="1"/>
  </sheetPr>
  <dimension ref="A1:Q28"/>
  <sheetViews>
    <sheetView zoomScaleNormal="100" zoomScaleSheetLayoutView="90" workbookViewId="0">
      <selection sqref="A1:Q1"/>
    </sheetView>
  </sheetViews>
  <sheetFormatPr defaultColWidth="9.140625" defaultRowHeight="12.75" x14ac:dyDescent="0.2"/>
  <cols>
    <col min="1" max="1" width="7" style="3" customWidth="1"/>
    <col min="2" max="2" width="14.42578125" style="3" customWidth="1"/>
    <col min="3" max="3" width="36.7109375" style="1" customWidth="1"/>
    <col min="4" max="4" width="13.7109375" style="1" bestFit="1" customWidth="1"/>
    <col min="5" max="5" width="14.42578125" style="1" bestFit="1" customWidth="1"/>
    <col min="6" max="6" width="15.5703125" style="1" bestFit="1" customWidth="1"/>
    <col min="7" max="7" width="29" style="1" customWidth="1"/>
    <col min="8" max="8" width="17.140625" style="1" bestFit="1" customWidth="1"/>
    <col min="9" max="9" width="14.5703125" style="1" customWidth="1"/>
    <col min="10" max="10" width="15.85546875" style="1" customWidth="1"/>
    <col min="11" max="11" width="13.85546875" style="1" customWidth="1"/>
    <col min="12" max="12" width="12.42578125" style="3" bestFit="1" customWidth="1"/>
    <col min="13" max="13" width="16.5703125" style="3" bestFit="1" customWidth="1"/>
    <col min="14" max="14" width="14.5703125" style="3" customWidth="1"/>
    <col min="15" max="15" width="15.42578125" style="3" bestFit="1" customWidth="1"/>
    <col min="16" max="16" width="15.28515625" style="3" customWidth="1"/>
    <col min="17" max="17" width="14.140625" style="3" customWidth="1"/>
    <col min="18" max="16384" width="9.140625" style="1"/>
  </cols>
  <sheetData>
    <row r="1" spans="1:17" s="54" customFormat="1" ht="20.25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s="54" customFormat="1" ht="15.75" x14ac:dyDescent="0.25">
      <c r="A2" s="53"/>
      <c r="B2" s="53"/>
      <c r="L2" s="61"/>
      <c r="M2" s="61"/>
      <c r="N2" s="61"/>
      <c r="O2" s="61"/>
      <c r="P2" s="61"/>
      <c r="Q2" s="61"/>
    </row>
    <row r="3" spans="1:17" s="63" customFormat="1" ht="63.75" x14ac:dyDescent="0.2">
      <c r="A3" s="55" t="s">
        <v>1</v>
      </c>
      <c r="B3" s="55" t="s">
        <v>2</v>
      </c>
      <c r="C3" s="56" t="s">
        <v>3</v>
      </c>
      <c r="D3" s="57" t="s">
        <v>4</v>
      </c>
      <c r="E3" s="57" t="s">
        <v>5</v>
      </c>
      <c r="F3" s="57" t="s">
        <v>6</v>
      </c>
      <c r="G3" s="57" t="s">
        <v>7</v>
      </c>
      <c r="H3" s="57" t="s">
        <v>8</v>
      </c>
      <c r="I3" s="57" t="s">
        <v>9</v>
      </c>
      <c r="J3" s="57" t="s">
        <v>10</v>
      </c>
      <c r="K3" s="57" t="s">
        <v>11</v>
      </c>
      <c r="L3" s="55" t="s">
        <v>12</v>
      </c>
      <c r="M3" s="55" t="s">
        <v>13</v>
      </c>
      <c r="N3" s="55" t="s">
        <v>14</v>
      </c>
      <c r="O3" s="55" t="s">
        <v>15</v>
      </c>
      <c r="P3" s="55" t="s">
        <v>16</v>
      </c>
      <c r="Q3" s="55" t="s">
        <v>17</v>
      </c>
    </row>
    <row r="4" spans="1:17" s="11" customFormat="1" ht="12" x14ac:dyDescent="0.2">
      <c r="A4" s="8">
        <v>1</v>
      </c>
      <c r="B4" s="8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</row>
    <row r="5" spans="1:17" ht="27.95" customHeight="1" x14ac:dyDescent="0.2">
      <c r="A5" s="58" t="s">
        <v>18</v>
      </c>
      <c r="B5" s="58">
        <v>2017</v>
      </c>
      <c r="C5" s="60" t="s">
        <v>19</v>
      </c>
      <c r="D5" s="23" t="s">
        <v>20</v>
      </c>
      <c r="E5" s="23"/>
      <c r="F5" s="23" t="s">
        <v>21</v>
      </c>
      <c r="G5" s="23" t="s">
        <v>22</v>
      </c>
      <c r="H5" s="23"/>
      <c r="I5" s="23" t="s">
        <v>23</v>
      </c>
      <c r="J5" s="23" t="s">
        <v>24</v>
      </c>
      <c r="K5" s="15">
        <v>57711.6</v>
      </c>
      <c r="L5" s="16">
        <v>13457.9</v>
      </c>
      <c r="M5" s="17">
        <v>71169.5</v>
      </c>
      <c r="N5" s="62" t="s">
        <v>25</v>
      </c>
      <c r="O5" s="17">
        <v>60188.85</v>
      </c>
      <c r="P5" s="62"/>
      <c r="Q5" s="58"/>
    </row>
    <row r="6" spans="1:17" s="22" customFormat="1" ht="38.25" x14ac:dyDescent="0.2">
      <c r="A6" s="58" t="s">
        <v>26</v>
      </c>
      <c r="B6" s="58" t="s">
        <v>27</v>
      </c>
      <c r="C6" s="60" t="s">
        <v>28</v>
      </c>
      <c r="D6" s="23" t="s">
        <v>29</v>
      </c>
      <c r="E6" s="23"/>
      <c r="F6" s="23" t="s">
        <v>21</v>
      </c>
      <c r="G6" s="23" t="s">
        <v>30</v>
      </c>
      <c r="H6" s="23"/>
      <c r="I6" s="23" t="s">
        <v>31</v>
      </c>
      <c r="J6" s="23" t="s">
        <v>24</v>
      </c>
      <c r="K6" s="15">
        <v>21600</v>
      </c>
      <c r="L6" s="16">
        <v>5400</v>
      </c>
      <c r="M6" s="20">
        <v>27000</v>
      </c>
      <c r="N6" s="62" t="s">
        <v>25</v>
      </c>
      <c r="O6" s="17">
        <v>16200</v>
      </c>
      <c r="P6" s="62"/>
      <c r="Q6" s="67"/>
    </row>
    <row r="7" spans="1:17" ht="25.5" x14ac:dyDescent="0.2">
      <c r="A7" s="58" t="s">
        <v>32</v>
      </c>
      <c r="B7" s="58" t="s">
        <v>33</v>
      </c>
      <c r="C7" s="60" t="s">
        <v>34</v>
      </c>
      <c r="D7" s="23">
        <v>90910000</v>
      </c>
      <c r="E7" s="23"/>
      <c r="F7" s="23" t="s">
        <v>21</v>
      </c>
      <c r="G7" s="23" t="s">
        <v>35</v>
      </c>
      <c r="H7" s="23"/>
      <c r="I7" s="23" t="s">
        <v>36</v>
      </c>
      <c r="J7" s="23" t="s">
        <v>37</v>
      </c>
      <c r="K7" s="15">
        <v>146544.56</v>
      </c>
      <c r="L7" s="16">
        <v>36636.14</v>
      </c>
      <c r="M7" s="20">
        <v>183180.7</v>
      </c>
      <c r="N7" s="23" t="s">
        <v>38</v>
      </c>
      <c r="O7" s="17">
        <v>183458.38</v>
      </c>
      <c r="P7" s="62"/>
      <c r="Q7" s="67"/>
    </row>
    <row r="8" spans="1:17" ht="25.5" x14ac:dyDescent="0.2">
      <c r="A8" s="58" t="s">
        <v>39</v>
      </c>
      <c r="B8" s="58" t="s">
        <v>40</v>
      </c>
      <c r="C8" s="60" t="s">
        <v>41</v>
      </c>
      <c r="D8" s="23" t="s">
        <v>42</v>
      </c>
      <c r="E8" s="23"/>
      <c r="F8" s="23" t="s">
        <v>21</v>
      </c>
      <c r="G8" s="23" t="s">
        <v>43</v>
      </c>
      <c r="H8" s="23"/>
      <c r="I8" s="23" t="s">
        <v>44</v>
      </c>
      <c r="J8" s="23" t="s">
        <v>45</v>
      </c>
      <c r="K8" s="15">
        <v>84670</v>
      </c>
      <c r="L8" s="16">
        <v>21167.5</v>
      </c>
      <c r="M8" s="20">
        <v>105837.5</v>
      </c>
      <c r="N8" s="23" t="s">
        <v>46</v>
      </c>
      <c r="O8" s="17">
        <v>110356.84</v>
      </c>
      <c r="P8" s="62"/>
      <c r="Q8" s="67"/>
    </row>
    <row r="9" spans="1:17" ht="51" customHeight="1" x14ac:dyDescent="0.2">
      <c r="A9" s="58" t="s">
        <v>47</v>
      </c>
      <c r="B9" s="58" t="s">
        <v>48</v>
      </c>
      <c r="C9" s="60" t="s">
        <v>49</v>
      </c>
      <c r="D9" s="23" t="s">
        <v>50</v>
      </c>
      <c r="E9" s="23"/>
      <c r="F9" s="23" t="s">
        <v>21</v>
      </c>
      <c r="G9" s="23" t="s">
        <v>51</v>
      </c>
      <c r="H9" s="23"/>
      <c r="I9" s="23" t="s">
        <v>52</v>
      </c>
      <c r="J9" s="23" t="s">
        <v>53</v>
      </c>
      <c r="K9" s="15">
        <v>148000</v>
      </c>
      <c r="L9" s="16">
        <v>37000</v>
      </c>
      <c r="M9" s="20">
        <v>185000</v>
      </c>
      <c r="N9" s="62" t="s">
        <v>54</v>
      </c>
      <c r="O9" s="17">
        <v>185000</v>
      </c>
      <c r="P9" s="62"/>
      <c r="Q9" s="67"/>
    </row>
    <row r="10" spans="1:17" ht="29.1" customHeight="1" x14ac:dyDescent="0.2">
      <c r="A10" s="58" t="s">
        <v>55</v>
      </c>
      <c r="B10" s="59" t="s">
        <v>56</v>
      </c>
      <c r="C10" s="60" t="s">
        <v>57</v>
      </c>
      <c r="D10" s="23" t="s">
        <v>58</v>
      </c>
      <c r="E10" s="23"/>
      <c r="F10" s="23" t="s">
        <v>21</v>
      </c>
      <c r="G10" s="23" t="s">
        <v>59</v>
      </c>
      <c r="H10" s="23"/>
      <c r="I10" s="23" t="s">
        <v>60</v>
      </c>
      <c r="J10" s="23" t="s">
        <v>61</v>
      </c>
      <c r="K10" s="15">
        <v>108104</v>
      </c>
      <c r="L10" s="16">
        <v>27026</v>
      </c>
      <c r="M10" s="20">
        <v>135130</v>
      </c>
      <c r="N10" s="62" t="s">
        <v>62</v>
      </c>
      <c r="O10" s="17">
        <v>95674.11</v>
      </c>
      <c r="P10" s="62"/>
      <c r="Q10" s="67"/>
    </row>
    <row r="11" spans="1:17" ht="51" x14ac:dyDescent="0.2">
      <c r="A11" s="58" t="s">
        <v>63</v>
      </c>
      <c r="B11" s="58" t="s">
        <v>64</v>
      </c>
      <c r="C11" s="60" t="s">
        <v>65</v>
      </c>
      <c r="D11" s="23" t="s">
        <v>66</v>
      </c>
      <c r="E11" s="23"/>
      <c r="F11" s="23" t="s">
        <v>21</v>
      </c>
      <c r="G11" s="23" t="s">
        <v>67</v>
      </c>
      <c r="H11" s="23"/>
      <c r="I11" s="23" t="s">
        <v>68</v>
      </c>
      <c r="J11" s="23" t="s">
        <v>69</v>
      </c>
      <c r="K11" s="15">
        <v>52500</v>
      </c>
      <c r="L11" s="16">
        <v>13125</v>
      </c>
      <c r="M11" s="20">
        <v>65625</v>
      </c>
      <c r="N11" s="62" t="s">
        <v>70</v>
      </c>
      <c r="O11" s="20">
        <v>65625</v>
      </c>
      <c r="P11" s="62"/>
      <c r="Q11" s="67"/>
    </row>
    <row r="12" spans="1:17" ht="38.25" x14ac:dyDescent="0.2">
      <c r="A12" s="64" t="s">
        <v>71</v>
      </c>
      <c r="B12" s="65" t="s">
        <v>72</v>
      </c>
      <c r="C12" s="66" t="s">
        <v>73</v>
      </c>
      <c r="D12" s="25" t="s">
        <v>74</v>
      </c>
      <c r="E12" s="25" t="s">
        <v>75</v>
      </c>
      <c r="F12" s="25" t="s">
        <v>76</v>
      </c>
      <c r="G12" s="25" t="s">
        <v>77</v>
      </c>
      <c r="H12" s="25"/>
      <c r="I12" s="25" t="s">
        <v>78</v>
      </c>
      <c r="J12" s="25" t="s">
        <v>79</v>
      </c>
      <c r="K12" s="15">
        <v>1550600</v>
      </c>
      <c r="L12" s="16">
        <f t="shared" ref="L12" si="0">K12*0.25</f>
        <v>387650</v>
      </c>
      <c r="M12" s="17">
        <f t="shared" ref="M12" si="1">K12+L12</f>
        <v>1938250</v>
      </c>
      <c r="N12" s="62" t="s">
        <v>80</v>
      </c>
      <c r="O12" s="26">
        <f>1166950+190450+142500</f>
        <v>1499900</v>
      </c>
      <c r="P12" s="68"/>
      <c r="Q12" s="68" t="s">
        <v>81</v>
      </c>
    </row>
    <row r="13" spans="1:17" ht="48" x14ac:dyDescent="0.2">
      <c r="A13" s="58" t="s">
        <v>82</v>
      </c>
      <c r="B13" s="59" t="s">
        <v>72</v>
      </c>
      <c r="C13" s="60" t="s">
        <v>83</v>
      </c>
      <c r="D13" s="23" t="s">
        <v>74</v>
      </c>
      <c r="E13" s="23" t="s">
        <v>84</v>
      </c>
      <c r="F13" s="23" t="s">
        <v>76</v>
      </c>
      <c r="G13" s="23" t="s">
        <v>77</v>
      </c>
      <c r="H13" s="23"/>
      <c r="I13" s="23" t="s">
        <v>85</v>
      </c>
      <c r="J13" s="23" t="s">
        <v>86</v>
      </c>
      <c r="K13" s="15">
        <v>1155920</v>
      </c>
      <c r="L13" s="16">
        <f>K13*0.25</f>
        <v>288980</v>
      </c>
      <c r="M13" s="20">
        <f>K13*1.25</f>
        <v>1444900</v>
      </c>
      <c r="N13" s="62" t="s">
        <v>87</v>
      </c>
      <c r="O13" s="20">
        <v>1166950</v>
      </c>
      <c r="P13" s="69" t="s">
        <v>88</v>
      </c>
      <c r="Q13" s="62" t="s">
        <v>89</v>
      </c>
    </row>
    <row r="14" spans="1:17" ht="28.9" customHeight="1" x14ac:dyDescent="0.2">
      <c r="A14" s="58" t="s">
        <v>90</v>
      </c>
      <c r="B14" s="59" t="s">
        <v>91</v>
      </c>
      <c r="C14" s="60" t="s">
        <v>92</v>
      </c>
      <c r="D14" s="23" t="s">
        <v>93</v>
      </c>
      <c r="E14" s="23" t="s">
        <v>94</v>
      </c>
      <c r="F14" s="23" t="s">
        <v>76</v>
      </c>
      <c r="G14" s="23" t="s">
        <v>95</v>
      </c>
      <c r="H14" s="23"/>
      <c r="I14" s="23" t="s">
        <v>96</v>
      </c>
      <c r="J14" s="23" t="s">
        <v>97</v>
      </c>
      <c r="K14" s="15">
        <v>247908</v>
      </c>
      <c r="L14" s="16">
        <f>K14*0.25</f>
        <v>61977</v>
      </c>
      <c r="M14" s="20">
        <f>K14*1.25</f>
        <v>309885</v>
      </c>
      <c r="N14" s="62" t="s">
        <v>98</v>
      </c>
      <c r="O14" s="17">
        <v>309885</v>
      </c>
      <c r="P14" s="62"/>
      <c r="Q14" s="67"/>
    </row>
    <row r="15" spans="1:17" ht="25.5" x14ac:dyDescent="0.2">
      <c r="A15" s="58" t="s">
        <v>99</v>
      </c>
      <c r="B15" s="59" t="s">
        <v>100</v>
      </c>
      <c r="C15" s="60" t="s">
        <v>101</v>
      </c>
      <c r="D15" s="23" t="s">
        <v>102</v>
      </c>
      <c r="E15" s="23"/>
      <c r="F15" s="23" t="s">
        <v>21</v>
      </c>
      <c r="G15" s="23" t="s">
        <v>103</v>
      </c>
      <c r="H15" s="23"/>
      <c r="I15" s="23" t="s">
        <v>104</v>
      </c>
      <c r="J15" s="23" t="s">
        <v>105</v>
      </c>
      <c r="K15" s="15">
        <v>170569.47</v>
      </c>
      <c r="L15" s="16">
        <f t="shared" ref="L15:L26" si="2">K15*0.25</f>
        <v>42642.3675</v>
      </c>
      <c r="M15" s="20">
        <f t="shared" ref="M15:M24" si="3">K15*1.25</f>
        <v>213211.83749999999</v>
      </c>
      <c r="N15" s="62" t="s">
        <v>106</v>
      </c>
      <c r="O15" s="17">
        <v>213211.84</v>
      </c>
      <c r="P15" s="62"/>
      <c r="Q15" s="67"/>
    </row>
    <row r="16" spans="1:17" ht="38.25" x14ac:dyDescent="0.2">
      <c r="A16" s="58" t="s">
        <v>107</v>
      </c>
      <c r="B16" s="59" t="s">
        <v>108</v>
      </c>
      <c r="C16" s="60" t="s">
        <v>109</v>
      </c>
      <c r="D16" s="23" t="s">
        <v>110</v>
      </c>
      <c r="E16" s="23"/>
      <c r="F16" s="23" t="s">
        <v>21</v>
      </c>
      <c r="G16" s="23" t="s">
        <v>111</v>
      </c>
      <c r="H16" s="23"/>
      <c r="I16" s="23" t="s">
        <v>112</v>
      </c>
      <c r="J16" s="23" t="s">
        <v>24</v>
      </c>
      <c r="K16" s="15">
        <v>78000</v>
      </c>
      <c r="L16" s="16">
        <v>0</v>
      </c>
      <c r="M16" s="20">
        <f>K16</f>
        <v>78000</v>
      </c>
      <c r="N16" s="62" t="s">
        <v>25</v>
      </c>
      <c r="O16" s="20">
        <v>72000</v>
      </c>
      <c r="P16" s="62"/>
      <c r="Q16" s="67"/>
    </row>
    <row r="17" spans="1:17" ht="25.5" x14ac:dyDescent="0.2">
      <c r="A17" s="58" t="s">
        <v>113</v>
      </c>
      <c r="B17" s="59" t="s">
        <v>114</v>
      </c>
      <c r="C17" s="60" t="s">
        <v>115</v>
      </c>
      <c r="D17" s="23" t="s">
        <v>116</v>
      </c>
      <c r="E17" s="23"/>
      <c r="F17" s="23" t="s">
        <v>21</v>
      </c>
      <c r="G17" s="23" t="s">
        <v>117</v>
      </c>
      <c r="H17" s="23"/>
      <c r="I17" s="23" t="s">
        <v>118</v>
      </c>
      <c r="J17" s="23" t="s">
        <v>119</v>
      </c>
      <c r="K17" s="15">
        <v>69100</v>
      </c>
      <c r="L17" s="16">
        <f t="shared" ref="L17:L18" si="4">K17*0.25</f>
        <v>17275</v>
      </c>
      <c r="M17" s="20">
        <f t="shared" ref="M17:M18" si="5">K17*1.25</f>
        <v>86375</v>
      </c>
      <c r="N17" s="62" t="s">
        <v>120</v>
      </c>
      <c r="O17" s="20">
        <v>86375</v>
      </c>
      <c r="P17" s="62"/>
      <c r="Q17" s="62" t="s">
        <v>121</v>
      </c>
    </row>
    <row r="18" spans="1:17" ht="29.1" customHeight="1" x14ac:dyDescent="0.2">
      <c r="A18" s="58" t="s">
        <v>122</v>
      </c>
      <c r="B18" s="59" t="s">
        <v>123</v>
      </c>
      <c r="C18" s="60" t="s">
        <v>124</v>
      </c>
      <c r="D18" s="23" t="s">
        <v>125</v>
      </c>
      <c r="E18" s="23"/>
      <c r="F18" s="23" t="s">
        <v>21</v>
      </c>
      <c r="G18" s="23" t="s">
        <v>126</v>
      </c>
      <c r="H18" s="23"/>
      <c r="I18" s="23" t="s">
        <v>118</v>
      </c>
      <c r="J18" s="23" t="s">
        <v>119</v>
      </c>
      <c r="K18" s="15">
        <v>21224.11</v>
      </c>
      <c r="L18" s="16">
        <f t="shared" si="4"/>
        <v>5306.0275000000001</v>
      </c>
      <c r="M18" s="20">
        <f t="shared" si="5"/>
        <v>26530.137500000001</v>
      </c>
      <c r="N18" s="62" t="s">
        <v>127</v>
      </c>
      <c r="O18" s="20">
        <v>26530.14</v>
      </c>
      <c r="P18" s="62"/>
      <c r="Q18" s="62" t="s">
        <v>128</v>
      </c>
    </row>
    <row r="19" spans="1:17" ht="29.1" customHeight="1" x14ac:dyDescent="0.2">
      <c r="A19" s="58" t="s">
        <v>129</v>
      </c>
      <c r="B19" s="59" t="s">
        <v>130</v>
      </c>
      <c r="C19" s="60" t="s">
        <v>131</v>
      </c>
      <c r="D19" s="23" t="s">
        <v>132</v>
      </c>
      <c r="E19" s="23"/>
      <c r="F19" s="23" t="s">
        <v>21</v>
      </c>
      <c r="G19" s="23" t="s">
        <v>133</v>
      </c>
      <c r="H19" s="23"/>
      <c r="I19" s="23" t="s">
        <v>134</v>
      </c>
      <c r="J19" s="23" t="s">
        <v>135</v>
      </c>
      <c r="K19" s="15">
        <v>35000</v>
      </c>
      <c r="L19" s="16">
        <f t="shared" si="2"/>
        <v>8750</v>
      </c>
      <c r="M19" s="20">
        <f t="shared" si="3"/>
        <v>43750</v>
      </c>
      <c r="N19" s="62" t="s">
        <v>136</v>
      </c>
      <c r="O19" s="20">
        <v>43750</v>
      </c>
      <c r="P19" s="62"/>
      <c r="Q19" s="67"/>
    </row>
    <row r="20" spans="1:17" ht="38.25" x14ac:dyDescent="0.2">
      <c r="A20" s="58" t="s">
        <v>137</v>
      </c>
      <c r="B20" s="59" t="s">
        <v>138</v>
      </c>
      <c r="C20" s="60" t="s">
        <v>139</v>
      </c>
      <c r="D20" s="23" t="s">
        <v>140</v>
      </c>
      <c r="E20" s="23"/>
      <c r="F20" s="23" t="s">
        <v>21</v>
      </c>
      <c r="G20" s="23" t="s">
        <v>141</v>
      </c>
      <c r="H20" s="23"/>
      <c r="I20" s="23" t="s">
        <v>142</v>
      </c>
      <c r="J20" s="23" t="s">
        <v>143</v>
      </c>
      <c r="K20" s="15">
        <v>166030</v>
      </c>
      <c r="L20" s="16">
        <f t="shared" si="2"/>
        <v>41507.5</v>
      </c>
      <c r="M20" s="20">
        <f t="shared" si="3"/>
        <v>207537.5</v>
      </c>
      <c r="N20" s="62" t="s">
        <v>144</v>
      </c>
      <c r="O20" s="20">
        <v>207537.5</v>
      </c>
      <c r="P20" s="62"/>
      <c r="Q20" s="67"/>
    </row>
    <row r="21" spans="1:17" ht="51" x14ac:dyDescent="0.2">
      <c r="A21" s="58" t="s">
        <v>145</v>
      </c>
      <c r="B21" s="59" t="s">
        <v>146</v>
      </c>
      <c r="C21" s="60" t="s">
        <v>147</v>
      </c>
      <c r="D21" s="23" t="s">
        <v>50</v>
      </c>
      <c r="E21" s="23"/>
      <c r="F21" s="23" t="s">
        <v>21</v>
      </c>
      <c r="G21" s="23" t="s">
        <v>148</v>
      </c>
      <c r="H21" s="23"/>
      <c r="I21" s="23" t="s">
        <v>149</v>
      </c>
      <c r="J21" s="23" t="s">
        <v>150</v>
      </c>
      <c r="K21" s="15">
        <v>192900</v>
      </c>
      <c r="L21" s="16">
        <f t="shared" si="2"/>
        <v>48225</v>
      </c>
      <c r="M21" s="20">
        <f t="shared" si="3"/>
        <v>241125</v>
      </c>
      <c r="N21" s="62" t="s">
        <v>151</v>
      </c>
      <c r="O21" s="20">
        <v>241125</v>
      </c>
      <c r="P21" s="62"/>
      <c r="Q21" s="67"/>
    </row>
    <row r="22" spans="1:17" ht="51" x14ac:dyDescent="0.2">
      <c r="A22" s="58" t="s">
        <v>152</v>
      </c>
      <c r="B22" s="59" t="s">
        <v>153</v>
      </c>
      <c r="C22" s="60" t="s">
        <v>154</v>
      </c>
      <c r="D22" s="23" t="s">
        <v>50</v>
      </c>
      <c r="E22" s="23"/>
      <c r="F22" s="23" t="s">
        <v>21</v>
      </c>
      <c r="G22" s="23" t="s">
        <v>148</v>
      </c>
      <c r="H22" s="23"/>
      <c r="I22" s="23" t="s">
        <v>149</v>
      </c>
      <c r="J22" s="23" t="s">
        <v>150</v>
      </c>
      <c r="K22" s="15">
        <v>192900</v>
      </c>
      <c r="L22" s="16">
        <f t="shared" si="2"/>
        <v>48225</v>
      </c>
      <c r="M22" s="20">
        <f t="shared" si="3"/>
        <v>241125</v>
      </c>
      <c r="N22" s="62" t="s">
        <v>155</v>
      </c>
      <c r="O22" s="20">
        <v>241125</v>
      </c>
      <c r="P22" s="62"/>
      <c r="Q22" s="67"/>
    </row>
    <row r="23" spans="1:17" ht="63.75" x14ac:dyDescent="0.2">
      <c r="A23" s="58" t="s">
        <v>156</v>
      </c>
      <c r="B23" s="59" t="s">
        <v>157</v>
      </c>
      <c r="C23" s="60" t="s">
        <v>158</v>
      </c>
      <c r="D23" s="23" t="s">
        <v>50</v>
      </c>
      <c r="E23" s="23"/>
      <c r="F23" s="23" t="s">
        <v>21</v>
      </c>
      <c r="G23" s="23" t="s">
        <v>148</v>
      </c>
      <c r="H23" s="23"/>
      <c r="I23" s="23" t="s">
        <v>159</v>
      </c>
      <c r="J23" s="23" t="s">
        <v>160</v>
      </c>
      <c r="K23" s="15">
        <v>175000</v>
      </c>
      <c r="L23" s="16">
        <f t="shared" si="2"/>
        <v>43750</v>
      </c>
      <c r="M23" s="20">
        <f t="shared" si="3"/>
        <v>218750</v>
      </c>
      <c r="N23" s="62" t="s">
        <v>161</v>
      </c>
      <c r="O23" s="20">
        <v>218750</v>
      </c>
      <c r="P23" s="62"/>
      <c r="Q23" s="67"/>
    </row>
    <row r="24" spans="1:17" ht="51" x14ac:dyDescent="0.2">
      <c r="A24" s="58" t="s">
        <v>162</v>
      </c>
      <c r="B24" s="59" t="s">
        <v>163</v>
      </c>
      <c r="C24" s="60" t="s">
        <v>164</v>
      </c>
      <c r="D24" s="23" t="s">
        <v>165</v>
      </c>
      <c r="E24" s="23"/>
      <c r="F24" s="23" t="s">
        <v>21</v>
      </c>
      <c r="G24" s="23" t="s">
        <v>166</v>
      </c>
      <c r="H24" s="23"/>
      <c r="I24" s="23" t="s">
        <v>167</v>
      </c>
      <c r="J24" s="23" t="s">
        <v>168</v>
      </c>
      <c r="K24" s="15">
        <v>125000</v>
      </c>
      <c r="L24" s="16">
        <f t="shared" si="2"/>
        <v>31250</v>
      </c>
      <c r="M24" s="20">
        <f t="shared" si="3"/>
        <v>156250</v>
      </c>
      <c r="N24" s="62" t="s">
        <v>169</v>
      </c>
      <c r="O24" s="20">
        <v>156250</v>
      </c>
      <c r="P24" s="62"/>
      <c r="Q24" s="67"/>
    </row>
    <row r="25" spans="1:17" ht="62.85" customHeight="1" x14ac:dyDescent="0.2">
      <c r="A25" s="58" t="s">
        <v>170</v>
      </c>
      <c r="B25" s="59" t="s">
        <v>72</v>
      </c>
      <c r="C25" s="60" t="s">
        <v>171</v>
      </c>
      <c r="D25" s="23" t="s">
        <v>74</v>
      </c>
      <c r="E25" s="23" t="s">
        <v>172</v>
      </c>
      <c r="F25" s="23" t="s">
        <v>76</v>
      </c>
      <c r="G25" s="23" t="s">
        <v>77</v>
      </c>
      <c r="H25" s="23"/>
      <c r="I25" s="23" t="s">
        <v>173</v>
      </c>
      <c r="J25" s="23" t="s">
        <v>174</v>
      </c>
      <c r="K25" s="15">
        <v>192360</v>
      </c>
      <c r="L25" s="16">
        <f t="shared" si="2"/>
        <v>48090</v>
      </c>
      <c r="M25" s="20">
        <f>K25*1.25</f>
        <v>240450</v>
      </c>
      <c r="N25" s="62" t="s">
        <v>175</v>
      </c>
      <c r="O25" s="20">
        <v>190450</v>
      </c>
      <c r="P25" s="69" t="s">
        <v>176</v>
      </c>
      <c r="Q25" s="62" t="s">
        <v>89</v>
      </c>
    </row>
    <row r="26" spans="1:17" ht="38.25" x14ac:dyDescent="0.2">
      <c r="A26" s="58" t="s">
        <v>177</v>
      </c>
      <c r="B26" s="59" t="s">
        <v>178</v>
      </c>
      <c r="C26" s="60" t="s">
        <v>179</v>
      </c>
      <c r="D26" s="23" t="s">
        <v>180</v>
      </c>
      <c r="E26" s="23"/>
      <c r="F26" s="23" t="s">
        <v>21</v>
      </c>
      <c r="G26" s="23" t="s">
        <v>181</v>
      </c>
      <c r="H26" s="23"/>
      <c r="I26" s="23" t="s">
        <v>182</v>
      </c>
      <c r="J26" s="23" t="s">
        <v>183</v>
      </c>
      <c r="K26" s="15">
        <v>39097.599999999999</v>
      </c>
      <c r="L26" s="16">
        <f t="shared" si="2"/>
        <v>9774.4</v>
      </c>
      <c r="M26" s="20">
        <f>K26*1.25</f>
        <v>48872</v>
      </c>
      <c r="N26" s="62" t="s">
        <v>184</v>
      </c>
      <c r="O26" s="20">
        <v>56503</v>
      </c>
      <c r="P26" s="69"/>
      <c r="Q26" s="62"/>
    </row>
    <row r="27" spans="1:17" s="22" customFormat="1" ht="27.95" customHeight="1" x14ac:dyDescent="0.2">
      <c r="A27" s="58" t="s">
        <v>185</v>
      </c>
      <c r="B27" s="59" t="s">
        <v>186</v>
      </c>
      <c r="C27" s="60" t="s">
        <v>187</v>
      </c>
      <c r="D27" s="23" t="s">
        <v>188</v>
      </c>
      <c r="E27" s="23"/>
      <c r="F27" s="23" t="s">
        <v>21</v>
      </c>
      <c r="G27" s="23" t="s">
        <v>189</v>
      </c>
      <c r="H27" s="23"/>
      <c r="I27" s="23" t="s">
        <v>25</v>
      </c>
      <c r="J27" s="23" t="s">
        <v>190</v>
      </c>
      <c r="K27" s="15">
        <v>107876.4</v>
      </c>
      <c r="L27" s="16">
        <v>14023.93</v>
      </c>
      <c r="M27" s="20">
        <v>121900.33</v>
      </c>
      <c r="N27" s="62" t="s">
        <v>184</v>
      </c>
      <c r="O27" s="17">
        <v>113051.17</v>
      </c>
      <c r="P27" s="62"/>
      <c r="Q27" s="67"/>
    </row>
    <row r="28" spans="1:17" s="22" customFormat="1" ht="27.95" customHeight="1" x14ac:dyDescent="0.2">
      <c r="A28" s="58" t="s">
        <v>191</v>
      </c>
      <c r="B28" s="59" t="s">
        <v>192</v>
      </c>
      <c r="C28" s="60" t="s">
        <v>193</v>
      </c>
      <c r="D28" s="23" t="s">
        <v>194</v>
      </c>
      <c r="E28" s="23"/>
      <c r="F28" s="23" t="s">
        <v>21</v>
      </c>
      <c r="G28" s="23" t="s">
        <v>195</v>
      </c>
      <c r="H28" s="23"/>
      <c r="I28" s="23" t="s">
        <v>25</v>
      </c>
      <c r="J28" s="23" t="s">
        <v>183</v>
      </c>
      <c r="K28" s="15">
        <v>29403.58</v>
      </c>
      <c r="L28" s="16">
        <f t="shared" ref="L28" si="6">K28*0.25</f>
        <v>7350.8950000000004</v>
      </c>
      <c r="M28" s="20">
        <f>K28*1.25</f>
        <v>36754.475000000006</v>
      </c>
      <c r="N28" s="62" t="s">
        <v>184</v>
      </c>
      <c r="O28" s="17">
        <v>27635.03</v>
      </c>
      <c r="P28" s="62"/>
      <c r="Q28" s="67"/>
    </row>
  </sheetData>
  <mergeCells count="1">
    <mergeCell ref="A1:Q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B0C3-333F-473E-BD5F-81DD588B1931}">
  <sheetPr>
    <pageSetUpPr fitToPage="1"/>
  </sheetPr>
  <dimension ref="A1:Q31"/>
  <sheetViews>
    <sheetView zoomScaleNormal="100" zoomScaleSheetLayoutView="90" workbookViewId="0">
      <selection sqref="A1:Q1"/>
    </sheetView>
  </sheetViews>
  <sheetFormatPr defaultColWidth="9.140625" defaultRowHeight="12.75" x14ac:dyDescent="0.2"/>
  <cols>
    <col min="1" max="1" width="7" style="3" customWidth="1"/>
    <col min="2" max="2" width="14.42578125" style="3" customWidth="1"/>
    <col min="3" max="3" width="36.7109375" style="1" customWidth="1"/>
    <col min="4" max="4" width="13.7109375" style="1" bestFit="1" customWidth="1"/>
    <col min="5" max="5" width="14.42578125" style="1" bestFit="1" customWidth="1"/>
    <col min="6" max="6" width="15.5703125" style="1" bestFit="1" customWidth="1"/>
    <col min="7" max="7" width="29" style="1" customWidth="1"/>
    <col min="8" max="8" width="17.140625" style="1" bestFit="1" customWidth="1"/>
    <col min="9" max="9" width="14.5703125" style="1" customWidth="1"/>
    <col min="10" max="10" width="15.85546875" style="1" customWidth="1"/>
    <col min="11" max="11" width="13.85546875" style="1" customWidth="1"/>
    <col min="12" max="12" width="12.42578125" style="3" bestFit="1" customWidth="1"/>
    <col min="13" max="13" width="13.42578125" style="3" bestFit="1" customWidth="1"/>
    <col min="14" max="14" width="14.5703125" style="3" customWidth="1"/>
    <col min="15" max="15" width="15.42578125" style="3" bestFit="1" customWidth="1"/>
    <col min="16" max="16" width="15.28515625" style="3" customWidth="1"/>
    <col min="17" max="17" width="15.7109375" style="3" customWidth="1"/>
    <col min="18" max="19" width="9.140625" style="1"/>
    <col min="20" max="20" width="9.85546875" style="1" bestFit="1" customWidth="1"/>
    <col min="21" max="16384" width="9.140625" style="1"/>
  </cols>
  <sheetData>
    <row r="1" spans="1:17" ht="20.25" x14ac:dyDescent="0.3">
      <c r="A1" s="81" t="s">
        <v>196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75" x14ac:dyDescent="0.25">
      <c r="A2" s="2"/>
      <c r="B2" s="2"/>
    </row>
    <row r="3" spans="1:17" s="7" customFormat="1" ht="63.75" x14ac:dyDescent="0.2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s="11" customFormat="1" ht="12" x14ac:dyDescent="0.2">
      <c r="A4" s="8">
        <v>1</v>
      </c>
      <c r="B4" s="8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</row>
    <row r="5" spans="1:17" ht="27.95" customHeight="1" x14ac:dyDescent="0.2">
      <c r="A5" s="12" t="s">
        <v>18</v>
      </c>
      <c r="B5" s="24" t="s">
        <v>197</v>
      </c>
      <c r="C5" s="13" t="s">
        <v>198</v>
      </c>
      <c r="D5" s="14" t="s">
        <v>199</v>
      </c>
      <c r="E5" s="14"/>
      <c r="F5" s="14" t="s">
        <v>21</v>
      </c>
      <c r="G5" s="14" t="s">
        <v>200</v>
      </c>
      <c r="H5" s="14"/>
      <c r="I5" s="14" t="s">
        <v>201</v>
      </c>
      <c r="J5" s="14" t="s">
        <v>190</v>
      </c>
      <c r="K5" s="15">
        <v>36000</v>
      </c>
      <c r="L5" s="16">
        <f>K5*0.25</f>
        <v>9000</v>
      </c>
      <c r="M5" s="17">
        <f t="shared" ref="M5:M13" si="0">K5+L5</f>
        <v>45000</v>
      </c>
      <c r="N5" s="18" t="s">
        <v>184</v>
      </c>
      <c r="O5" s="17">
        <v>45000</v>
      </c>
      <c r="P5" s="18"/>
      <c r="Q5" s="19"/>
    </row>
    <row r="6" spans="1:17" s="22" customFormat="1" ht="27.95" customHeight="1" x14ac:dyDescent="0.2">
      <c r="A6" s="12" t="s">
        <v>26</v>
      </c>
      <c r="B6" s="12">
        <v>2018</v>
      </c>
      <c r="C6" s="13" t="s">
        <v>19</v>
      </c>
      <c r="D6" s="23" t="s">
        <v>202</v>
      </c>
      <c r="E6" s="14"/>
      <c r="F6" s="14" t="s">
        <v>21</v>
      </c>
      <c r="G6" s="14" t="s">
        <v>22</v>
      </c>
      <c r="H6" s="14"/>
      <c r="I6" s="14" t="s">
        <v>203</v>
      </c>
      <c r="J6" s="14" t="s">
        <v>204</v>
      </c>
      <c r="K6" s="15">
        <v>44773.5</v>
      </c>
      <c r="L6" s="16">
        <f>K6*0.25</f>
        <v>11193.375</v>
      </c>
      <c r="M6" s="17">
        <f t="shared" si="0"/>
        <v>55966.875</v>
      </c>
      <c r="N6" s="18" t="s">
        <v>184</v>
      </c>
      <c r="O6" s="17">
        <f>12068.23+43015.57</f>
        <v>55083.8</v>
      </c>
      <c r="P6" s="18"/>
      <c r="Q6" s="21"/>
    </row>
    <row r="7" spans="1:17" ht="89.25" x14ac:dyDescent="0.2">
      <c r="A7" s="12" t="s">
        <v>32</v>
      </c>
      <c r="B7" s="24" t="s">
        <v>205</v>
      </c>
      <c r="C7" s="13" t="s">
        <v>206</v>
      </c>
      <c r="D7" s="23" t="s">
        <v>207</v>
      </c>
      <c r="E7" s="14"/>
      <c r="F7" s="14" t="s">
        <v>21</v>
      </c>
      <c r="G7" s="14" t="s">
        <v>208</v>
      </c>
      <c r="H7" s="14"/>
      <c r="I7" s="14" t="s">
        <v>209</v>
      </c>
      <c r="J7" s="14" t="s">
        <v>210</v>
      </c>
      <c r="K7" s="15">
        <v>168000</v>
      </c>
      <c r="L7" s="16">
        <f>K7*0.25</f>
        <v>42000</v>
      </c>
      <c r="M7" s="17">
        <f t="shared" si="0"/>
        <v>210000</v>
      </c>
      <c r="N7" s="18" t="s">
        <v>211</v>
      </c>
      <c r="O7" s="17">
        <v>208687.5</v>
      </c>
      <c r="P7" s="18"/>
      <c r="Q7" s="21"/>
    </row>
    <row r="8" spans="1:17" ht="38.25" x14ac:dyDescent="0.2">
      <c r="A8" s="12" t="s">
        <v>39</v>
      </c>
      <c r="B8" s="24" t="s">
        <v>212</v>
      </c>
      <c r="C8" s="13" t="s">
        <v>213</v>
      </c>
      <c r="D8" s="23" t="s">
        <v>214</v>
      </c>
      <c r="E8" s="14"/>
      <c r="F8" s="14" t="s">
        <v>21</v>
      </c>
      <c r="G8" s="14" t="s">
        <v>215</v>
      </c>
      <c r="H8" s="14"/>
      <c r="I8" s="14" t="s">
        <v>216</v>
      </c>
      <c r="J8" s="14" t="s">
        <v>183</v>
      </c>
      <c r="K8" s="15">
        <v>21600</v>
      </c>
      <c r="L8" s="16">
        <f>K8*0.25</f>
        <v>5400</v>
      </c>
      <c r="M8" s="17">
        <f t="shared" si="0"/>
        <v>27000</v>
      </c>
      <c r="N8" s="18" t="s">
        <v>184</v>
      </c>
      <c r="O8" s="17">
        <v>1800</v>
      </c>
      <c r="P8" s="18"/>
      <c r="Q8" s="21"/>
    </row>
    <row r="9" spans="1:17" ht="38.25" x14ac:dyDescent="0.2">
      <c r="A9" s="12" t="s">
        <v>55</v>
      </c>
      <c r="B9" s="24"/>
      <c r="C9" s="13" t="s">
        <v>217</v>
      </c>
      <c r="D9" s="23" t="s">
        <v>218</v>
      </c>
      <c r="E9" s="14" t="s">
        <v>219</v>
      </c>
      <c r="F9" s="14" t="s">
        <v>76</v>
      </c>
      <c r="G9" s="14" t="s">
        <v>220</v>
      </c>
      <c r="H9" s="14"/>
      <c r="I9" s="14" t="s">
        <v>221</v>
      </c>
      <c r="J9" s="14" t="s">
        <v>222</v>
      </c>
      <c r="K9" s="15">
        <v>53954</v>
      </c>
      <c r="L9" s="16">
        <v>0</v>
      </c>
      <c r="M9" s="20">
        <f t="shared" si="0"/>
        <v>53954</v>
      </c>
      <c r="N9" s="18" t="s">
        <v>223</v>
      </c>
      <c r="O9" s="17">
        <v>51984.5</v>
      </c>
      <c r="P9" s="18"/>
      <c r="Q9" s="28" t="s">
        <v>224</v>
      </c>
    </row>
    <row r="10" spans="1:17" ht="38.25" x14ac:dyDescent="0.2">
      <c r="A10" s="12" t="s">
        <v>63</v>
      </c>
      <c r="B10" s="12"/>
      <c r="C10" s="13" t="s">
        <v>225</v>
      </c>
      <c r="D10" s="23" t="s">
        <v>218</v>
      </c>
      <c r="E10" s="14" t="s">
        <v>219</v>
      </c>
      <c r="F10" s="14" t="s">
        <v>76</v>
      </c>
      <c r="G10" s="14" t="s">
        <v>220</v>
      </c>
      <c r="H10" s="14"/>
      <c r="I10" s="14" t="s">
        <v>221</v>
      </c>
      <c r="J10" s="14" t="s">
        <v>222</v>
      </c>
      <c r="K10" s="15">
        <v>111.2</v>
      </c>
      <c r="L10" s="16">
        <f>K10*0.25</f>
        <v>27.8</v>
      </c>
      <c r="M10" s="20">
        <f t="shared" si="0"/>
        <v>139</v>
      </c>
      <c r="N10" s="18" t="s">
        <v>223</v>
      </c>
      <c r="O10" s="20">
        <v>10</v>
      </c>
      <c r="P10" s="18"/>
      <c r="Q10" s="28" t="s">
        <v>224</v>
      </c>
    </row>
    <row r="11" spans="1:17" ht="25.5" x14ac:dyDescent="0.2">
      <c r="A11" s="12" t="s">
        <v>47</v>
      </c>
      <c r="B11" s="24" t="s">
        <v>226</v>
      </c>
      <c r="C11" s="13" t="s">
        <v>227</v>
      </c>
      <c r="D11" s="23" t="s">
        <v>228</v>
      </c>
      <c r="E11" s="14"/>
      <c r="F11" s="14" t="s">
        <v>21</v>
      </c>
      <c r="G11" s="14" t="s">
        <v>35</v>
      </c>
      <c r="H11" s="14"/>
      <c r="I11" s="14" t="s">
        <v>229</v>
      </c>
      <c r="J11" s="14" t="s">
        <v>230</v>
      </c>
      <c r="K11" s="15">
        <v>191664.8</v>
      </c>
      <c r="L11" s="16">
        <f>K11*0.25</f>
        <v>47916.2</v>
      </c>
      <c r="M11" s="20">
        <f t="shared" si="0"/>
        <v>239581</v>
      </c>
      <c r="N11" s="18" t="s">
        <v>231</v>
      </c>
      <c r="O11" s="17">
        <v>240077.45</v>
      </c>
      <c r="P11" s="18"/>
      <c r="Q11" s="21"/>
    </row>
    <row r="12" spans="1:17" ht="25.5" x14ac:dyDescent="0.2">
      <c r="A12" s="12" t="s">
        <v>71</v>
      </c>
      <c r="B12" s="24" t="s">
        <v>232</v>
      </c>
      <c r="C12" s="13" t="s">
        <v>233</v>
      </c>
      <c r="D12" s="23" t="s">
        <v>234</v>
      </c>
      <c r="E12" s="14"/>
      <c r="F12" s="14" t="s">
        <v>21</v>
      </c>
      <c r="G12" s="14" t="s">
        <v>43</v>
      </c>
      <c r="H12" s="14"/>
      <c r="I12" s="14" t="s">
        <v>229</v>
      </c>
      <c r="J12" s="14" t="s">
        <v>235</v>
      </c>
      <c r="K12" s="15">
        <v>84670</v>
      </c>
      <c r="L12" s="16">
        <f>K12*0.25</f>
        <v>21167.5</v>
      </c>
      <c r="M12" s="20">
        <f t="shared" si="0"/>
        <v>105837.5</v>
      </c>
      <c r="N12" s="18" t="s">
        <v>236</v>
      </c>
      <c r="O12" s="17">
        <v>106527.6</v>
      </c>
      <c r="P12" s="18"/>
      <c r="Q12" s="28"/>
    </row>
    <row r="13" spans="1:17" ht="25.5" x14ac:dyDescent="0.2">
      <c r="A13" s="12" t="s">
        <v>82</v>
      </c>
      <c r="B13" s="24" t="s">
        <v>237</v>
      </c>
      <c r="C13" s="13" t="s">
        <v>238</v>
      </c>
      <c r="D13" s="23" t="s">
        <v>239</v>
      </c>
      <c r="E13" s="14"/>
      <c r="F13" s="14" t="s">
        <v>21</v>
      </c>
      <c r="G13" s="14" t="s">
        <v>117</v>
      </c>
      <c r="H13" s="14"/>
      <c r="I13" s="14" t="s">
        <v>240</v>
      </c>
      <c r="J13" s="14" t="s">
        <v>168</v>
      </c>
      <c r="K13" s="15">
        <f>35520+13440+850</f>
        <v>49810</v>
      </c>
      <c r="L13" s="16">
        <f>K13*0.25</f>
        <v>12452.5</v>
      </c>
      <c r="M13" s="20">
        <f t="shared" si="0"/>
        <v>62262.5</v>
      </c>
      <c r="N13" s="18" t="s">
        <v>241</v>
      </c>
      <c r="O13" s="20">
        <v>62262.5</v>
      </c>
      <c r="P13" s="18"/>
      <c r="Q13" s="28" t="s">
        <v>242</v>
      </c>
    </row>
    <row r="14" spans="1:17" ht="38.25" x14ac:dyDescent="0.2">
      <c r="A14" s="12" t="s">
        <v>90</v>
      </c>
      <c r="B14" s="24"/>
      <c r="C14" s="13" t="s">
        <v>243</v>
      </c>
      <c r="D14" s="23" t="s">
        <v>244</v>
      </c>
      <c r="E14" s="14" t="s">
        <v>245</v>
      </c>
      <c r="F14" s="14" t="s">
        <v>76</v>
      </c>
      <c r="G14" s="14" t="s">
        <v>246</v>
      </c>
      <c r="H14" s="14"/>
      <c r="I14" s="14" t="s">
        <v>247</v>
      </c>
      <c r="J14" s="14" t="s">
        <v>248</v>
      </c>
      <c r="K14" s="15">
        <v>201936</v>
      </c>
      <c r="L14" s="16">
        <f>K14*0.25</f>
        <v>50484</v>
      </c>
      <c r="M14" s="20">
        <f>K14+L14</f>
        <v>252420</v>
      </c>
      <c r="N14" s="18" t="s">
        <v>249</v>
      </c>
      <c r="O14" s="17">
        <v>123253.69</v>
      </c>
      <c r="P14" s="18"/>
      <c r="Q14" s="28" t="s">
        <v>224</v>
      </c>
    </row>
    <row r="15" spans="1:17" ht="38.25" x14ac:dyDescent="0.2">
      <c r="A15" s="12" t="s">
        <v>99</v>
      </c>
      <c r="B15" s="24"/>
      <c r="C15" s="13" t="s">
        <v>250</v>
      </c>
      <c r="D15" s="23" t="s">
        <v>244</v>
      </c>
      <c r="E15" s="14" t="s">
        <v>245</v>
      </c>
      <c r="F15" s="14" t="s">
        <v>76</v>
      </c>
      <c r="G15" s="14" t="s">
        <v>246</v>
      </c>
      <c r="H15" s="14"/>
      <c r="I15" s="14" t="s">
        <v>247</v>
      </c>
      <c r="J15" s="14" t="s">
        <v>248</v>
      </c>
      <c r="K15" s="15">
        <v>5118.3999999999996</v>
      </c>
      <c r="L15" s="16">
        <f t="shared" ref="L15:L31" si="1">K15*0.25</f>
        <v>1279.5999999999999</v>
      </c>
      <c r="M15" s="20">
        <f t="shared" ref="M15:M22" si="2">K15+L15</f>
        <v>6398</v>
      </c>
      <c r="N15" s="18" t="s">
        <v>249</v>
      </c>
      <c r="O15" s="17">
        <v>2684.1</v>
      </c>
      <c r="P15" s="18"/>
      <c r="Q15" s="28" t="s">
        <v>224</v>
      </c>
    </row>
    <row r="16" spans="1:17" ht="38.25" x14ac:dyDescent="0.2">
      <c r="A16" s="12" t="s">
        <v>107</v>
      </c>
      <c r="B16" s="24"/>
      <c r="C16" s="13" t="s">
        <v>251</v>
      </c>
      <c r="D16" s="23" t="s">
        <v>244</v>
      </c>
      <c r="E16" s="14" t="s">
        <v>245</v>
      </c>
      <c r="F16" s="14" t="s">
        <v>76</v>
      </c>
      <c r="G16" s="14" t="s">
        <v>246</v>
      </c>
      <c r="H16" s="14"/>
      <c r="I16" s="14" t="s">
        <v>247</v>
      </c>
      <c r="J16" s="14" t="s">
        <v>248</v>
      </c>
      <c r="K16" s="15">
        <v>49851.9</v>
      </c>
      <c r="L16" s="16">
        <f t="shared" si="1"/>
        <v>12462.975</v>
      </c>
      <c r="M16" s="20">
        <f t="shared" si="2"/>
        <v>62314.875</v>
      </c>
      <c r="N16" s="18" t="s">
        <v>249</v>
      </c>
      <c r="O16" s="17">
        <v>21871.78</v>
      </c>
      <c r="P16" s="18"/>
      <c r="Q16" s="28" t="s">
        <v>224</v>
      </c>
    </row>
    <row r="17" spans="1:17" ht="27.95" customHeight="1" x14ac:dyDescent="0.2">
      <c r="A17" s="12" t="s">
        <v>113</v>
      </c>
      <c r="B17" s="24" t="s">
        <v>252</v>
      </c>
      <c r="C17" s="13" t="s">
        <v>253</v>
      </c>
      <c r="D17" s="23" t="s">
        <v>254</v>
      </c>
      <c r="E17" s="14"/>
      <c r="F17" s="14" t="s">
        <v>21</v>
      </c>
      <c r="G17" s="14" t="s">
        <v>255</v>
      </c>
      <c r="H17" s="14"/>
      <c r="I17" s="14" t="s">
        <v>256</v>
      </c>
      <c r="J17" s="14" t="s">
        <v>257</v>
      </c>
      <c r="K17" s="15">
        <v>108104</v>
      </c>
      <c r="L17" s="16">
        <f>K17*0.25</f>
        <v>27026</v>
      </c>
      <c r="M17" s="20">
        <f>K17+L17</f>
        <v>135130</v>
      </c>
      <c r="N17" s="18" t="s">
        <v>258</v>
      </c>
      <c r="O17" s="20">
        <v>96059</v>
      </c>
      <c r="P17" s="27"/>
      <c r="Q17" s="28"/>
    </row>
    <row r="18" spans="1:17" ht="29.1" customHeight="1" x14ac:dyDescent="0.2">
      <c r="A18" s="12" t="s">
        <v>122</v>
      </c>
      <c r="B18" s="24" t="s">
        <v>259</v>
      </c>
      <c r="C18" s="13" t="s">
        <v>260</v>
      </c>
      <c r="D18" s="23" t="s">
        <v>261</v>
      </c>
      <c r="E18" s="14"/>
      <c r="F18" s="14" t="s">
        <v>21</v>
      </c>
      <c r="G18" s="14" t="s">
        <v>262</v>
      </c>
      <c r="H18" s="14"/>
      <c r="I18" s="14" t="s">
        <v>263</v>
      </c>
      <c r="J18" s="14" t="s">
        <v>264</v>
      </c>
      <c r="K18" s="15">
        <v>69000</v>
      </c>
      <c r="L18" s="16">
        <f>K18*0.25</f>
        <v>17250</v>
      </c>
      <c r="M18" s="20">
        <f>K18+L18</f>
        <v>86250</v>
      </c>
      <c r="N18" s="18" t="s">
        <v>265</v>
      </c>
      <c r="O18" s="20">
        <v>70150</v>
      </c>
      <c r="P18" s="27"/>
      <c r="Q18" s="28" t="s">
        <v>266</v>
      </c>
    </row>
    <row r="19" spans="1:17" ht="29.1" customHeight="1" x14ac:dyDescent="0.2">
      <c r="A19" s="12" t="s">
        <v>129</v>
      </c>
      <c r="B19" s="24" t="s">
        <v>267</v>
      </c>
      <c r="C19" s="13" t="s">
        <v>268</v>
      </c>
      <c r="D19" s="23" t="s">
        <v>269</v>
      </c>
      <c r="E19" s="14"/>
      <c r="F19" s="14" t="s">
        <v>21</v>
      </c>
      <c r="G19" s="14" t="s">
        <v>270</v>
      </c>
      <c r="H19" s="14"/>
      <c r="I19" s="14" t="s">
        <v>271</v>
      </c>
      <c r="J19" s="14" t="s">
        <v>135</v>
      </c>
      <c r="K19" s="15">
        <f>25359+12840</f>
        <v>38199</v>
      </c>
      <c r="L19" s="16">
        <f>K19*0.25</f>
        <v>9549.75</v>
      </c>
      <c r="M19" s="20">
        <f>K19+L19</f>
        <v>47748.75</v>
      </c>
      <c r="N19" s="31">
        <v>43628</v>
      </c>
      <c r="O19" s="20">
        <v>47748.75</v>
      </c>
      <c r="P19" s="27"/>
      <c r="Q19" s="28" t="s">
        <v>272</v>
      </c>
    </row>
    <row r="20" spans="1:17" ht="29.1" customHeight="1" x14ac:dyDescent="0.2">
      <c r="A20" s="12" t="s">
        <v>137</v>
      </c>
      <c r="B20" s="24" t="s">
        <v>273</v>
      </c>
      <c r="C20" s="13" t="s">
        <v>274</v>
      </c>
      <c r="D20" s="23" t="s">
        <v>275</v>
      </c>
      <c r="E20" s="23" t="s">
        <v>276</v>
      </c>
      <c r="F20" s="14" t="s">
        <v>76</v>
      </c>
      <c r="G20" s="14" t="s">
        <v>277</v>
      </c>
      <c r="H20" s="14"/>
      <c r="I20" s="14" t="s">
        <v>278</v>
      </c>
      <c r="J20" s="14" t="s">
        <v>279</v>
      </c>
      <c r="K20" s="15">
        <v>259040.16</v>
      </c>
      <c r="L20" s="16">
        <f t="shared" si="1"/>
        <v>64760.04</v>
      </c>
      <c r="M20" s="20">
        <f t="shared" si="2"/>
        <v>323800.2</v>
      </c>
      <c r="N20" s="18" t="s">
        <v>280</v>
      </c>
      <c r="O20" s="20">
        <v>323800.2</v>
      </c>
      <c r="P20" s="18"/>
      <c r="Q20" s="19"/>
    </row>
    <row r="21" spans="1:17" ht="29.1" customHeight="1" x14ac:dyDescent="0.2">
      <c r="A21" s="12" t="s">
        <v>145</v>
      </c>
      <c r="B21" s="24" t="s">
        <v>281</v>
      </c>
      <c r="C21" s="13" t="s">
        <v>282</v>
      </c>
      <c r="D21" s="23" t="s">
        <v>283</v>
      </c>
      <c r="E21" s="14"/>
      <c r="F21" s="14" t="s">
        <v>21</v>
      </c>
      <c r="G21" s="14" t="s">
        <v>284</v>
      </c>
      <c r="H21" s="14"/>
      <c r="I21" s="14" t="s">
        <v>285</v>
      </c>
      <c r="J21" s="14" t="s">
        <v>286</v>
      </c>
      <c r="K21" s="15">
        <v>22706</v>
      </c>
      <c r="L21" s="16">
        <f>K21*0.25</f>
        <v>5676.5</v>
      </c>
      <c r="M21" s="20">
        <f>K21+L21</f>
        <v>28382.5</v>
      </c>
      <c r="N21" s="18" t="s">
        <v>287</v>
      </c>
      <c r="O21" s="20">
        <v>28382.5</v>
      </c>
      <c r="P21" s="27"/>
      <c r="Q21" s="28" t="s">
        <v>288</v>
      </c>
    </row>
    <row r="22" spans="1:17" ht="25.5" x14ac:dyDescent="0.2">
      <c r="A22" s="12" t="s">
        <v>152</v>
      </c>
      <c r="B22" s="24" t="s">
        <v>289</v>
      </c>
      <c r="C22" s="13" t="s">
        <v>290</v>
      </c>
      <c r="D22" s="23" t="s">
        <v>291</v>
      </c>
      <c r="E22" s="14"/>
      <c r="F22" s="14" t="s">
        <v>21</v>
      </c>
      <c r="G22" s="14" t="s">
        <v>292</v>
      </c>
      <c r="H22" s="14"/>
      <c r="I22" s="14" t="s">
        <v>293</v>
      </c>
      <c r="J22" s="14" t="s">
        <v>294</v>
      </c>
      <c r="K22" s="15">
        <v>46670</v>
      </c>
      <c r="L22" s="16">
        <f t="shared" si="1"/>
        <v>11667.5</v>
      </c>
      <c r="M22" s="20">
        <f t="shared" si="2"/>
        <v>58337.5</v>
      </c>
      <c r="N22" s="18" t="s">
        <v>295</v>
      </c>
      <c r="O22" s="20">
        <v>38701.25</v>
      </c>
      <c r="P22" s="18"/>
      <c r="Q22" s="19"/>
    </row>
    <row r="23" spans="1:17" ht="25.5" x14ac:dyDescent="0.2">
      <c r="A23" s="12" t="s">
        <v>156</v>
      </c>
      <c r="B23" s="24" t="s">
        <v>296</v>
      </c>
      <c r="C23" s="13" t="s">
        <v>297</v>
      </c>
      <c r="D23" s="23" t="s">
        <v>269</v>
      </c>
      <c r="E23" s="14"/>
      <c r="F23" s="14" t="s">
        <v>21</v>
      </c>
      <c r="G23" s="14" t="s">
        <v>270</v>
      </c>
      <c r="H23" s="14"/>
      <c r="I23" s="14" t="s">
        <v>298</v>
      </c>
      <c r="J23" s="14" t="s">
        <v>299</v>
      </c>
      <c r="K23" s="15">
        <f>22880+9724</f>
        <v>32604</v>
      </c>
      <c r="L23" s="16">
        <f>K23*0.25</f>
        <v>8151</v>
      </c>
      <c r="M23" s="20">
        <f>K23+L23</f>
        <v>40755</v>
      </c>
      <c r="N23" s="14" t="s">
        <v>300</v>
      </c>
      <c r="O23" s="20">
        <v>40755</v>
      </c>
      <c r="P23" s="27"/>
      <c r="Q23" s="28" t="s">
        <v>301</v>
      </c>
    </row>
    <row r="24" spans="1:17" ht="38.25" x14ac:dyDescent="0.2">
      <c r="A24" s="12" t="s">
        <v>162</v>
      </c>
      <c r="B24" s="24" t="s">
        <v>302</v>
      </c>
      <c r="C24" s="13" t="s">
        <v>303</v>
      </c>
      <c r="D24" s="23" t="s">
        <v>304</v>
      </c>
      <c r="E24" s="14" t="s">
        <v>305</v>
      </c>
      <c r="F24" s="14" t="s">
        <v>76</v>
      </c>
      <c r="G24" s="14" t="s">
        <v>306</v>
      </c>
      <c r="H24" s="14"/>
      <c r="I24" s="14" t="s">
        <v>307</v>
      </c>
      <c r="J24" s="14" t="s">
        <v>308</v>
      </c>
      <c r="K24" s="15">
        <f>658495.68+39806.88</f>
        <v>698302.56</v>
      </c>
      <c r="L24" s="16">
        <v>164624.16</v>
      </c>
      <c r="M24" s="20">
        <v>862926.72</v>
      </c>
      <c r="N24" s="18" t="s">
        <v>879</v>
      </c>
      <c r="O24" s="20">
        <v>862928.09</v>
      </c>
      <c r="P24" s="18"/>
      <c r="Q24" s="21"/>
    </row>
    <row r="25" spans="1:17" ht="28.9" customHeight="1" x14ac:dyDescent="0.2">
      <c r="A25" s="12" t="s">
        <v>170</v>
      </c>
      <c r="B25" s="24" t="s">
        <v>310</v>
      </c>
      <c r="C25" s="13" t="s">
        <v>311</v>
      </c>
      <c r="D25" s="23" t="s">
        <v>312</v>
      </c>
      <c r="E25" s="14" t="s">
        <v>313</v>
      </c>
      <c r="F25" s="14" t="s">
        <v>76</v>
      </c>
      <c r="G25" s="14" t="s">
        <v>314</v>
      </c>
      <c r="H25" s="14"/>
      <c r="I25" s="14" t="s">
        <v>315</v>
      </c>
      <c r="J25" s="14" t="s">
        <v>316</v>
      </c>
      <c r="K25" s="15">
        <v>404892</v>
      </c>
      <c r="L25" s="16">
        <f t="shared" si="1"/>
        <v>101223</v>
      </c>
      <c r="M25" s="20">
        <f t="shared" ref="M25:M28" si="3">K25+L25</f>
        <v>506115</v>
      </c>
      <c r="N25" s="18" t="s">
        <v>317</v>
      </c>
      <c r="O25" s="20">
        <v>506115</v>
      </c>
      <c r="P25" s="18"/>
      <c r="Q25" s="21"/>
    </row>
    <row r="26" spans="1:17" ht="48.4" customHeight="1" x14ac:dyDescent="0.2">
      <c r="A26" s="12" t="s">
        <v>177</v>
      </c>
      <c r="B26" s="24" t="s">
        <v>318</v>
      </c>
      <c r="C26" s="13" t="s">
        <v>319</v>
      </c>
      <c r="D26" s="23" t="s">
        <v>320</v>
      </c>
      <c r="E26" s="14"/>
      <c r="F26" s="14" t="s">
        <v>21</v>
      </c>
      <c r="G26" s="14" t="s">
        <v>321</v>
      </c>
      <c r="H26" s="14"/>
      <c r="I26" s="14" t="s">
        <v>322</v>
      </c>
      <c r="J26" s="32" t="s">
        <v>323</v>
      </c>
      <c r="K26" s="20">
        <f>32700.9+2166.38+3094.76</f>
        <v>37962.04</v>
      </c>
      <c r="L26" s="16">
        <v>0</v>
      </c>
      <c r="M26" s="20">
        <f>K26+L26</f>
        <v>37962.04</v>
      </c>
      <c r="N26" s="14" t="s">
        <v>324</v>
      </c>
      <c r="O26" s="20">
        <f>32700.9+2166.38+3094.76</f>
        <v>37962.04</v>
      </c>
      <c r="P26" s="27"/>
      <c r="Q26" s="28" t="s">
        <v>325</v>
      </c>
    </row>
    <row r="27" spans="1:17" ht="29.1" customHeight="1" x14ac:dyDescent="0.2">
      <c r="A27" s="12" t="s">
        <v>185</v>
      </c>
      <c r="B27" s="24" t="s">
        <v>326</v>
      </c>
      <c r="C27" s="13" t="s">
        <v>327</v>
      </c>
      <c r="D27" s="23" t="s">
        <v>328</v>
      </c>
      <c r="E27" s="14"/>
      <c r="F27" s="14" t="s">
        <v>21</v>
      </c>
      <c r="G27" s="14" t="s">
        <v>329</v>
      </c>
      <c r="H27" s="14"/>
      <c r="I27" s="14" t="s">
        <v>298</v>
      </c>
      <c r="J27" s="14" t="s">
        <v>330</v>
      </c>
      <c r="K27" s="15">
        <v>101425</v>
      </c>
      <c r="L27" s="16">
        <v>0</v>
      </c>
      <c r="M27" s="20">
        <f t="shared" si="3"/>
        <v>101425</v>
      </c>
      <c r="N27" s="18" t="s">
        <v>331</v>
      </c>
      <c r="O27" s="20">
        <v>97860</v>
      </c>
      <c r="P27" s="18"/>
      <c r="Q27" s="21"/>
    </row>
    <row r="28" spans="1:17" ht="29.1" customHeight="1" x14ac:dyDescent="0.2">
      <c r="A28" s="12" t="s">
        <v>191</v>
      </c>
      <c r="B28" s="24" t="s">
        <v>332</v>
      </c>
      <c r="C28" s="13" t="s">
        <v>333</v>
      </c>
      <c r="D28" s="23" t="s">
        <v>132</v>
      </c>
      <c r="E28" s="14"/>
      <c r="F28" s="14" t="s">
        <v>21</v>
      </c>
      <c r="G28" s="14" t="s">
        <v>133</v>
      </c>
      <c r="H28" s="14"/>
      <c r="I28" s="14" t="s">
        <v>334</v>
      </c>
      <c r="J28" s="14" t="s">
        <v>335</v>
      </c>
      <c r="K28" s="15">
        <v>35000</v>
      </c>
      <c r="L28" s="16">
        <f t="shared" si="1"/>
        <v>8750</v>
      </c>
      <c r="M28" s="20">
        <f t="shared" si="3"/>
        <v>43750</v>
      </c>
      <c r="N28" s="18" t="s">
        <v>336</v>
      </c>
      <c r="O28" s="20">
        <v>43750</v>
      </c>
      <c r="P28" s="18"/>
      <c r="Q28" s="21"/>
    </row>
    <row r="29" spans="1:17" ht="38.25" x14ac:dyDescent="0.2">
      <c r="A29" s="12" t="s">
        <v>337</v>
      </c>
      <c r="B29" s="24" t="s">
        <v>338</v>
      </c>
      <c r="C29" s="13" t="s">
        <v>179</v>
      </c>
      <c r="D29" s="23" t="s">
        <v>180</v>
      </c>
      <c r="E29" s="14"/>
      <c r="F29" s="14" t="s">
        <v>21</v>
      </c>
      <c r="G29" s="14" t="s">
        <v>181</v>
      </c>
      <c r="H29" s="14"/>
      <c r="I29" s="14" t="s">
        <v>339</v>
      </c>
      <c r="J29" s="14" t="s">
        <v>340</v>
      </c>
      <c r="K29" s="15">
        <v>39097.599999999999</v>
      </c>
      <c r="L29" s="16">
        <f t="shared" si="1"/>
        <v>9774.4</v>
      </c>
      <c r="M29" s="20">
        <f>K29*1.25</f>
        <v>48872</v>
      </c>
      <c r="N29" s="18" t="s">
        <v>341</v>
      </c>
      <c r="O29" s="20">
        <v>30560</v>
      </c>
      <c r="P29" s="27"/>
      <c r="Q29" s="28"/>
    </row>
    <row r="30" spans="1:17" s="22" customFormat="1" ht="27.95" customHeight="1" x14ac:dyDescent="0.2">
      <c r="A30" s="12" t="s">
        <v>342</v>
      </c>
      <c r="B30" s="24" t="s">
        <v>343</v>
      </c>
      <c r="C30" s="13" t="s">
        <v>187</v>
      </c>
      <c r="D30" s="14" t="s">
        <v>188</v>
      </c>
      <c r="E30" s="14"/>
      <c r="F30" s="14" t="s">
        <v>21</v>
      </c>
      <c r="G30" s="14" t="s">
        <v>189</v>
      </c>
      <c r="H30" s="14"/>
      <c r="I30" s="14" t="s">
        <v>344</v>
      </c>
      <c r="J30" s="14" t="s">
        <v>345</v>
      </c>
      <c r="K30" s="15">
        <v>98863.1</v>
      </c>
      <c r="L30" s="16">
        <f>K30*0.13</f>
        <v>12852.203000000001</v>
      </c>
      <c r="M30" s="20">
        <f>K30+L30</f>
        <v>111715.30300000001</v>
      </c>
      <c r="N30" s="18" t="s">
        <v>341</v>
      </c>
      <c r="O30" s="17">
        <v>95983.43</v>
      </c>
      <c r="P30" s="18"/>
      <c r="Q30" s="21"/>
    </row>
    <row r="31" spans="1:17" ht="29.1" customHeight="1" x14ac:dyDescent="0.2">
      <c r="A31" s="12" t="s">
        <v>346</v>
      </c>
      <c r="B31" s="24" t="s">
        <v>347</v>
      </c>
      <c r="C31" s="13" t="s">
        <v>193</v>
      </c>
      <c r="D31" s="14" t="s">
        <v>194</v>
      </c>
      <c r="E31" s="14"/>
      <c r="F31" s="14" t="s">
        <v>21</v>
      </c>
      <c r="G31" s="14" t="s">
        <v>195</v>
      </c>
      <c r="H31" s="14"/>
      <c r="I31" s="14" t="s">
        <v>184</v>
      </c>
      <c r="J31" s="14" t="s">
        <v>340</v>
      </c>
      <c r="K31" s="15">
        <v>29403.58</v>
      </c>
      <c r="L31" s="16">
        <f t="shared" si="1"/>
        <v>7350.8950000000004</v>
      </c>
      <c r="M31" s="20">
        <f>K31*1.25</f>
        <v>36754.475000000006</v>
      </c>
      <c r="N31" s="18" t="s">
        <v>341</v>
      </c>
      <c r="O31" s="20">
        <v>23202.43</v>
      </c>
      <c r="P31" s="18"/>
      <c r="Q31" s="21"/>
    </row>
  </sheetData>
  <mergeCells count="1">
    <mergeCell ref="A1:Q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578D-13E8-4CB6-87E5-766AE49D8E52}">
  <sheetPr>
    <pageSetUpPr fitToPage="1"/>
  </sheetPr>
  <dimension ref="A1:Q30"/>
  <sheetViews>
    <sheetView zoomScaleNormal="100" zoomScaleSheetLayoutView="90" workbookViewId="0">
      <selection sqref="A1:Q1"/>
    </sheetView>
  </sheetViews>
  <sheetFormatPr defaultColWidth="9.140625" defaultRowHeight="12.75" x14ac:dyDescent="0.2"/>
  <cols>
    <col min="1" max="1" width="7" style="3" customWidth="1"/>
    <col min="2" max="2" width="14.42578125" style="3" customWidth="1"/>
    <col min="3" max="3" width="36.7109375" style="1" customWidth="1"/>
    <col min="4" max="4" width="13.7109375" style="1" bestFit="1" customWidth="1"/>
    <col min="5" max="5" width="14.42578125" style="1" bestFit="1" customWidth="1"/>
    <col min="6" max="6" width="15.5703125" style="1" bestFit="1" customWidth="1"/>
    <col min="7" max="7" width="29" style="1" customWidth="1"/>
    <col min="8" max="8" width="17.140625" style="1" bestFit="1" customWidth="1"/>
    <col min="9" max="9" width="14.5703125" style="1" customWidth="1"/>
    <col min="10" max="10" width="15.85546875" style="1" customWidth="1"/>
    <col min="11" max="11" width="13.85546875" style="1" customWidth="1"/>
    <col min="12" max="12" width="12.42578125" style="3" bestFit="1" customWidth="1"/>
    <col min="13" max="13" width="13.42578125" style="3" bestFit="1" customWidth="1"/>
    <col min="14" max="14" width="14.5703125" style="3" customWidth="1"/>
    <col min="15" max="15" width="15.42578125" style="3" bestFit="1" customWidth="1"/>
    <col min="16" max="16" width="15.28515625" style="3" customWidth="1"/>
    <col min="17" max="17" width="15.7109375" style="3" customWidth="1"/>
    <col min="18" max="19" width="9.140625" style="1"/>
    <col min="20" max="20" width="9.85546875" style="1" bestFit="1" customWidth="1"/>
    <col min="21" max="16384" width="9.140625" style="1"/>
  </cols>
  <sheetData>
    <row r="1" spans="1:17" ht="20.25" x14ac:dyDescent="0.3">
      <c r="A1" s="81" t="s">
        <v>348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5.75" x14ac:dyDescent="0.25">
      <c r="A2" s="2"/>
      <c r="B2" s="2"/>
    </row>
    <row r="3" spans="1:17" s="7" customFormat="1" ht="63.75" x14ac:dyDescent="0.2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s="11" customFormat="1" ht="12" x14ac:dyDescent="0.2">
      <c r="A4" s="8">
        <v>1</v>
      </c>
      <c r="B4" s="8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</row>
    <row r="5" spans="1:17" ht="27.95" customHeight="1" x14ac:dyDescent="0.2">
      <c r="A5" s="12" t="s">
        <v>18</v>
      </c>
      <c r="B5" s="12" t="s">
        <v>138</v>
      </c>
      <c r="C5" s="13" t="s">
        <v>349</v>
      </c>
      <c r="D5" s="23" t="s">
        <v>202</v>
      </c>
      <c r="E5" s="14"/>
      <c r="F5" s="14" t="s">
        <v>21</v>
      </c>
      <c r="G5" s="14" t="s">
        <v>350</v>
      </c>
      <c r="H5" s="14"/>
      <c r="I5" s="14" t="s">
        <v>351</v>
      </c>
      <c r="J5" s="14" t="s">
        <v>352</v>
      </c>
      <c r="K5" s="15">
        <v>48106.400000000001</v>
      </c>
      <c r="L5" s="16">
        <v>10086.6</v>
      </c>
      <c r="M5" s="17">
        <f t="shared" ref="M5:M10" si="0">K5+L5</f>
        <v>58193</v>
      </c>
      <c r="N5" s="18" t="s">
        <v>341</v>
      </c>
      <c r="O5" s="17">
        <v>38418.58</v>
      </c>
      <c r="P5" s="18"/>
      <c r="Q5" s="19"/>
    </row>
    <row r="6" spans="1:17" ht="27.95" customHeight="1" x14ac:dyDescent="0.2">
      <c r="A6" s="12" t="s">
        <v>26</v>
      </c>
      <c r="B6" s="24" t="s">
        <v>353</v>
      </c>
      <c r="C6" s="13" t="s">
        <v>198</v>
      </c>
      <c r="D6" s="23" t="s">
        <v>354</v>
      </c>
      <c r="E6" s="14"/>
      <c r="F6" s="14" t="s">
        <v>21</v>
      </c>
      <c r="G6" s="14" t="s">
        <v>200</v>
      </c>
      <c r="H6" s="14"/>
      <c r="I6" s="14" t="s">
        <v>355</v>
      </c>
      <c r="J6" s="14" t="s">
        <v>345</v>
      </c>
      <c r="K6" s="15">
        <v>36000</v>
      </c>
      <c r="L6" s="16">
        <f>K6*0.25</f>
        <v>9000</v>
      </c>
      <c r="M6" s="17">
        <f t="shared" si="0"/>
        <v>45000</v>
      </c>
      <c r="N6" s="18" t="s">
        <v>341</v>
      </c>
      <c r="O6" s="17">
        <v>45000</v>
      </c>
      <c r="P6" s="18"/>
      <c r="Q6" s="19"/>
    </row>
    <row r="7" spans="1:17" ht="38.25" x14ac:dyDescent="0.2">
      <c r="A7" s="12" t="s">
        <v>32</v>
      </c>
      <c r="B7" s="24"/>
      <c r="C7" s="13" t="s">
        <v>217</v>
      </c>
      <c r="D7" s="23" t="s">
        <v>218</v>
      </c>
      <c r="E7" s="14" t="s">
        <v>356</v>
      </c>
      <c r="F7" s="14" t="s">
        <v>76</v>
      </c>
      <c r="G7" s="14" t="s">
        <v>220</v>
      </c>
      <c r="H7" s="14"/>
      <c r="I7" s="14" t="s">
        <v>357</v>
      </c>
      <c r="J7" s="14" t="s">
        <v>358</v>
      </c>
      <c r="K7" s="15">
        <v>132579.20000000001</v>
      </c>
      <c r="L7" s="16">
        <v>0</v>
      </c>
      <c r="M7" s="20">
        <f t="shared" si="0"/>
        <v>132579.20000000001</v>
      </c>
      <c r="N7" s="29" t="s">
        <v>359</v>
      </c>
      <c r="O7" s="30">
        <v>110407.42</v>
      </c>
      <c r="P7" s="18"/>
      <c r="Q7" s="28" t="s">
        <v>224</v>
      </c>
    </row>
    <row r="8" spans="1:17" ht="38.25" x14ac:dyDescent="0.2">
      <c r="A8" s="12" t="s">
        <v>39</v>
      </c>
      <c r="B8" s="12"/>
      <c r="C8" s="13" t="s">
        <v>225</v>
      </c>
      <c r="D8" s="23" t="s">
        <v>218</v>
      </c>
      <c r="E8" s="14" t="s">
        <v>356</v>
      </c>
      <c r="F8" s="14" t="s">
        <v>76</v>
      </c>
      <c r="G8" s="14" t="s">
        <v>220</v>
      </c>
      <c r="H8" s="14"/>
      <c r="I8" s="14" t="s">
        <v>357</v>
      </c>
      <c r="J8" s="14" t="s">
        <v>358</v>
      </c>
      <c r="K8" s="15">
        <v>63</v>
      </c>
      <c r="L8" s="16">
        <f>K8*0.25</f>
        <v>15.75</v>
      </c>
      <c r="M8" s="20">
        <f t="shared" si="0"/>
        <v>78.75</v>
      </c>
      <c r="N8" s="29" t="s">
        <v>359</v>
      </c>
      <c r="O8" s="33">
        <v>0</v>
      </c>
      <c r="P8" s="18"/>
      <c r="Q8" s="28" t="s">
        <v>224</v>
      </c>
    </row>
    <row r="9" spans="1:17" ht="25.5" x14ac:dyDescent="0.2">
      <c r="A9" s="12" t="s">
        <v>47</v>
      </c>
      <c r="B9" s="24" t="s">
        <v>360</v>
      </c>
      <c r="C9" s="13" t="s">
        <v>227</v>
      </c>
      <c r="D9" s="23" t="s">
        <v>228</v>
      </c>
      <c r="E9" s="14"/>
      <c r="F9" s="14" t="s">
        <v>21</v>
      </c>
      <c r="G9" s="14" t="s">
        <v>35</v>
      </c>
      <c r="H9" s="14"/>
      <c r="I9" s="14" t="s">
        <v>361</v>
      </c>
      <c r="J9" s="14" t="s">
        <v>362</v>
      </c>
      <c r="K9" s="15">
        <v>191664.8</v>
      </c>
      <c r="L9" s="16">
        <f>K9*0.25</f>
        <v>47916.2</v>
      </c>
      <c r="M9" s="20">
        <f t="shared" si="0"/>
        <v>239581</v>
      </c>
      <c r="N9" s="18" t="s">
        <v>363</v>
      </c>
      <c r="O9" s="17">
        <v>238070.42</v>
      </c>
      <c r="P9" s="18"/>
      <c r="Q9" s="21"/>
    </row>
    <row r="10" spans="1:17" ht="27.95" customHeight="1" x14ac:dyDescent="0.2">
      <c r="A10" s="12" t="s">
        <v>55</v>
      </c>
      <c r="B10" s="24" t="s">
        <v>364</v>
      </c>
      <c r="C10" s="13" t="s">
        <v>233</v>
      </c>
      <c r="D10" s="23" t="s">
        <v>234</v>
      </c>
      <c r="E10" s="14"/>
      <c r="F10" s="14" t="s">
        <v>21</v>
      </c>
      <c r="G10" s="14" t="s">
        <v>43</v>
      </c>
      <c r="H10" s="14"/>
      <c r="I10" s="14" t="s">
        <v>365</v>
      </c>
      <c r="J10" s="14" t="s">
        <v>366</v>
      </c>
      <c r="K10" s="15">
        <v>96340</v>
      </c>
      <c r="L10" s="16">
        <f>K10*0.25</f>
        <v>24085</v>
      </c>
      <c r="M10" s="20">
        <f t="shared" si="0"/>
        <v>120425</v>
      </c>
      <c r="N10" s="18" t="s">
        <v>367</v>
      </c>
      <c r="O10" s="17">
        <v>96162.34</v>
      </c>
      <c r="P10" s="18"/>
      <c r="Q10" s="19"/>
    </row>
    <row r="11" spans="1:17" ht="27.95" customHeight="1" x14ac:dyDescent="0.2">
      <c r="A11" s="12" t="s">
        <v>63</v>
      </c>
      <c r="B11" s="24" t="s">
        <v>368</v>
      </c>
      <c r="C11" s="13" t="s">
        <v>253</v>
      </c>
      <c r="D11" s="23" t="s">
        <v>254</v>
      </c>
      <c r="E11" s="14"/>
      <c r="F11" s="14" t="s">
        <v>21</v>
      </c>
      <c r="G11" s="14" t="s">
        <v>255</v>
      </c>
      <c r="H11" s="14"/>
      <c r="I11" s="14" t="s">
        <v>369</v>
      </c>
      <c r="J11" s="14" t="s">
        <v>370</v>
      </c>
      <c r="K11" s="15">
        <v>68904</v>
      </c>
      <c r="L11" s="16">
        <f>K11*0.25</f>
        <v>17226</v>
      </c>
      <c r="M11" s="20">
        <f>K11+L11</f>
        <v>86130</v>
      </c>
      <c r="N11" s="18" t="s">
        <v>371</v>
      </c>
      <c r="O11" s="17">
        <v>94841.88</v>
      </c>
      <c r="P11" s="27"/>
      <c r="Q11" s="28"/>
    </row>
    <row r="12" spans="1:17" ht="29.1" customHeight="1" x14ac:dyDescent="0.2">
      <c r="A12" s="12" t="s">
        <v>71</v>
      </c>
      <c r="B12" s="24" t="s">
        <v>372</v>
      </c>
      <c r="C12" s="13" t="s">
        <v>274</v>
      </c>
      <c r="D12" s="23" t="s">
        <v>373</v>
      </c>
      <c r="E12" s="23" t="s">
        <v>374</v>
      </c>
      <c r="F12" s="14" t="s">
        <v>76</v>
      </c>
      <c r="G12" s="14" t="s">
        <v>375</v>
      </c>
      <c r="H12" s="14"/>
      <c r="I12" s="14" t="s">
        <v>376</v>
      </c>
      <c r="J12" s="14" t="s">
        <v>377</v>
      </c>
      <c r="K12" s="15">
        <v>311000</v>
      </c>
      <c r="L12" s="16">
        <f t="shared" ref="L12:L17" si="1">K12*0.25</f>
        <v>77750</v>
      </c>
      <c r="M12" s="20">
        <f t="shared" ref="M12:M14" si="2">K12+L12</f>
        <v>388750</v>
      </c>
      <c r="N12" s="18" t="s">
        <v>378</v>
      </c>
      <c r="O12" s="20">
        <v>386250</v>
      </c>
      <c r="P12" s="18"/>
      <c r="Q12" s="19"/>
    </row>
    <row r="13" spans="1:17" ht="25.5" x14ac:dyDescent="0.2">
      <c r="A13" s="12" t="s">
        <v>82</v>
      </c>
      <c r="B13" s="24" t="s">
        <v>379</v>
      </c>
      <c r="C13" s="13" t="s">
        <v>290</v>
      </c>
      <c r="D13" s="23" t="s">
        <v>291</v>
      </c>
      <c r="E13" s="14"/>
      <c r="F13" s="14" t="s">
        <v>21</v>
      </c>
      <c r="G13" s="14" t="s">
        <v>292</v>
      </c>
      <c r="H13" s="14"/>
      <c r="I13" s="14" t="s">
        <v>380</v>
      </c>
      <c r="J13" s="14" t="s">
        <v>381</v>
      </c>
      <c r="K13" s="15">
        <v>46670</v>
      </c>
      <c r="L13" s="16">
        <f t="shared" si="1"/>
        <v>11667.5</v>
      </c>
      <c r="M13" s="20">
        <f t="shared" si="2"/>
        <v>58337.5</v>
      </c>
      <c r="N13" s="18" t="s">
        <v>382</v>
      </c>
      <c r="O13" s="20">
        <v>36301.25</v>
      </c>
      <c r="P13" s="18"/>
      <c r="Q13" s="19"/>
    </row>
    <row r="14" spans="1:17" ht="27.95" customHeight="1" x14ac:dyDescent="0.2">
      <c r="A14" s="12" t="s">
        <v>90</v>
      </c>
      <c r="B14" s="24" t="s">
        <v>383</v>
      </c>
      <c r="C14" s="13" t="s">
        <v>384</v>
      </c>
      <c r="D14" s="14" t="s">
        <v>385</v>
      </c>
      <c r="E14" s="14"/>
      <c r="F14" s="14" t="s">
        <v>21</v>
      </c>
      <c r="G14" s="14" t="s">
        <v>314</v>
      </c>
      <c r="H14" s="14"/>
      <c r="I14" s="14" t="s">
        <v>386</v>
      </c>
      <c r="J14" s="14" t="s">
        <v>387</v>
      </c>
      <c r="K14" s="15">
        <v>28876</v>
      </c>
      <c r="L14" s="16">
        <f t="shared" si="1"/>
        <v>7219</v>
      </c>
      <c r="M14" s="17">
        <f t="shared" si="2"/>
        <v>36095</v>
      </c>
      <c r="N14" s="18" t="s">
        <v>388</v>
      </c>
      <c r="O14" s="17">
        <v>36095</v>
      </c>
      <c r="P14" s="18"/>
      <c r="Q14" s="28" t="s">
        <v>389</v>
      </c>
    </row>
    <row r="15" spans="1:17" ht="27.95" customHeight="1" x14ac:dyDescent="0.2">
      <c r="A15" s="12" t="s">
        <v>99</v>
      </c>
      <c r="B15" s="24" t="s">
        <v>390</v>
      </c>
      <c r="C15" s="13" t="s">
        <v>391</v>
      </c>
      <c r="D15" s="14" t="s">
        <v>392</v>
      </c>
      <c r="E15" s="14" t="s">
        <v>393</v>
      </c>
      <c r="F15" s="14" t="s">
        <v>21</v>
      </c>
      <c r="G15" s="14" t="s">
        <v>394</v>
      </c>
      <c r="H15" s="14"/>
      <c r="I15" s="14" t="s">
        <v>395</v>
      </c>
      <c r="J15" s="14" t="s">
        <v>396</v>
      </c>
      <c r="K15" s="15">
        <v>39804.44</v>
      </c>
      <c r="L15" s="16">
        <v>9951.11</v>
      </c>
      <c r="M15" s="17">
        <v>49755.55</v>
      </c>
      <c r="N15" s="18" t="s">
        <v>397</v>
      </c>
      <c r="O15" s="17">
        <v>49755.55</v>
      </c>
      <c r="P15" s="18"/>
      <c r="Q15" s="28"/>
    </row>
    <row r="16" spans="1:17" ht="27.95" customHeight="1" x14ac:dyDescent="0.2">
      <c r="A16" s="12" t="s">
        <v>107</v>
      </c>
      <c r="B16" s="24" t="s">
        <v>398</v>
      </c>
      <c r="C16" s="13" t="s">
        <v>399</v>
      </c>
      <c r="D16" s="14" t="s">
        <v>400</v>
      </c>
      <c r="E16" s="14" t="s">
        <v>393</v>
      </c>
      <c r="F16" s="14" t="s">
        <v>21</v>
      </c>
      <c r="G16" s="14" t="s">
        <v>401</v>
      </c>
      <c r="H16" s="14"/>
      <c r="I16" s="14" t="s">
        <v>397</v>
      </c>
      <c r="J16" s="14" t="s">
        <v>402</v>
      </c>
      <c r="K16" s="15">
        <v>45920</v>
      </c>
      <c r="L16" s="16">
        <v>11480</v>
      </c>
      <c r="M16" s="17">
        <v>57400</v>
      </c>
      <c r="N16" s="18" t="s">
        <v>403</v>
      </c>
      <c r="O16" s="17">
        <v>57400</v>
      </c>
      <c r="P16" s="18"/>
      <c r="Q16" s="28"/>
    </row>
    <row r="17" spans="1:17" ht="38.25" x14ac:dyDescent="0.2">
      <c r="A17" s="12" t="s">
        <v>113</v>
      </c>
      <c r="B17" s="24" t="s">
        <v>72</v>
      </c>
      <c r="C17" s="13" t="s">
        <v>404</v>
      </c>
      <c r="D17" s="23" t="s">
        <v>74</v>
      </c>
      <c r="E17" s="14" t="s">
        <v>405</v>
      </c>
      <c r="F17" s="14" t="s">
        <v>76</v>
      </c>
      <c r="G17" s="14" t="s">
        <v>77</v>
      </c>
      <c r="H17" s="14"/>
      <c r="I17" s="14" t="s">
        <v>406</v>
      </c>
      <c r="J17" s="14" t="s">
        <v>407</v>
      </c>
      <c r="K17" s="15">
        <v>120000</v>
      </c>
      <c r="L17" s="16">
        <f t="shared" si="1"/>
        <v>30000</v>
      </c>
      <c r="M17" s="20">
        <f>K17*1.25</f>
        <v>150000</v>
      </c>
      <c r="N17" s="18" t="s">
        <v>80</v>
      </c>
      <c r="O17" s="20">
        <f>94500+48000</f>
        <v>142500</v>
      </c>
      <c r="P17" s="34"/>
      <c r="Q17" s="28" t="s">
        <v>89</v>
      </c>
    </row>
    <row r="18" spans="1:17" ht="37.35" customHeight="1" x14ac:dyDescent="0.2">
      <c r="A18" s="12" t="s">
        <v>122</v>
      </c>
      <c r="B18" s="24" t="s">
        <v>408</v>
      </c>
      <c r="C18" s="13" t="s">
        <v>409</v>
      </c>
      <c r="D18" s="23" t="s">
        <v>410</v>
      </c>
      <c r="E18" s="14" t="s">
        <v>393</v>
      </c>
      <c r="F18" s="14" t="s">
        <v>21</v>
      </c>
      <c r="G18" s="14" t="s">
        <v>411</v>
      </c>
      <c r="H18" s="14"/>
      <c r="I18" s="14" t="s">
        <v>412</v>
      </c>
      <c r="J18" s="14" t="s">
        <v>413</v>
      </c>
      <c r="K18" s="15">
        <v>36981.949999999997</v>
      </c>
      <c r="L18" s="16">
        <v>0</v>
      </c>
      <c r="M18" s="15">
        <v>36981.949999999997</v>
      </c>
      <c r="N18" s="18" t="s">
        <v>414</v>
      </c>
      <c r="O18" s="20">
        <f>10461.26+26520.69</f>
        <v>36981.949999999997</v>
      </c>
      <c r="P18" s="34"/>
      <c r="Q18" s="28" t="s">
        <v>415</v>
      </c>
    </row>
    <row r="19" spans="1:17" ht="71.45" customHeight="1" x14ac:dyDescent="0.2">
      <c r="A19" s="12" t="s">
        <v>129</v>
      </c>
      <c r="B19" s="24" t="s">
        <v>416</v>
      </c>
      <c r="C19" s="13" t="s">
        <v>417</v>
      </c>
      <c r="D19" s="14" t="s">
        <v>50</v>
      </c>
      <c r="E19" s="14" t="s">
        <v>418</v>
      </c>
      <c r="F19" s="14" t="s">
        <v>419</v>
      </c>
      <c r="G19" s="14" t="s">
        <v>420</v>
      </c>
      <c r="H19" s="14"/>
      <c r="I19" s="14" t="s">
        <v>421</v>
      </c>
      <c r="J19" s="14" t="s">
        <v>422</v>
      </c>
      <c r="K19" s="15">
        <v>298000</v>
      </c>
      <c r="L19" s="16">
        <f t="shared" ref="L19" si="3">K19*0.25</f>
        <v>74500</v>
      </c>
      <c r="M19" s="20">
        <f>K19*1.25</f>
        <v>372500</v>
      </c>
      <c r="N19" s="18" t="s">
        <v>423</v>
      </c>
      <c r="O19" s="17">
        <v>372500</v>
      </c>
      <c r="P19" s="18"/>
      <c r="Q19" s="28"/>
    </row>
    <row r="20" spans="1:17" ht="51" x14ac:dyDescent="0.2">
      <c r="A20" s="12" t="s">
        <v>137</v>
      </c>
      <c r="B20" s="24" t="s">
        <v>424</v>
      </c>
      <c r="C20" s="13" t="s">
        <v>425</v>
      </c>
      <c r="D20" s="14" t="s">
        <v>426</v>
      </c>
      <c r="E20" s="14" t="s">
        <v>393</v>
      </c>
      <c r="F20" s="14" t="s">
        <v>21</v>
      </c>
      <c r="G20" s="14" t="s">
        <v>427</v>
      </c>
      <c r="H20" s="14"/>
      <c r="I20" s="14" t="s">
        <v>428</v>
      </c>
      <c r="J20" s="14" t="s">
        <v>429</v>
      </c>
      <c r="K20" s="15">
        <v>69415</v>
      </c>
      <c r="L20" s="16">
        <v>17353.75</v>
      </c>
      <c r="M20" s="17">
        <v>86768.75</v>
      </c>
      <c r="N20" s="18" t="s">
        <v>430</v>
      </c>
      <c r="O20" s="17">
        <f>69415*1.25</f>
        <v>86768.75</v>
      </c>
      <c r="P20" s="18"/>
      <c r="Q20" s="28" t="s">
        <v>431</v>
      </c>
    </row>
    <row r="21" spans="1:17" s="37" customFormat="1" ht="143.44999999999999" customHeight="1" x14ac:dyDescent="0.2">
      <c r="A21" s="12" t="s">
        <v>145</v>
      </c>
      <c r="B21" s="24" t="s">
        <v>432</v>
      </c>
      <c r="C21" s="13" t="s">
        <v>433</v>
      </c>
      <c r="D21" s="14" t="s">
        <v>434</v>
      </c>
      <c r="E21" s="14" t="s">
        <v>393</v>
      </c>
      <c r="F21" s="14" t="s">
        <v>21</v>
      </c>
      <c r="G21" s="14" t="s">
        <v>435</v>
      </c>
      <c r="H21" s="14"/>
      <c r="I21" s="14" t="s">
        <v>436</v>
      </c>
      <c r="J21" s="14" t="s">
        <v>437</v>
      </c>
      <c r="K21" s="15">
        <v>36800</v>
      </c>
      <c r="L21" s="16">
        <v>9200</v>
      </c>
      <c r="M21" s="17">
        <v>46000</v>
      </c>
      <c r="N21" s="18" t="s">
        <v>438</v>
      </c>
      <c r="O21" s="17">
        <v>43750</v>
      </c>
      <c r="P21" s="35"/>
      <c r="Q21" s="28"/>
    </row>
    <row r="22" spans="1:17" ht="24.95" customHeight="1" x14ac:dyDescent="0.2">
      <c r="A22" s="12" t="s">
        <v>152</v>
      </c>
      <c r="B22" s="24" t="s">
        <v>439</v>
      </c>
      <c r="C22" s="13" t="s">
        <v>440</v>
      </c>
      <c r="D22" s="14" t="s">
        <v>441</v>
      </c>
      <c r="E22" s="14"/>
      <c r="F22" s="14" t="s">
        <v>21</v>
      </c>
      <c r="G22" s="14" t="s">
        <v>442</v>
      </c>
      <c r="H22" s="14"/>
      <c r="I22" s="14" t="s">
        <v>443</v>
      </c>
      <c r="J22" s="14" t="s">
        <v>444</v>
      </c>
      <c r="K22" s="15">
        <v>44400</v>
      </c>
      <c r="L22" s="16">
        <f>K22*0.25</f>
        <v>11100</v>
      </c>
      <c r="M22" s="20">
        <f>K22+L22</f>
        <v>55500</v>
      </c>
      <c r="N22" s="18" t="s">
        <v>445</v>
      </c>
      <c r="O22" s="17">
        <f>3750*12+875*12</f>
        <v>55500</v>
      </c>
      <c r="P22" s="18"/>
      <c r="Q22" s="28"/>
    </row>
    <row r="23" spans="1:17" ht="63.75" x14ac:dyDescent="0.2">
      <c r="A23" s="12" t="s">
        <v>156</v>
      </c>
      <c r="B23" s="24" t="s">
        <v>446</v>
      </c>
      <c r="C23" s="13" t="s">
        <v>447</v>
      </c>
      <c r="D23" s="14" t="s">
        <v>50</v>
      </c>
      <c r="E23" s="14" t="s">
        <v>448</v>
      </c>
      <c r="F23" s="14" t="s">
        <v>419</v>
      </c>
      <c r="G23" s="14" t="s">
        <v>449</v>
      </c>
      <c r="H23" s="14"/>
      <c r="I23" s="14" t="s">
        <v>450</v>
      </c>
      <c r="J23" s="14" t="s">
        <v>451</v>
      </c>
      <c r="K23" s="15">
        <v>349000</v>
      </c>
      <c r="L23" s="16">
        <v>87250</v>
      </c>
      <c r="M23" s="20">
        <v>436250</v>
      </c>
      <c r="N23" s="18" t="s">
        <v>423</v>
      </c>
      <c r="O23" s="17">
        <v>436250</v>
      </c>
      <c r="P23" s="18"/>
      <c r="Q23" s="28"/>
    </row>
    <row r="24" spans="1:17" ht="25.5" x14ac:dyDescent="0.2">
      <c r="A24" s="12" t="s">
        <v>162</v>
      </c>
      <c r="B24" s="24" t="s">
        <v>452</v>
      </c>
      <c r="C24" s="13" t="s">
        <v>327</v>
      </c>
      <c r="D24" s="14" t="s">
        <v>110</v>
      </c>
      <c r="E24" s="14" t="s">
        <v>393</v>
      </c>
      <c r="F24" s="14" t="s">
        <v>21</v>
      </c>
      <c r="G24" s="14" t="s">
        <v>453</v>
      </c>
      <c r="H24" s="14"/>
      <c r="I24" s="14" t="s">
        <v>454</v>
      </c>
      <c r="J24" s="14" t="s">
        <v>455</v>
      </c>
      <c r="K24" s="15">
        <v>90495</v>
      </c>
      <c r="L24" s="16">
        <v>0</v>
      </c>
      <c r="M24" s="20">
        <v>90495</v>
      </c>
      <c r="N24" s="18" t="s">
        <v>456</v>
      </c>
      <c r="O24" s="17">
        <v>89090</v>
      </c>
      <c r="P24" s="18"/>
      <c r="Q24" s="28"/>
    </row>
    <row r="25" spans="1:17" ht="25.5" x14ac:dyDescent="0.2">
      <c r="A25" s="12" t="s">
        <v>170</v>
      </c>
      <c r="B25" s="24" t="s">
        <v>457</v>
      </c>
      <c r="C25" s="13" t="s">
        <v>458</v>
      </c>
      <c r="D25" s="14" t="s">
        <v>459</v>
      </c>
      <c r="E25" s="14" t="s">
        <v>393</v>
      </c>
      <c r="F25" s="14" t="s">
        <v>21</v>
      </c>
      <c r="G25" s="14" t="s">
        <v>460</v>
      </c>
      <c r="H25" s="14"/>
      <c r="I25" s="14" t="s">
        <v>461</v>
      </c>
      <c r="J25" s="14" t="s">
        <v>381</v>
      </c>
      <c r="K25" s="15">
        <v>35000</v>
      </c>
      <c r="L25" s="16">
        <v>8750</v>
      </c>
      <c r="M25" s="20">
        <v>43750</v>
      </c>
      <c r="N25" s="18" t="s">
        <v>462</v>
      </c>
      <c r="O25" s="17">
        <v>43750</v>
      </c>
      <c r="P25" s="18"/>
      <c r="Q25" s="28"/>
    </row>
    <row r="26" spans="1:17" ht="63.75" x14ac:dyDescent="0.2">
      <c r="A26" s="12" t="s">
        <v>177</v>
      </c>
      <c r="B26" s="24"/>
      <c r="C26" s="13" t="s">
        <v>463</v>
      </c>
      <c r="D26" s="14" t="s">
        <v>410</v>
      </c>
      <c r="E26" s="14" t="s">
        <v>464</v>
      </c>
      <c r="F26" s="14" t="s">
        <v>419</v>
      </c>
      <c r="G26" s="14" t="s">
        <v>465</v>
      </c>
      <c r="H26" s="14"/>
      <c r="I26" s="14" t="s">
        <v>466</v>
      </c>
      <c r="J26" s="14" t="s">
        <v>467</v>
      </c>
      <c r="K26" s="15">
        <v>2454.48</v>
      </c>
      <c r="L26" s="16">
        <v>0</v>
      </c>
      <c r="M26" s="20">
        <v>2454.48</v>
      </c>
      <c r="N26" s="18" t="s">
        <v>468</v>
      </c>
      <c r="O26" s="17">
        <f>1221.2+1233.28</f>
        <v>2454.48</v>
      </c>
      <c r="P26" s="18"/>
      <c r="Q26" s="28" t="s">
        <v>469</v>
      </c>
    </row>
    <row r="27" spans="1:17" ht="27.95" customHeight="1" x14ac:dyDescent="0.2">
      <c r="A27" s="12" t="s">
        <v>185</v>
      </c>
      <c r="B27" s="24" t="s">
        <v>470</v>
      </c>
      <c r="C27" s="13" t="s">
        <v>198</v>
      </c>
      <c r="D27" s="14" t="s">
        <v>199</v>
      </c>
      <c r="E27" s="14"/>
      <c r="F27" s="14" t="s">
        <v>21</v>
      </c>
      <c r="G27" s="14" t="s">
        <v>200</v>
      </c>
      <c r="H27" s="14"/>
      <c r="I27" s="14" t="s">
        <v>471</v>
      </c>
      <c r="J27" s="14" t="s">
        <v>472</v>
      </c>
      <c r="K27" s="15">
        <v>36000</v>
      </c>
      <c r="L27" s="16">
        <f>K27*0.25</f>
        <v>9000</v>
      </c>
      <c r="M27" s="17">
        <f t="shared" ref="M27" si="4">K27+L27</f>
        <v>45000</v>
      </c>
      <c r="N27" s="18" t="s">
        <v>473</v>
      </c>
      <c r="O27" s="17">
        <f>3750*12</f>
        <v>45000</v>
      </c>
      <c r="P27" s="18"/>
      <c r="Q27" s="19"/>
    </row>
    <row r="28" spans="1:17" ht="29.1" customHeight="1" x14ac:dyDescent="0.2">
      <c r="A28" s="12" t="s">
        <v>191</v>
      </c>
      <c r="B28" s="24" t="s">
        <v>474</v>
      </c>
      <c r="C28" s="13" t="s">
        <v>193</v>
      </c>
      <c r="D28" s="14" t="s">
        <v>194</v>
      </c>
      <c r="E28" s="14"/>
      <c r="F28" s="14" t="s">
        <v>21</v>
      </c>
      <c r="G28" s="14" t="s">
        <v>195</v>
      </c>
      <c r="H28" s="14"/>
      <c r="I28" s="14" t="s">
        <v>475</v>
      </c>
      <c r="J28" s="14" t="s">
        <v>476</v>
      </c>
      <c r="K28" s="15">
        <v>29707.599999999999</v>
      </c>
      <c r="L28" s="16">
        <f t="shared" ref="L28" si="5">K28*0.25</f>
        <v>7426.9</v>
      </c>
      <c r="M28" s="20">
        <f>K28*1.25</f>
        <v>37134.5</v>
      </c>
      <c r="N28" s="18" t="s">
        <v>473</v>
      </c>
      <c r="O28" s="20">
        <v>22655.08</v>
      </c>
      <c r="P28" s="18"/>
      <c r="Q28" s="20"/>
    </row>
    <row r="29" spans="1:17" s="22" customFormat="1" ht="27.95" customHeight="1" x14ac:dyDescent="0.2">
      <c r="A29" s="12" t="s">
        <v>337</v>
      </c>
      <c r="B29" s="24" t="s">
        <v>477</v>
      </c>
      <c r="C29" s="13" t="s">
        <v>187</v>
      </c>
      <c r="D29" s="14" t="s">
        <v>188</v>
      </c>
      <c r="E29" s="14"/>
      <c r="F29" s="14" t="s">
        <v>21</v>
      </c>
      <c r="G29" s="14" t="s">
        <v>478</v>
      </c>
      <c r="H29" s="14"/>
      <c r="I29" s="14" t="s">
        <v>479</v>
      </c>
      <c r="J29" s="14" t="s">
        <v>472</v>
      </c>
      <c r="K29" s="15">
        <v>94140.6</v>
      </c>
      <c r="L29" s="16">
        <f>K29*0.13</f>
        <v>12238.278000000002</v>
      </c>
      <c r="M29" s="20">
        <f>K29+L29</f>
        <v>106378.87800000001</v>
      </c>
      <c r="N29" s="18" t="s">
        <v>473</v>
      </c>
      <c r="O29" s="17">
        <v>96466.74000000002</v>
      </c>
      <c r="P29" s="18"/>
      <c r="Q29" s="20"/>
    </row>
    <row r="30" spans="1:17" ht="27.95" customHeight="1" x14ac:dyDescent="0.2">
      <c r="A30" s="12" t="s">
        <v>342</v>
      </c>
      <c r="B30" s="12" t="s">
        <v>480</v>
      </c>
      <c r="C30" s="13" t="s">
        <v>349</v>
      </c>
      <c r="D30" s="23" t="s">
        <v>202</v>
      </c>
      <c r="E30" s="14"/>
      <c r="F30" s="14" t="s">
        <v>21</v>
      </c>
      <c r="G30" s="14" t="s">
        <v>350</v>
      </c>
      <c r="H30" s="14"/>
      <c r="I30" s="14" t="s">
        <v>481</v>
      </c>
      <c r="J30" s="14" t="s">
        <v>472</v>
      </c>
      <c r="K30" s="15">
        <v>48898.1</v>
      </c>
      <c r="L30" s="16">
        <v>10125.530000000001</v>
      </c>
      <c r="M30" s="17">
        <f t="shared" ref="M30" si="6">K30+L30</f>
        <v>59023.63</v>
      </c>
      <c r="N30" s="18" t="s">
        <v>473</v>
      </c>
      <c r="O30" s="17">
        <v>31992.39</v>
      </c>
      <c r="P30" s="18"/>
      <c r="Q30" s="19"/>
    </row>
  </sheetData>
  <mergeCells count="1">
    <mergeCell ref="A1:Q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7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232C-6128-4696-935A-50001CD37555}">
  <sheetPr>
    <pageSetUpPr fitToPage="1"/>
  </sheetPr>
  <dimension ref="A1:S34"/>
  <sheetViews>
    <sheetView zoomScaleNormal="100" zoomScaleSheetLayoutView="90" workbookViewId="0">
      <selection sqref="A1:S1"/>
    </sheetView>
  </sheetViews>
  <sheetFormatPr defaultColWidth="9.140625" defaultRowHeight="12.75" x14ac:dyDescent="0.2"/>
  <cols>
    <col min="1" max="1" width="7" style="40" customWidth="1"/>
    <col min="2" max="2" width="14.42578125" style="40" customWidth="1"/>
    <col min="3" max="3" width="39.28515625" style="38" customWidth="1"/>
    <col min="4" max="4" width="13.7109375" style="38" bestFit="1" customWidth="1"/>
    <col min="5" max="5" width="14.42578125" style="38" bestFit="1" customWidth="1"/>
    <col min="6" max="6" width="15.5703125" style="38" bestFit="1" customWidth="1"/>
    <col min="7" max="7" width="29" style="38" customWidth="1"/>
    <col min="8" max="8" width="17.140625" style="38" bestFit="1" customWidth="1"/>
    <col min="9" max="10" width="14.5703125" style="38" customWidth="1"/>
    <col min="11" max="11" width="17" style="38" customWidth="1"/>
    <col min="12" max="12" width="13.85546875" style="38" customWidth="1"/>
    <col min="13" max="13" width="12.42578125" style="40" bestFit="1" customWidth="1"/>
    <col min="14" max="14" width="13.42578125" style="40" bestFit="1" customWidth="1"/>
    <col min="15" max="15" width="13.42578125" style="40" customWidth="1"/>
    <col min="16" max="16" width="14.5703125" style="40" customWidth="1"/>
    <col min="17" max="17" width="15.42578125" style="40" bestFit="1" customWidth="1"/>
    <col min="18" max="18" width="15.28515625" style="40" customWidth="1"/>
    <col min="19" max="19" width="18.7109375" style="40" customWidth="1"/>
    <col min="20" max="21" width="9.140625" style="38"/>
    <col min="22" max="22" width="9.85546875" style="38" bestFit="1" customWidth="1"/>
    <col min="23" max="16384" width="9.140625" style="38"/>
  </cols>
  <sheetData>
    <row r="1" spans="1:19" ht="20.25" x14ac:dyDescent="0.3">
      <c r="A1" s="82" t="s">
        <v>482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ht="15.75" x14ac:dyDescent="0.25">
      <c r="A2" s="39"/>
      <c r="B2" s="39"/>
    </row>
    <row r="3" spans="1:19" s="44" customFormat="1" ht="82.5" customHeight="1" x14ac:dyDescent="0.2">
      <c r="A3" s="41" t="s">
        <v>1</v>
      </c>
      <c r="B3" s="41" t="s">
        <v>2</v>
      </c>
      <c r="C3" s="42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483</v>
      </c>
      <c r="K3" s="43" t="s">
        <v>10</v>
      </c>
      <c r="L3" s="43" t="s">
        <v>11</v>
      </c>
      <c r="M3" s="41" t="s">
        <v>12</v>
      </c>
      <c r="N3" s="41" t="s">
        <v>13</v>
      </c>
      <c r="O3" s="41" t="s">
        <v>484</v>
      </c>
      <c r="P3" s="41" t="s">
        <v>14</v>
      </c>
      <c r="Q3" s="41" t="s">
        <v>15</v>
      </c>
      <c r="R3" s="41" t="s">
        <v>16</v>
      </c>
      <c r="S3" s="41" t="s">
        <v>17</v>
      </c>
    </row>
    <row r="4" spans="1:19" s="48" customFormat="1" ht="12" x14ac:dyDescent="0.2">
      <c r="A4" s="45">
        <v>1</v>
      </c>
      <c r="B4" s="45">
        <v>2</v>
      </c>
      <c r="C4" s="46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7">
        <v>12</v>
      </c>
      <c r="M4" s="45">
        <v>13</v>
      </c>
      <c r="N4" s="45">
        <v>14</v>
      </c>
      <c r="O4" s="45">
        <v>15</v>
      </c>
      <c r="P4" s="45">
        <v>16</v>
      </c>
      <c r="Q4" s="45">
        <v>17</v>
      </c>
      <c r="R4" s="45">
        <v>18</v>
      </c>
      <c r="S4" s="45">
        <v>19</v>
      </c>
    </row>
    <row r="5" spans="1:19" s="1" customFormat="1" ht="27.95" customHeight="1" x14ac:dyDescent="0.2">
      <c r="A5" s="12" t="s">
        <v>18</v>
      </c>
      <c r="B5" s="24" t="s">
        <v>485</v>
      </c>
      <c r="C5" s="13" t="s">
        <v>486</v>
      </c>
      <c r="D5" s="23" t="s">
        <v>487</v>
      </c>
      <c r="E5" s="14"/>
      <c r="F5" s="14" t="s">
        <v>21</v>
      </c>
      <c r="G5" s="14" t="s">
        <v>488</v>
      </c>
      <c r="H5" s="14"/>
      <c r="I5" s="14" t="s">
        <v>489</v>
      </c>
      <c r="J5" s="70" t="s">
        <v>490</v>
      </c>
      <c r="K5" s="14" t="s">
        <v>491</v>
      </c>
      <c r="L5" s="15">
        <v>67777.8</v>
      </c>
      <c r="M5" s="16">
        <f>L5*0.25</f>
        <v>16944.45</v>
      </c>
      <c r="N5" s="20">
        <f t="shared" ref="N5:N22" si="0">L5+M5</f>
        <v>84722.25</v>
      </c>
      <c r="O5" s="28" t="s">
        <v>492</v>
      </c>
      <c r="P5" s="29" t="s">
        <v>473</v>
      </c>
      <c r="Q5" s="30">
        <v>97567.54</v>
      </c>
      <c r="R5" s="18"/>
      <c r="S5" s="28" t="s">
        <v>493</v>
      </c>
    </row>
    <row r="6" spans="1:19" s="1" customFormat="1" ht="27.95" customHeight="1" x14ac:dyDescent="0.2">
      <c r="A6" s="12" t="s">
        <v>26</v>
      </c>
      <c r="B6" s="24" t="s">
        <v>494</v>
      </c>
      <c r="C6" s="13" t="s">
        <v>495</v>
      </c>
      <c r="D6" s="23" t="s">
        <v>496</v>
      </c>
      <c r="E6" s="14"/>
      <c r="F6" s="14" t="s">
        <v>21</v>
      </c>
      <c r="G6" s="14" t="s">
        <v>497</v>
      </c>
      <c r="H6" s="14"/>
      <c r="I6" s="14" t="s">
        <v>498</v>
      </c>
      <c r="J6" s="70" t="s">
        <v>499</v>
      </c>
      <c r="K6" s="14" t="s">
        <v>500</v>
      </c>
      <c r="L6" s="15">
        <v>74436</v>
      </c>
      <c r="M6" s="16">
        <f>L6*0.25</f>
        <v>18609</v>
      </c>
      <c r="N6" s="20">
        <f t="shared" si="0"/>
        <v>93045</v>
      </c>
      <c r="O6" s="28" t="s">
        <v>492</v>
      </c>
      <c r="P6" s="29" t="s">
        <v>501</v>
      </c>
      <c r="Q6" s="30">
        <v>93045</v>
      </c>
      <c r="R6" s="18"/>
      <c r="S6" s="28" t="s">
        <v>502</v>
      </c>
    </row>
    <row r="7" spans="1:19" s="1" customFormat="1" ht="27.95" customHeight="1" x14ac:dyDescent="0.2">
      <c r="A7" s="12" t="s">
        <v>32</v>
      </c>
      <c r="B7" s="24" t="s">
        <v>503</v>
      </c>
      <c r="C7" s="13" t="s">
        <v>504</v>
      </c>
      <c r="D7" s="23" t="s">
        <v>505</v>
      </c>
      <c r="E7" s="14"/>
      <c r="F7" s="14" t="s">
        <v>21</v>
      </c>
      <c r="G7" s="14" t="s">
        <v>506</v>
      </c>
      <c r="H7" s="14"/>
      <c r="I7" s="14" t="s">
        <v>507</v>
      </c>
      <c r="J7" s="70" t="s">
        <v>508</v>
      </c>
      <c r="K7" s="14" t="s">
        <v>509</v>
      </c>
      <c r="L7" s="15">
        <v>33750</v>
      </c>
      <c r="M7" s="16">
        <v>0</v>
      </c>
      <c r="N7" s="20">
        <f t="shared" si="0"/>
        <v>33750</v>
      </c>
      <c r="O7" s="28" t="s">
        <v>492</v>
      </c>
      <c r="P7" s="29" t="s">
        <v>678</v>
      </c>
      <c r="Q7" s="30">
        <v>33750</v>
      </c>
      <c r="R7" s="18"/>
      <c r="S7" s="28" t="s">
        <v>510</v>
      </c>
    </row>
    <row r="8" spans="1:19" s="1" customFormat="1" ht="27.95" customHeight="1" x14ac:dyDescent="0.2">
      <c r="A8" s="12" t="s">
        <v>39</v>
      </c>
      <c r="B8" s="24" t="s">
        <v>511</v>
      </c>
      <c r="C8" s="13" t="s">
        <v>384</v>
      </c>
      <c r="D8" s="23" t="s">
        <v>385</v>
      </c>
      <c r="E8" s="14"/>
      <c r="F8" s="14" t="s">
        <v>21</v>
      </c>
      <c r="G8" s="14" t="s">
        <v>314</v>
      </c>
      <c r="H8" s="14"/>
      <c r="I8" s="14" t="s">
        <v>512</v>
      </c>
      <c r="J8" s="70" t="s">
        <v>513</v>
      </c>
      <c r="K8" s="14" t="s">
        <v>514</v>
      </c>
      <c r="L8" s="15">
        <f>146001.45+48990</f>
        <v>194991.45</v>
      </c>
      <c r="M8" s="16">
        <f t="shared" ref="M8:M21" si="1">L8*0.25</f>
        <v>48747.862500000003</v>
      </c>
      <c r="N8" s="20">
        <f t="shared" si="0"/>
        <v>243739.3125</v>
      </c>
      <c r="O8" s="28" t="s">
        <v>492</v>
      </c>
      <c r="P8" s="29" t="s">
        <v>515</v>
      </c>
      <c r="Q8" s="33">
        <f>182501.81+61237.5</f>
        <v>243739.31</v>
      </c>
      <c r="R8" s="18"/>
      <c r="S8" s="28" t="s">
        <v>516</v>
      </c>
    </row>
    <row r="9" spans="1:19" s="1" customFormat="1" ht="27.95" customHeight="1" x14ac:dyDescent="0.2">
      <c r="A9" s="12" t="s">
        <v>47</v>
      </c>
      <c r="B9" s="24" t="s">
        <v>517</v>
      </c>
      <c r="C9" s="13" t="s">
        <v>227</v>
      </c>
      <c r="D9" s="23" t="s">
        <v>228</v>
      </c>
      <c r="E9" s="14"/>
      <c r="F9" s="14" t="s">
        <v>21</v>
      </c>
      <c r="G9" s="14" t="s">
        <v>35</v>
      </c>
      <c r="H9" s="14"/>
      <c r="I9" s="14" t="s">
        <v>501</v>
      </c>
      <c r="J9" s="70" t="s">
        <v>518</v>
      </c>
      <c r="K9" s="14" t="s">
        <v>519</v>
      </c>
      <c r="L9" s="15">
        <v>191664.8</v>
      </c>
      <c r="M9" s="16">
        <f t="shared" si="1"/>
        <v>47916.2</v>
      </c>
      <c r="N9" s="20">
        <f t="shared" si="0"/>
        <v>239581</v>
      </c>
      <c r="O9" s="28" t="s">
        <v>492</v>
      </c>
      <c r="P9" s="29" t="s">
        <v>520</v>
      </c>
      <c r="Q9" s="30">
        <v>238457.65</v>
      </c>
      <c r="R9" s="18"/>
      <c r="S9" s="19"/>
    </row>
    <row r="10" spans="1:19" s="1" customFormat="1" ht="27.95" customHeight="1" x14ac:dyDescent="0.2">
      <c r="A10" s="12" t="s">
        <v>55</v>
      </c>
      <c r="B10" s="24" t="s">
        <v>521</v>
      </c>
      <c r="C10" s="13" t="s">
        <v>233</v>
      </c>
      <c r="D10" s="23" t="s">
        <v>234</v>
      </c>
      <c r="E10" s="14"/>
      <c r="F10" s="14" t="s">
        <v>21</v>
      </c>
      <c r="G10" s="14" t="s">
        <v>522</v>
      </c>
      <c r="H10" s="14"/>
      <c r="I10" s="14" t="s">
        <v>523</v>
      </c>
      <c r="J10" s="70" t="s">
        <v>524</v>
      </c>
      <c r="K10" s="14" t="s">
        <v>525</v>
      </c>
      <c r="L10" s="15">
        <v>89230</v>
      </c>
      <c r="M10" s="16">
        <f t="shared" si="1"/>
        <v>22307.5</v>
      </c>
      <c r="N10" s="20">
        <f t="shared" si="0"/>
        <v>111537.5</v>
      </c>
      <c r="O10" s="28" t="s">
        <v>492</v>
      </c>
      <c r="P10" s="29" t="s">
        <v>526</v>
      </c>
      <c r="Q10" s="30">
        <v>106781.71</v>
      </c>
      <c r="R10" s="18"/>
      <c r="S10" s="19"/>
    </row>
    <row r="11" spans="1:19" s="1" customFormat="1" ht="28.9" customHeight="1" x14ac:dyDescent="0.2">
      <c r="A11" s="12" t="s">
        <v>63</v>
      </c>
      <c r="B11" s="24" t="s">
        <v>527</v>
      </c>
      <c r="C11" s="13" t="s">
        <v>528</v>
      </c>
      <c r="D11" s="23" t="s">
        <v>254</v>
      </c>
      <c r="E11" s="14" t="s">
        <v>529</v>
      </c>
      <c r="F11" s="14" t="s">
        <v>76</v>
      </c>
      <c r="G11" s="14" t="s">
        <v>255</v>
      </c>
      <c r="H11" s="14"/>
      <c r="I11" s="14" t="s">
        <v>530</v>
      </c>
      <c r="J11" s="70" t="s">
        <v>531</v>
      </c>
      <c r="K11" s="14" t="s">
        <v>532</v>
      </c>
      <c r="L11" s="15">
        <v>504521.6</v>
      </c>
      <c r="M11" s="16">
        <f t="shared" si="1"/>
        <v>126130.4</v>
      </c>
      <c r="N11" s="20">
        <f t="shared" si="0"/>
        <v>630652</v>
      </c>
      <c r="O11" s="28" t="s">
        <v>492</v>
      </c>
      <c r="P11" s="29" t="s">
        <v>799</v>
      </c>
      <c r="Q11" s="30">
        <f>523624.88+95744.95</f>
        <v>619369.82999999996</v>
      </c>
      <c r="R11" s="18"/>
      <c r="S11" s="28" t="s">
        <v>533</v>
      </c>
    </row>
    <row r="12" spans="1:19" s="1" customFormat="1" ht="27.6" customHeight="1" x14ac:dyDescent="0.2">
      <c r="A12" s="12" t="s">
        <v>71</v>
      </c>
      <c r="B12" s="24" t="s">
        <v>527</v>
      </c>
      <c r="C12" s="13" t="s">
        <v>534</v>
      </c>
      <c r="D12" s="23" t="s">
        <v>254</v>
      </c>
      <c r="E12" s="14" t="s">
        <v>535</v>
      </c>
      <c r="F12" s="14" t="s">
        <v>76</v>
      </c>
      <c r="G12" s="14" t="s">
        <v>255</v>
      </c>
      <c r="H12" s="14"/>
      <c r="I12" s="14" t="s">
        <v>536</v>
      </c>
      <c r="J12" s="70" t="s">
        <v>537</v>
      </c>
      <c r="K12" s="14" t="s">
        <v>538</v>
      </c>
      <c r="L12" s="15">
        <v>332369.59999999998</v>
      </c>
      <c r="M12" s="16">
        <f t="shared" si="1"/>
        <v>83092.399999999994</v>
      </c>
      <c r="N12" s="20">
        <f t="shared" si="0"/>
        <v>415462</v>
      </c>
      <c r="O12" s="28" t="s">
        <v>492</v>
      </c>
      <c r="P12" s="29" t="s">
        <v>539</v>
      </c>
      <c r="Q12" s="33">
        <v>523624.88</v>
      </c>
      <c r="R12" s="18"/>
      <c r="S12" s="28" t="s">
        <v>89</v>
      </c>
    </row>
    <row r="13" spans="1:19" s="1" customFormat="1" ht="27.6" customHeight="1" x14ac:dyDescent="0.2">
      <c r="A13" s="12" t="s">
        <v>82</v>
      </c>
      <c r="B13" s="24" t="s">
        <v>540</v>
      </c>
      <c r="C13" s="13" t="s">
        <v>541</v>
      </c>
      <c r="D13" s="23" t="s">
        <v>542</v>
      </c>
      <c r="E13" s="14"/>
      <c r="F13" s="14" t="s">
        <v>21</v>
      </c>
      <c r="G13" s="14" t="s">
        <v>543</v>
      </c>
      <c r="H13" s="14"/>
      <c r="I13" s="14" t="s">
        <v>544</v>
      </c>
      <c r="J13" s="70" t="s">
        <v>545</v>
      </c>
      <c r="K13" s="14" t="s">
        <v>514</v>
      </c>
      <c r="L13" s="15">
        <v>33690</v>
      </c>
      <c r="M13" s="16">
        <f t="shared" si="1"/>
        <v>8422.5</v>
      </c>
      <c r="N13" s="20">
        <f t="shared" si="0"/>
        <v>42112.5</v>
      </c>
      <c r="O13" s="28" t="s">
        <v>492</v>
      </c>
      <c r="P13" s="29" t="s">
        <v>546</v>
      </c>
      <c r="Q13" s="33">
        <v>42112.5</v>
      </c>
      <c r="R13" s="18"/>
      <c r="S13" s="28"/>
    </row>
    <row r="14" spans="1:19" s="1" customFormat="1" ht="36.6" customHeight="1" x14ac:dyDescent="0.2">
      <c r="A14" s="12" t="s">
        <v>90</v>
      </c>
      <c r="B14" s="24" t="s">
        <v>547</v>
      </c>
      <c r="C14" s="13" t="s">
        <v>548</v>
      </c>
      <c r="D14" s="23" t="s">
        <v>549</v>
      </c>
      <c r="E14" s="14"/>
      <c r="F14" s="14" t="s">
        <v>21</v>
      </c>
      <c r="G14" s="14" t="s">
        <v>550</v>
      </c>
      <c r="H14" s="14"/>
      <c r="I14" s="14" t="s">
        <v>551</v>
      </c>
      <c r="J14" s="70" t="s">
        <v>552</v>
      </c>
      <c r="K14" s="14" t="s">
        <v>553</v>
      </c>
      <c r="L14" s="15">
        <f>72393.6+2685</f>
        <v>75078.600000000006</v>
      </c>
      <c r="M14" s="16">
        <f t="shared" si="1"/>
        <v>18769.650000000001</v>
      </c>
      <c r="N14" s="20">
        <f t="shared" si="0"/>
        <v>93848.25</v>
      </c>
      <c r="O14" s="28" t="s">
        <v>492</v>
      </c>
      <c r="P14" s="29" t="s">
        <v>733</v>
      </c>
      <c r="Q14" s="33">
        <f>90492+3356.25</f>
        <v>93848.25</v>
      </c>
      <c r="R14" s="18"/>
      <c r="S14" s="28" t="s">
        <v>554</v>
      </c>
    </row>
    <row r="15" spans="1:19" s="1" customFormat="1" ht="38.25" x14ac:dyDescent="0.2">
      <c r="A15" s="12" t="s">
        <v>99</v>
      </c>
      <c r="B15" s="24" t="s">
        <v>555</v>
      </c>
      <c r="C15" s="13" t="s">
        <v>556</v>
      </c>
      <c r="D15" s="23" t="s">
        <v>557</v>
      </c>
      <c r="E15" s="14" t="s">
        <v>558</v>
      </c>
      <c r="F15" s="14" t="s">
        <v>76</v>
      </c>
      <c r="G15" s="14" t="s">
        <v>77</v>
      </c>
      <c r="H15" s="14"/>
      <c r="I15" s="14" t="s">
        <v>559</v>
      </c>
      <c r="J15" s="70" t="s">
        <v>560</v>
      </c>
      <c r="K15" s="14" t="s">
        <v>561</v>
      </c>
      <c r="L15" s="15">
        <v>894000</v>
      </c>
      <c r="M15" s="16">
        <f t="shared" si="1"/>
        <v>223500</v>
      </c>
      <c r="N15" s="20">
        <f t="shared" si="0"/>
        <v>1117500</v>
      </c>
      <c r="O15" s="28" t="s">
        <v>492</v>
      </c>
      <c r="P15" s="29" t="s">
        <v>800</v>
      </c>
      <c r="Q15" s="30">
        <f>558750*2</f>
        <v>1117500</v>
      </c>
      <c r="R15" s="18"/>
      <c r="S15" s="28" t="s">
        <v>533</v>
      </c>
    </row>
    <row r="16" spans="1:19" s="1" customFormat="1" ht="38.25" x14ac:dyDescent="0.2">
      <c r="A16" s="12" t="s">
        <v>107</v>
      </c>
      <c r="B16" s="24" t="s">
        <v>555</v>
      </c>
      <c r="C16" s="13" t="s">
        <v>562</v>
      </c>
      <c r="D16" s="23" t="s">
        <v>557</v>
      </c>
      <c r="E16" s="14" t="s">
        <v>563</v>
      </c>
      <c r="F16" s="14" t="s">
        <v>76</v>
      </c>
      <c r="G16" s="14" t="s">
        <v>77</v>
      </c>
      <c r="H16" s="14"/>
      <c r="I16" s="14" t="s">
        <v>559</v>
      </c>
      <c r="J16" s="70" t="s">
        <v>564</v>
      </c>
      <c r="K16" s="14" t="s">
        <v>565</v>
      </c>
      <c r="L16" s="15">
        <v>447000</v>
      </c>
      <c r="M16" s="16">
        <f t="shared" si="1"/>
        <v>111750</v>
      </c>
      <c r="N16" s="20">
        <f t="shared" si="0"/>
        <v>558750</v>
      </c>
      <c r="O16" s="28" t="s">
        <v>492</v>
      </c>
      <c r="P16" s="29" t="s">
        <v>566</v>
      </c>
      <c r="Q16" s="30">
        <v>558750</v>
      </c>
      <c r="R16" s="18"/>
      <c r="S16" s="28" t="s">
        <v>89</v>
      </c>
    </row>
    <row r="17" spans="1:19" s="1" customFormat="1" ht="27.95" customHeight="1" x14ac:dyDescent="0.2">
      <c r="A17" s="12" t="s">
        <v>113</v>
      </c>
      <c r="B17" s="24" t="s">
        <v>567</v>
      </c>
      <c r="C17" s="13" t="s">
        <v>274</v>
      </c>
      <c r="D17" s="23" t="s">
        <v>373</v>
      </c>
      <c r="E17" s="14" t="s">
        <v>568</v>
      </c>
      <c r="F17" s="14" t="s">
        <v>76</v>
      </c>
      <c r="G17" s="14" t="s">
        <v>375</v>
      </c>
      <c r="H17" s="14"/>
      <c r="I17" s="14" t="s">
        <v>569</v>
      </c>
      <c r="J17" s="70" t="s">
        <v>570</v>
      </c>
      <c r="K17" s="14" t="s">
        <v>571</v>
      </c>
      <c r="L17" s="15">
        <v>597976</v>
      </c>
      <c r="M17" s="16">
        <f t="shared" si="1"/>
        <v>149494</v>
      </c>
      <c r="N17" s="20">
        <f t="shared" si="0"/>
        <v>747470</v>
      </c>
      <c r="O17" s="28" t="s">
        <v>492</v>
      </c>
      <c r="P17" s="29" t="s">
        <v>801</v>
      </c>
      <c r="Q17" s="33">
        <f>390348+355701.83</f>
        <v>746049.83000000007</v>
      </c>
      <c r="R17" s="27"/>
      <c r="S17" s="28" t="s">
        <v>533</v>
      </c>
    </row>
    <row r="18" spans="1:19" s="1" customFormat="1" ht="29.1" customHeight="1" x14ac:dyDescent="0.2">
      <c r="A18" s="12" t="s">
        <v>122</v>
      </c>
      <c r="B18" s="24" t="s">
        <v>567</v>
      </c>
      <c r="C18" s="13" t="s">
        <v>572</v>
      </c>
      <c r="D18" s="23" t="s">
        <v>373</v>
      </c>
      <c r="E18" s="14" t="s">
        <v>573</v>
      </c>
      <c r="F18" s="14" t="s">
        <v>76</v>
      </c>
      <c r="G18" s="14" t="s">
        <v>375</v>
      </c>
      <c r="H18" s="14"/>
      <c r="I18" s="14" t="s">
        <v>515</v>
      </c>
      <c r="J18" s="70" t="s">
        <v>574</v>
      </c>
      <c r="K18" s="14" t="s">
        <v>575</v>
      </c>
      <c r="L18" s="15">
        <v>312778.40000000002</v>
      </c>
      <c r="M18" s="16">
        <f t="shared" si="1"/>
        <v>78194.600000000006</v>
      </c>
      <c r="N18" s="20">
        <f t="shared" si="0"/>
        <v>390973</v>
      </c>
      <c r="O18" s="28" t="s">
        <v>492</v>
      </c>
      <c r="P18" s="29" t="s">
        <v>576</v>
      </c>
      <c r="Q18" s="33">
        <v>390348</v>
      </c>
      <c r="R18" s="18"/>
      <c r="S18" s="28" t="s">
        <v>89</v>
      </c>
    </row>
    <row r="19" spans="1:19" s="1" customFormat="1" ht="29.1" customHeight="1" x14ac:dyDescent="0.2">
      <c r="A19" s="12" t="s">
        <v>129</v>
      </c>
      <c r="B19" s="24" t="s">
        <v>577</v>
      </c>
      <c r="C19" s="13" t="s">
        <v>440</v>
      </c>
      <c r="D19" s="23" t="s">
        <v>441</v>
      </c>
      <c r="E19" s="14"/>
      <c r="F19" s="14" t="s">
        <v>21</v>
      </c>
      <c r="G19" s="14" t="s">
        <v>578</v>
      </c>
      <c r="H19" s="14"/>
      <c r="I19" s="14" t="s">
        <v>579</v>
      </c>
      <c r="J19" s="70" t="s">
        <v>580</v>
      </c>
      <c r="K19" s="14" t="s">
        <v>734</v>
      </c>
      <c r="L19" s="15">
        <v>44400</v>
      </c>
      <c r="M19" s="16">
        <f t="shared" si="1"/>
        <v>11100</v>
      </c>
      <c r="N19" s="20">
        <f t="shared" si="0"/>
        <v>55500</v>
      </c>
      <c r="O19" s="28" t="s">
        <v>492</v>
      </c>
      <c r="P19" s="29" t="s">
        <v>735</v>
      </c>
      <c r="Q19" s="33">
        <v>55500</v>
      </c>
      <c r="R19" s="18"/>
      <c r="S19" s="28" t="s">
        <v>581</v>
      </c>
    </row>
    <row r="20" spans="1:19" s="1" customFormat="1" ht="29.1" customHeight="1" x14ac:dyDescent="0.2">
      <c r="A20" s="12" t="s">
        <v>137</v>
      </c>
      <c r="B20" s="24" t="s">
        <v>582</v>
      </c>
      <c r="C20" s="13" t="s">
        <v>583</v>
      </c>
      <c r="D20" s="23" t="s">
        <v>269</v>
      </c>
      <c r="E20" s="14"/>
      <c r="F20" s="14" t="s">
        <v>21</v>
      </c>
      <c r="G20" s="14" t="s">
        <v>270</v>
      </c>
      <c r="H20" s="14"/>
      <c r="I20" s="14" t="s">
        <v>584</v>
      </c>
      <c r="J20" s="70" t="s">
        <v>585</v>
      </c>
      <c r="K20" s="14" t="s">
        <v>586</v>
      </c>
      <c r="L20" s="15">
        <v>49585</v>
      </c>
      <c r="M20" s="16">
        <f t="shared" si="1"/>
        <v>12396.25</v>
      </c>
      <c r="N20" s="20">
        <f t="shared" si="0"/>
        <v>61981.25</v>
      </c>
      <c r="O20" s="28" t="s">
        <v>492</v>
      </c>
      <c r="P20" s="29" t="s">
        <v>438</v>
      </c>
      <c r="Q20" s="33">
        <v>61981.25</v>
      </c>
      <c r="R20" s="18"/>
      <c r="S20" s="28" t="s">
        <v>587</v>
      </c>
    </row>
    <row r="21" spans="1:19" s="37" customFormat="1" ht="38.25" x14ac:dyDescent="0.2">
      <c r="A21" s="12" t="s">
        <v>145</v>
      </c>
      <c r="B21" s="24" t="s">
        <v>588</v>
      </c>
      <c r="C21" s="13" t="s">
        <v>589</v>
      </c>
      <c r="D21" s="23" t="s">
        <v>590</v>
      </c>
      <c r="E21" s="14"/>
      <c r="F21" s="14" t="s">
        <v>21</v>
      </c>
      <c r="G21" s="14" t="s">
        <v>591</v>
      </c>
      <c r="H21" s="14"/>
      <c r="I21" s="14" t="s">
        <v>592</v>
      </c>
      <c r="J21" s="70" t="s">
        <v>593</v>
      </c>
      <c r="K21" s="14" t="s">
        <v>594</v>
      </c>
      <c r="L21" s="15">
        <v>85705</v>
      </c>
      <c r="M21" s="16">
        <f t="shared" si="1"/>
        <v>21426.25</v>
      </c>
      <c r="N21" s="20">
        <f t="shared" si="0"/>
        <v>107131.25</v>
      </c>
      <c r="O21" s="28" t="s">
        <v>492</v>
      </c>
      <c r="P21" s="29" t="s">
        <v>595</v>
      </c>
      <c r="Q21" s="33">
        <v>107131.25</v>
      </c>
      <c r="R21" s="18"/>
      <c r="S21" s="28" t="s">
        <v>431</v>
      </c>
    </row>
    <row r="22" spans="1:19" s="1" customFormat="1" ht="74.650000000000006" customHeight="1" x14ac:dyDescent="0.2">
      <c r="A22" s="12" t="s">
        <v>152</v>
      </c>
      <c r="B22" s="24"/>
      <c r="C22" s="13" t="s">
        <v>596</v>
      </c>
      <c r="D22" s="14" t="s">
        <v>410</v>
      </c>
      <c r="E22" s="14" t="s">
        <v>597</v>
      </c>
      <c r="F22" s="14" t="s">
        <v>419</v>
      </c>
      <c r="G22" s="14" t="s">
        <v>598</v>
      </c>
      <c r="H22" s="14"/>
      <c r="I22" s="14" t="s">
        <v>599</v>
      </c>
      <c r="J22" s="71" t="s">
        <v>600</v>
      </c>
      <c r="K22" s="14" t="s">
        <v>601</v>
      </c>
      <c r="L22" s="15">
        <f>7985.69+7470.3</f>
        <v>15455.99</v>
      </c>
      <c r="M22" s="16">
        <v>0</v>
      </c>
      <c r="N22" s="20">
        <f t="shared" si="0"/>
        <v>15455.99</v>
      </c>
      <c r="O22" s="28" t="s">
        <v>492</v>
      </c>
      <c r="P22" s="29" t="s">
        <v>736</v>
      </c>
      <c r="Q22" s="33">
        <v>15455.99</v>
      </c>
      <c r="R22" s="18"/>
      <c r="S22" s="28" t="s">
        <v>602</v>
      </c>
    </row>
    <row r="23" spans="1:19" s="37" customFormat="1" ht="25.5" x14ac:dyDescent="0.2">
      <c r="A23" s="12" t="s">
        <v>156</v>
      </c>
      <c r="B23" s="24" t="s">
        <v>603</v>
      </c>
      <c r="C23" s="13" t="s">
        <v>604</v>
      </c>
      <c r="D23" s="23" t="s">
        <v>132</v>
      </c>
      <c r="E23" s="14"/>
      <c r="F23" s="14" t="s">
        <v>21</v>
      </c>
      <c r="G23" s="14" t="s">
        <v>133</v>
      </c>
      <c r="H23" s="14"/>
      <c r="I23" s="14" t="s">
        <v>438</v>
      </c>
      <c r="J23" s="70" t="s">
        <v>605</v>
      </c>
      <c r="K23" s="14" t="s">
        <v>606</v>
      </c>
      <c r="L23" s="15">
        <v>35000</v>
      </c>
      <c r="M23" s="16">
        <f t="shared" ref="M23:M24" si="2">L23*0.25</f>
        <v>8750</v>
      </c>
      <c r="N23" s="20">
        <f>L23+M23</f>
        <v>43750</v>
      </c>
      <c r="O23" s="28" t="s">
        <v>492</v>
      </c>
      <c r="P23" s="29" t="s">
        <v>359</v>
      </c>
      <c r="Q23" s="33">
        <v>43750</v>
      </c>
      <c r="R23" s="18"/>
      <c r="S23" s="28"/>
    </row>
    <row r="24" spans="1:19" s="37" customFormat="1" ht="38.25" x14ac:dyDescent="0.2">
      <c r="A24" s="12" t="s">
        <v>162</v>
      </c>
      <c r="B24" s="24" t="s">
        <v>607</v>
      </c>
      <c r="C24" s="13" t="s">
        <v>608</v>
      </c>
      <c r="D24" s="23" t="s">
        <v>609</v>
      </c>
      <c r="E24" s="14" t="s">
        <v>610</v>
      </c>
      <c r="F24" s="14" t="s">
        <v>76</v>
      </c>
      <c r="G24" s="14" t="s">
        <v>148</v>
      </c>
      <c r="H24" s="14"/>
      <c r="I24" s="14" t="s">
        <v>611</v>
      </c>
      <c r="J24" s="70" t="s">
        <v>612</v>
      </c>
      <c r="K24" s="14" t="s">
        <v>613</v>
      </c>
      <c r="L24" s="15">
        <v>379000</v>
      </c>
      <c r="M24" s="16">
        <f t="shared" si="2"/>
        <v>94750</v>
      </c>
      <c r="N24" s="20">
        <f t="shared" ref="N24:N32" si="3">L24+M24</f>
        <v>473750</v>
      </c>
      <c r="O24" s="28" t="s">
        <v>492</v>
      </c>
      <c r="P24" s="29" t="s">
        <v>737</v>
      </c>
      <c r="Q24" s="33">
        <v>473750</v>
      </c>
      <c r="R24" s="18"/>
      <c r="S24" s="28"/>
    </row>
    <row r="25" spans="1:19" s="1" customFormat="1" ht="74.650000000000006" customHeight="1" x14ac:dyDescent="0.2">
      <c r="A25" s="12" t="s">
        <v>170</v>
      </c>
      <c r="B25" s="24"/>
      <c r="C25" s="13" t="s">
        <v>596</v>
      </c>
      <c r="D25" s="14" t="s">
        <v>410</v>
      </c>
      <c r="E25" s="14" t="s">
        <v>614</v>
      </c>
      <c r="F25" s="14" t="s">
        <v>419</v>
      </c>
      <c r="G25" s="14" t="s">
        <v>598</v>
      </c>
      <c r="H25" s="14"/>
      <c r="I25" s="14" t="s">
        <v>615</v>
      </c>
      <c r="J25" s="71" t="s">
        <v>616</v>
      </c>
      <c r="K25" s="14" t="s">
        <v>617</v>
      </c>
      <c r="L25" s="15">
        <v>2892.19</v>
      </c>
      <c r="M25" s="16">
        <v>0</v>
      </c>
      <c r="N25" s="20">
        <f t="shared" si="3"/>
        <v>2892.19</v>
      </c>
      <c r="O25" s="28" t="s">
        <v>492</v>
      </c>
      <c r="P25" s="29" t="s">
        <v>738</v>
      </c>
      <c r="Q25" s="33">
        <v>2892.19</v>
      </c>
      <c r="R25" s="18"/>
      <c r="S25" s="28" t="s">
        <v>618</v>
      </c>
    </row>
    <row r="26" spans="1:19" s="37" customFormat="1" ht="25.5" x14ac:dyDescent="0.2">
      <c r="A26" s="12" t="s">
        <v>177</v>
      </c>
      <c r="B26" s="24" t="s">
        <v>619</v>
      </c>
      <c r="C26" s="13" t="s">
        <v>327</v>
      </c>
      <c r="D26" s="14" t="s">
        <v>110</v>
      </c>
      <c r="E26" s="14" t="s">
        <v>393</v>
      </c>
      <c r="F26" s="14" t="s">
        <v>21</v>
      </c>
      <c r="G26" s="14" t="s">
        <v>329</v>
      </c>
      <c r="H26" s="14"/>
      <c r="I26" s="14" t="s">
        <v>620</v>
      </c>
      <c r="J26" s="70" t="s">
        <v>621</v>
      </c>
      <c r="K26" s="14" t="s">
        <v>622</v>
      </c>
      <c r="L26" s="16">
        <v>156520</v>
      </c>
      <c r="M26" s="20">
        <v>0</v>
      </c>
      <c r="N26" s="20">
        <f t="shared" si="3"/>
        <v>156520</v>
      </c>
      <c r="O26" s="28" t="s">
        <v>492</v>
      </c>
      <c r="P26" s="29" t="s">
        <v>576</v>
      </c>
      <c r="Q26" s="33">
        <v>154910</v>
      </c>
      <c r="R26" s="18"/>
      <c r="S26" s="28"/>
    </row>
    <row r="27" spans="1:19" s="37" customFormat="1" ht="63.75" x14ac:dyDescent="0.2">
      <c r="A27" s="12" t="s">
        <v>185</v>
      </c>
      <c r="B27" s="24" t="s">
        <v>623</v>
      </c>
      <c r="C27" s="13" t="s">
        <v>624</v>
      </c>
      <c r="D27" s="23" t="s">
        <v>609</v>
      </c>
      <c r="E27" s="14" t="s">
        <v>625</v>
      </c>
      <c r="F27" s="14" t="s">
        <v>76</v>
      </c>
      <c r="G27" s="14" t="s">
        <v>626</v>
      </c>
      <c r="H27" s="14"/>
      <c r="I27" s="14" t="s">
        <v>739</v>
      </c>
      <c r="J27" s="70" t="s">
        <v>627</v>
      </c>
      <c r="K27" s="14" t="s">
        <v>740</v>
      </c>
      <c r="L27" s="15">
        <v>394000</v>
      </c>
      <c r="M27" s="16">
        <f t="shared" ref="M27" si="4">L27*0.25</f>
        <v>98500</v>
      </c>
      <c r="N27" s="20">
        <f t="shared" si="3"/>
        <v>492500</v>
      </c>
      <c r="O27" s="28" t="s">
        <v>492</v>
      </c>
      <c r="P27" s="29" t="s">
        <v>802</v>
      </c>
      <c r="Q27" s="33">
        <v>492500</v>
      </c>
      <c r="R27" s="35"/>
      <c r="S27" s="35"/>
    </row>
    <row r="28" spans="1:19" s="37" customFormat="1" ht="25.5" x14ac:dyDescent="0.2">
      <c r="A28" s="12" t="s">
        <v>191</v>
      </c>
      <c r="B28" s="24"/>
      <c r="C28" s="13" t="s">
        <v>628</v>
      </c>
      <c r="D28" s="14" t="s">
        <v>188</v>
      </c>
      <c r="E28" s="14" t="s">
        <v>629</v>
      </c>
      <c r="F28" s="14" t="s">
        <v>76</v>
      </c>
      <c r="G28" s="14" t="s">
        <v>630</v>
      </c>
      <c r="H28" s="14"/>
      <c r="I28" s="14" t="s">
        <v>631</v>
      </c>
      <c r="J28" s="70" t="s">
        <v>632</v>
      </c>
      <c r="K28" s="14" t="s">
        <v>633</v>
      </c>
      <c r="L28" s="16">
        <v>69111.179999999993</v>
      </c>
      <c r="M28" s="20">
        <f>L28*0.13</f>
        <v>8984.4533999999985</v>
      </c>
      <c r="N28" s="20">
        <f t="shared" si="3"/>
        <v>78095.633399999992</v>
      </c>
      <c r="O28" s="28" t="s">
        <v>492</v>
      </c>
      <c r="P28" s="29" t="s">
        <v>741</v>
      </c>
      <c r="Q28" s="33">
        <v>63183.54</v>
      </c>
      <c r="R28" s="18"/>
      <c r="S28" s="28" t="s">
        <v>224</v>
      </c>
    </row>
    <row r="29" spans="1:19" s="37" customFormat="1" ht="25.5" x14ac:dyDescent="0.2">
      <c r="A29" s="12" t="s">
        <v>337</v>
      </c>
      <c r="B29" s="24" t="s">
        <v>634</v>
      </c>
      <c r="C29" s="13" t="s">
        <v>198</v>
      </c>
      <c r="D29" s="14" t="s">
        <v>199</v>
      </c>
      <c r="E29" s="14"/>
      <c r="F29" s="14" t="s">
        <v>21</v>
      </c>
      <c r="G29" s="14" t="s">
        <v>200</v>
      </c>
      <c r="H29" s="14"/>
      <c r="I29" s="14" t="s">
        <v>631</v>
      </c>
      <c r="J29" s="70" t="s">
        <v>635</v>
      </c>
      <c r="K29" s="14" t="s">
        <v>633</v>
      </c>
      <c r="L29" s="16">
        <v>60000</v>
      </c>
      <c r="M29" s="20">
        <f>L29*0.25</f>
        <v>15000</v>
      </c>
      <c r="N29" s="20">
        <f t="shared" si="3"/>
        <v>75000</v>
      </c>
      <c r="O29" s="28" t="s">
        <v>492</v>
      </c>
      <c r="P29" s="29" t="s">
        <v>741</v>
      </c>
      <c r="Q29" s="33">
        <f>6250*12</f>
        <v>75000</v>
      </c>
      <c r="R29" s="18"/>
      <c r="S29" s="28"/>
    </row>
    <row r="30" spans="1:19" s="37" customFormat="1" ht="25.5" x14ac:dyDescent="0.2">
      <c r="A30" s="12" t="s">
        <v>342</v>
      </c>
      <c r="B30" s="24" t="s">
        <v>636</v>
      </c>
      <c r="C30" s="13" t="s">
        <v>637</v>
      </c>
      <c r="D30" s="14" t="s">
        <v>638</v>
      </c>
      <c r="E30" s="14"/>
      <c r="F30" s="14" t="s">
        <v>21</v>
      </c>
      <c r="G30" s="14" t="s">
        <v>639</v>
      </c>
      <c r="H30" s="14"/>
      <c r="I30" s="14" t="s">
        <v>640</v>
      </c>
      <c r="J30" s="70" t="s">
        <v>641</v>
      </c>
      <c r="K30" s="14" t="s">
        <v>633</v>
      </c>
      <c r="L30" s="16">
        <v>54119.25</v>
      </c>
      <c r="M30" s="20">
        <v>11538.81</v>
      </c>
      <c r="N30" s="20">
        <f t="shared" si="3"/>
        <v>65658.06</v>
      </c>
      <c r="O30" s="28" t="s">
        <v>492</v>
      </c>
      <c r="P30" s="29" t="s">
        <v>741</v>
      </c>
      <c r="Q30" s="33">
        <v>55147.45</v>
      </c>
      <c r="R30" s="18"/>
      <c r="S30" s="28"/>
    </row>
    <row r="31" spans="1:19" s="37" customFormat="1" ht="38.25" x14ac:dyDescent="0.2">
      <c r="A31" s="12" t="s">
        <v>346</v>
      </c>
      <c r="B31" s="24" t="s">
        <v>642</v>
      </c>
      <c r="C31" s="13" t="s">
        <v>643</v>
      </c>
      <c r="D31" s="14" t="s">
        <v>496</v>
      </c>
      <c r="E31" s="14"/>
      <c r="F31" s="14" t="s">
        <v>21</v>
      </c>
      <c r="G31" s="14" t="s">
        <v>148</v>
      </c>
      <c r="H31" s="14"/>
      <c r="I31" s="14" t="s">
        <v>644</v>
      </c>
      <c r="J31" s="70" t="s">
        <v>645</v>
      </c>
      <c r="K31" s="14" t="s">
        <v>646</v>
      </c>
      <c r="L31" s="16">
        <v>39000</v>
      </c>
      <c r="M31" s="20">
        <f>L31*0.25</f>
        <v>9750</v>
      </c>
      <c r="N31" s="20">
        <f t="shared" si="3"/>
        <v>48750</v>
      </c>
      <c r="O31" s="28" t="s">
        <v>492</v>
      </c>
      <c r="P31" s="29" t="s">
        <v>647</v>
      </c>
      <c r="Q31" s="33">
        <v>48750</v>
      </c>
      <c r="R31" s="18"/>
      <c r="S31" s="28"/>
    </row>
    <row r="32" spans="1:19" s="37" customFormat="1" ht="123.75" customHeight="1" x14ac:dyDescent="0.2">
      <c r="A32" s="12" t="s">
        <v>648</v>
      </c>
      <c r="B32" s="24" t="s">
        <v>649</v>
      </c>
      <c r="C32" s="13" t="s">
        <v>650</v>
      </c>
      <c r="D32" s="14" t="s">
        <v>651</v>
      </c>
      <c r="E32" s="14"/>
      <c r="F32" s="14" t="s">
        <v>21</v>
      </c>
      <c r="G32" s="14" t="s">
        <v>652</v>
      </c>
      <c r="H32" s="14"/>
      <c r="I32" s="14" t="s">
        <v>653</v>
      </c>
      <c r="J32" s="70" t="s">
        <v>654</v>
      </c>
      <c r="K32" s="14" t="s">
        <v>655</v>
      </c>
      <c r="L32" s="16">
        <v>113344</v>
      </c>
      <c r="M32" s="20">
        <f>L32*0.25</f>
        <v>28336</v>
      </c>
      <c r="N32" s="20">
        <f t="shared" si="3"/>
        <v>141680</v>
      </c>
      <c r="O32" s="28" t="s">
        <v>492</v>
      </c>
      <c r="P32" s="29" t="s">
        <v>803</v>
      </c>
      <c r="Q32" s="33">
        <v>129180</v>
      </c>
      <c r="R32" s="18"/>
      <c r="S32" s="28"/>
    </row>
    <row r="33" spans="1:19" s="1" customFormat="1" x14ac:dyDescent="0.2">
      <c r="A33" s="3"/>
      <c r="B33" s="3"/>
      <c r="M33" s="3"/>
      <c r="N33" s="3"/>
      <c r="O33" s="3"/>
      <c r="P33" s="3"/>
      <c r="Q33" s="3"/>
      <c r="R33" s="3"/>
      <c r="S33" s="3"/>
    </row>
    <row r="34" spans="1:19" s="1" customFormat="1" x14ac:dyDescent="0.2">
      <c r="A34" s="72"/>
      <c r="B34" s="3"/>
      <c r="M34" s="3"/>
      <c r="N34" s="3"/>
      <c r="O34" s="3"/>
      <c r="P34" s="3"/>
      <c r="Q34" s="3"/>
      <c r="R34" s="3"/>
      <c r="S34" s="3"/>
    </row>
  </sheetData>
  <mergeCells count="1">
    <mergeCell ref="A1:S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2028-D4F5-43EC-A29F-C060EB985523}">
  <sheetPr>
    <pageSetUpPr fitToPage="1"/>
  </sheetPr>
  <dimension ref="A1:S32"/>
  <sheetViews>
    <sheetView zoomScaleNormal="100" zoomScaleSheetLayoutView="90" workbookViewId="0">
      <selection sqref="A1:S1"/>
    </sheetView>
  </sheetViews>
  <sheetFormatPr defaultColWidth="9.140625" defaultRowHeight="12.75" x14ac:dyDescent="0.2"/>
  <cols>
    <col min="1" max="1" width="7" style="61" customWidth="1"/>
    <col min="2" max="2" width="14.42578125" style="61" customWidth="1"/>
    <col min="3" max="3" width="39.5703125" style="54" customWidth="1"/>
    <col min="4" max="4" width="13.7109375" style="54" bestFit="1" customWidth="1"/>
    <col min="5" max="5" width="14.42578125" style="54" bestFit="1" customWidth="1"/>
    <col min="6" max="6" width="15.5703125" style="54" bestFit="1" customWidth="1"/>
    <col min="7" max="7" width="29" style="54" customWidth="1"/>
    <col min="8" max="8" width="17.140625" style="54" bestFit="1" customWidth="1"/>
    <col min="9" max="10" width="14.5703125" style="54" customWidth="1"/>
    <col min="11" max="11" width="17" style="54" customWidth="1"/>
    <col min="12" max="12" width="13.85546875" style="1" customWidth="1"/>
    <col min="13" max="13" width="12.42578125" style="3" bestFit="1" customWidth="1"/>
    <col min="14" max="14" width="13.42578125" style="3" bestFit="1" customWidth="1"/>
    <col min="15" max="15" width="13.42578125" style="61" customWidth="1"/>
    <col min="16" max="16" width="14.5703125" style="61" customWidth="1"/>
    <col min="17" max="17" width="15.42578125" style="3" bestFit="1" customWidth="1"/>
    <col min="18" max="18" width="15.28515625" style="3" customWidth="1"/>
    <col min="19" max="19" width="15.7109375" style="3" customWidth="1"/>
    <col min="20" max="21" width="9.140625" style="1"/>
    <col min="22" max="22" width="9.85546875" style="1" bestFit="1" customWidth="1"/>
    <col min="23" max="16384" width="9.140625" style="1"/>
  </cols>
  <sheetData>
    <row r="1" spans="1:19" s="54" customFormat="1" ht="20.25" x14ac:dyDescent="0.3">
      <c r="A1" s="81" t="s">
        <v>656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54" customFormat="1" ht="15.75" x14ac:dyDescent="0.25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</row>
    <row r="3" spans="1:19" s="7" customFormat="1" ht="82.5" customHeight="1" x14ac:dyDescent="0.2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483</v>
      </c>
      <c r="K3" s="6" t="s">
        <v>10</v>
      </c>
      <c r="L3" s="6" t="s">
        <v>742</v>
      </c>
      <c r="M3" s="4" t="s">
        <v>743</v>
      </c>
      <c r="N3" s="4" t="s">
        <v>744</v>
      </c>
      <c r="O3" s="4" t="s">
        <v>484</v>
      </c>
      <c r="P3" s="4" t="s">
        <v>14</v>
      </c>
      <c r="Q3" s="4" t="s">
        <v>745</v>
      </c>
      <c r="R3" s="4" t="s">
        <v>16</v>
      </c>
      <c r="S3" s="4" t="s">
        <v>17</v>
      </c>
    </row>
    <row r="4" spans="1:19" s="11" customFormat="1" ht="12" x14ac:dyDescent="0.2">
      <c r="A4" s="8">
        <v>1</v>
      </c>
      <c r="B4" s="8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</row>
    <row r="5" spans="1:19" ht="27.95" customHeight="1" x14ac:dyDescent="0.2">
      <c r="A5" s="12" t="s">
        <v>18</v>
      </c>
      <c r="B5" s="24" t="s">
        <v>657</v>
      </c>
      <c r="C5" s="13" t="s">
        <v>658</v>
      </c>
      <c r="D5" s="23" t="s">
        <v>659</v>
      </c>
      <c r="E5" s="14"/>
      <c r="F5" s="14" t="s">
        <v>21</v>
      </c>
      <c r="G5" s="14" t="s">
        <v>660</v>
      </c>
      <c r="H5" s="14"/>
      <c r="I5" s="14" t="s">
        <v>661</v>
      </c>
      <c r="J5" s="70" t="s">
        <v>662</v>
      </c>
      <c r="K5" s="14" t="s">
        <v>663</v>
      </c>
      <c r="L5" s="15">
        <v>39750</v>
      </c>
      <c r="M5" s="16">
        <v>0</v>
      </c>
      <c r="N5" s="20">
        <f t="shared" ref="N5:N10" si="0">L5+M5</f>
        <v>39750</v>
      </c>
      <c r="O5" s="28" t="s">
        <v>492</v>
      </c>
      <c r="P5" s="29" t="s">
        <v>741</v>
      </c>
      <c r="Q5" s="30">
        <f>3900+675</f>
        <v>4575</v>
      </c>
      <c r="R5" s="18"/>
      <c r="S5" s="28" t="s">
        <v>664</v>
      </c>
    </row>
    <row r="6" spans="1:19" ht="27.95" customHeight="1" x14ac:dyDescent="0.2">
      <c r="A6" s="12" t="s">
        <v>26</v>
      </c>
      <c r="B6" s="24" t="s">
        <v>665</v>
      </c>
      <c r="C6" s="13" t="s">
        <v>666</v>
      </c>
      <c r="D6" s="23" t="s">
        <v>487</v>
      </c>
      <c r="E6" s="14"/>
      <c r="F6" s="14" t="s">
        <v>21</v>
      </c>
      <c r="G6" s="14" t="s">
        <v>488</v>
      </c>
      <c r="H6" s="14"/>
      <c r="I6" s="14" t="s">
        <v>667</v>
      </c>
      <c r="J6" s="70" t="s">
        <v>668</v>
      </c>
      <c r="K6" s="14" t="s">
        <v>663</v>
      </c>
      <c r="L6" s="15">
        <v>27305.34</v>
      </c>
      <c r="M6" s="16">
        <f>L6*0.25</f>
        <v>6826.335</v>
      </c>
      <c r="N6" s="20">
        <f t="shared" si="0"/>
        <v>34131.675000000003</v>
      </c>
      <c r="O6" s="28" t="s">
        <v>492</v>
      </c>
      <c r="P6" s="29" t="s">
        <v>741</v>
      </c>
      <c r="Q6" s="30">
        <v>0</v>
      </c>
      <c r="R6" s="18"/>
      <c r="S6" s="28" t="s">
        <v>669</v>
      </c>
    </row>
    <row r="7" spans="1:19" ht="27.95" customHeight="1" x14ac:dyDescent="0.2">
      <c r="A7" s="12" t="s">
        <v>32</v>
      </c>
      <c r="B7" s="24" t="s">
        <v>670</v>
      </c>
      <c r="C7" s="13" t="s">
        <v>504</v>
      </c>
      <c r="D7" s="23" t="s">
        <v>505</v>
      </c>
      <c r="E7" s="14"/>
      <c r="F7" s="14" t="s">
        <v>21</v>
      </c>
      <c r="G7" s="14" t="s">
        <v>671</v>
      </c>
      <c r="H7" s="14"/>
      <c r="I7" s="14" t="s">
        <v>672</v>
      </c>
      <c r="J7" s="70" t="s">
        <v>673</v>
      </c>
      <c r="K7" s="14" t="s">
        <v>674</v>
      </c>
      <c r="L7" s="15">
        <v>33750</v>
      </c>
      <c r="M7" s="16">
        <v>0</v>
      </c>
      <c r="N7" s="20">
        <f t="shared" si="0"/>
        <v>33750</v>
      </c>
      <c r="O7" s="28" t="s">
        <v>492</v>
      </c>
      <c r="P7" s="18" t="s">
        <v>804</v>
      </c>
      <c r="Q7" s="17">
        <v>33750</v>
      </c>
      <c r="R7" s="18"/>
      <c r="S7" s="28" t="s">
        <v>675</v>
      </c>
    </row>
    <row r="8" spans="1:19" ht="27.95" customHeight="1" x14ac:dyDescent="0.2">
      <c r="A8" s="12" t="s">
        <v>39</v>
      </c>
      <c r="B8" s="24" t="s">
        <v>676</v>
      </c>
      <c r="C8" s="13" t="s">
        <v>677</v>
      </c>
      <c r="D8" s="23" t="s">
        <v>651</v>
      </c>
      <c r="E8" s="14"/>
      <c r="F8" s="14" t="s">
        <v>21</v>
      </c>
      <c r="G8" s="14" t="s">
        <v>314</v>
      </c>
      <c r="H8" s="14"/>
      <c r="I8" s="14" t="s">
        <v>678</v>
      </c>
      <c r="J8" s="70" t="s">
        <v>679</v>
      </c>
      <c r="K8" s="14" t="s">
        <v>680</v>
      </c>
      <c r="L8" s="15">
        <v>114520</v>
      </c>
      <c r="M8" s="16">
        <f>L8*0.25</f>
        <v>28630</v>
      </c>
      <c r="N8" s="20">
        <f t="shared" si="0"/>
        <v>143150</v>
      </c>
      <c r="O8" s="28" t="s">
        <v>492</v>
      </c>
      <c r="P8" s="18" t="s">
        <v>681</v>
      </c>
      <c r="Q8" s="17">
        <v>143150</v>
      </c>
      <c r="R8" s="18"/>
      <c r="S8" s="28" t="s">
        <v>682</v>
      </c>
    </row>
    <row r="9" spans="1:19" ht="27.95" customHeight="1" x14ac:dyDescent="0.2">
      <c r="A9" s="12" t="s">
        <v>47</v>
      </c>
      <c r="B9" s="24" t="s">
        <v>683</v>
      </c>
      <c r="C9" s="13" t="s">
        <v>233</v>
      </c>
      <c r="D9" s="23" t="s">
        <v>234</v>
      </c>
      <c r="E9" s="14"/>
      <c r="F9" s="14" t="s">
        <v>21</v>
      </c>
      <c r="G9" s="14" t="s">
        <v>522</v>
      </c>
      <c r="H9" s="14"/>
      <c r="I9" s="14" t="s">
        <v>684</v>
      </c>
      <c r="J9" s="70" t="s">
        <v>685</v>
      </c>
      <c r="K9" s="14" t="s">
        <v>686</v>
      </c>
      <c r="L9" s="15">
        <v>89230</v>
      </c>
      <c r="M9" s="16">
        <f>L9*0.25</f>
        <v>22307.5</v>
      </c>
      <c r="N9" s="20">
        <f t="shared" si="0"/>
        <v>111537.5</v>
      </c>
      <c r="O9" s="28" t="s">
        <v>492</v>
      </c>
      <c r="P9" s="18" t="s">
        <v>805</v>
      </c>
      <c r="Q9" s="17">
        <v>115206.63</v>
      </c>
      <c r="R9" s="18"/>
      <c r="S9" s="28"/>
    </row>
    <row r="10" spans="1:19" ht="27.95" customHeight="1" x14ac:dyDescent="0.2">
      <c r="A10" s="12" t="s">
        <v>55</v>
      </c>
      <c r="B10" s="24" t="s">
        <v>687</v>
      </c>
      <c r="C10" s="13" t="s">
        <v>227</v>
      </c>
      <c r="D10" s="23" t="s">
        <v>228</v>
      </c>
      <c r="E10" s="14"/>
      <c r="F10" s="14" t="s">
        <v>21</v>
      </c>
      <c r="G10" s="14" t="s">
        <v>35</v>
      </c>
      <c r="H10" s="14"/>
      <c r="I10" s="14" t="s">
        <v>688</v>
      </c>
      <c r="J10" s="70" t="s">
        <v>689</v>
      </c>
      <c r="K10" s="14" t="s">
        <v>690</v>
      </c>
      <c r="L10" s="15">
        <v>178164.8</v>
      </c>
      <c r="M10" s="16">
        <f t="shared" ref="M10" si="1">L10*0.25</f>
        <v>44541.2</v>
      </c>
      <c r="N10" s="20">
        <f t="shared" si="0"/>
        <v>222706</v>
      </c>
      <c r="O10" s="28" t="s">
        <v>492</v>
      </c>
      <c r="P10" s="18" t="s">
        <v>806</v>
      </c>
      <c r="Q10" s="17">
        <v>221582.82</v>
      </c>
      <c r="R10" s="18"/>
      <c r="S10" s="19"/>
    </row>
    <row r="11" spans="1:19" ht="27.95" customHeight="1" x14ac:dyDescent="0.2">
      <c r="A11" s="12" t="s">
        <v>63</v>
      </c>
      <c r="B11" s="24"/>
      <c r="C11" s="13" t="s">
        <v>691</v>
      </c>
      <c r="D11" s="23" t="s">
        <v>218</v>
      </c>
      <c r="E11" s="14" t="s">
        <v>692</v>
      </c>
      <c r="F11" s="14" t="s">
        <v>76</v>
      </c>
      <c r="G11" s="14" t="s">
        <v>220</v>
      </c>
      <c r="H11" s="14"/>
      <c r="I11" s="14" t="s">
        <v>693</v>
      </c>
      <c r="J11" s="70" t="s">
        <v>694</v>
      </c>
      <c r="K11" s="14" t="s">
        <v>695</v>
      </c>
      <c r="L11" s="15">
        <v>119535.76</v>
      </c>
      <c r="M11" s="16">
        <v>0</v>
      </c>
      <c r="N11" s="20">
        <f>L11+M11</f>
        <v>119535.76</v>
      </c>
      <c r="O11" s="28" t="s">
        <v>492</v>
      </c>
      <c r="P11" s="18" t="s">
        <v>309</v>
      </c>
      <c r="Q11" s="17"/>
      <c r="R11" s="18"/>
      <c r="S11" s="28" t="s">
        <v>224</v>
      </c>
    </row>
    <row r="12" spans="1:19" ht="29.1" customHeight="1" x14ac:dyDescent="0.2">
      <c r="A12" s="12" t="s">
        <v>71</v>
      </c>
      <c r="B12" s="24"/>
      <c r="C12" s="13" t="s">
        <v>696</v>
      </c>
      <c r="D12" s="23" t="s">
        <v>218</v>
      </c>
      <c r="E12" s="14" t="s">
        <v>692</v>
      </c>
      <c r="F12" s="14" t="s">
        <v>76</v>
      </c>
      <c r="G12" s="14" t="s">
        <v>220</v>
      </c>
      <c r="H12" s="14"/>
      <c r="I12" s="14" t="s">
        <v>693</v>
      </c>
      <c r="J12" s="70" t="s">
        <v>697</v>
      </c>
      <c r="K12" s="14" t="s">
        <v>695</v>
      </c>
      <c r="L12" s="15">
        <v>296</v>
      </c>
      <c r="M12" s="16">
        <f>L12*0.25</f>
        <v>74</v>
      </c>
      <c r="N12" s="20">
        <f>L12+M12</f>
        <v>370</v>
      </c>
      <c r="O12" s="28" t="s">
        <v>492</v>
      </c>
      <c r="P12" s="18" t="s">
        <v>309</v>
      </c>
      <c r="Q12" s="17"/>
      <c r="R12" s="18"/>
      <c r="S12" s="28" t="s">
        <v>224</v>
      </c>
    </row>
    <row r="13" spans="1:19" ht="38.25" x14ac:dyDescent="0.2">
      <c r="A13" s="12" t="s">
        <v>82</v>
      </c>
      <c r="B13" s="24"/>
      <c r="C13" s="13" t="s">
        <v>243</v>
      </c>
      <c r="D13" s="23" t="s">
        <v>244</v>
      </c>
      <c r="E13" s="14" t="s">
        <v>698</v>
      </c>
      <c r="F13" s="14" t="s">
        <v>76</v>
      </c>
      <c r="G13" s="14" t="s">
        <v>246</v>
      </c>
      <c r="H13" s="14"/>
      <c r="I13" s="14" t="s">
        <v>249</v>
      </c>
      <c r="J13" s="70" t="s">
        <v>699</v>
      </c>
      <c r="K13" s="14" t="s">
        <v>700</v>
      </c>
      <c r="L13" s="15">
        <v>54624.4</v>
      </c>
      <c r="M13" s="16">
        <f t="shared" ref="M13:M27" si="2">L13*0.25</f>
        <v>13656.1</v>
      </c>
      <c r="N13" s="20">
        <f t="shared" ref="N13:N25" si="3">L13+M13</f>
        <v>68280.5</v>
      </c>
      <c r="O13" s="28" t="s">
        <v>492</v>
      </c>
      <c r="P13" s="29" t="s">
        <v>807</v>
      </c>
      <c r="Q13" s="30">
        <v>63195.14</v>
      </c>
      <c r="R13" s="18"/>
      <c r="S13" s="28" t="s">
        <v>224</v>
      </c>
    </row>
    <row r="14" spans="1:19" ht="38.25" x14ac:dyDescent="0.2">
      <c r="A14" s="12" t="s">
        <v>90</v>
      </c>
      <c r="B14" s="24"/>
      <c r="C14" s="13" t="s">
        <v>250</v>
      </c>
      <c r="D14" s="23" t="s">
        <v>244</v>
      </c>
      <c r="E14" s="14" t="s">
        <v>698</v>
      </c>
      <c r="F14" s="14" t="s">
        <v>76</v>
      </c>
      <c r="G14" s="14" t="s">
        <v>246</v>
      </c>
      <c r="H14" s="14"/>
      <c r="I14" s="14" t="s">
        <v>249</v>
      </c>
      <c r="J14" s="70" t="s">
        <v>701</v>
      </c>
      <c r="K14" s="14" t="s">
        <v>700</v>
      </c>
      <c r="L14" s="15">
        <v>1376.66</v>
      </c>
      <c r="M14" s="16">
        <f t="shared" si="2"/>
        <v>344.16500000000002</v>
      </c>
      <c r="N14" s="20">
        <f t="shared" si="3"/>
        <v>1720.825</v>
      </c>
      <c r="O14" s="28" t="s">
        <v>492</v>
      </c>
      <c r="P14" s="29" t="s">
        <v>807</v>
      </c>
      <c r="Q14" s="33">
        <v>0</v>
      </c>
      <c r="R14" s="18"/>
      <c r="S14" s="28" t="s">
        <v>224</v>
      </c>
    </row>
    <row r="15" spans="1:19" ht="38.25" x14ac:dyDescent="0.2">
      <c r="A15" s="12" t="s">
        <v>99</v>
      </c>
      <c r="B15" s="24"/>
      <c r="C15" s="13" t="s">
        <v>251</v>
      </c>
      <c r="D15" s="23" t="s">
        <v>244</v>
      </c>
      <c r="E15" s="14" t="s">
        <v>698</v>
      </c>
      <c r="F15" s="14" t="s">
        <v>76</v>
      </c>
      <c r="G15" s="14" t="s">
        <v>246</v>
      </c>
      <c r="H15" s="14"/>
      <c r="I15" s="32" t="s">
        <v>249</v>
      </c>
      <c r="J15" s="76" t="s">
        <v>702</v>
      </c>
      <c r="K15" s="32" t="s">
        <v>700</v>
      </c>
      <c r="L15" s="15">
        <v>13613.94</v>
      </c>
      <c r="M15" s="16">
        <f t="shared" si="2"/>
        <v>3403.4850000000001</v>
      </c>
      <c r="N15" s="20">
        <f t="shared" si="3"/>
        <v>17017.424999999999</v>
      </c>
      <c r="O15" s="28" t="s">
        <v>492</v>
      </c>
      <c r="P15" s="29" t="s">
        <v>807</v>
      </c>
      <c r="Q15" s="30">
        <v>4318.53</v>
      </c>
      <c r="R15" s="18"/>
      <c r="S15" s="28" t="s">
        <v>224</v>
      </c>
    </row>
    <row r="16" spans="1:19" ht="63.75" x14ac:dyDescent="0.2">
      <c r="A16" s="12" t="s">
        <v>107</v>
      </c>
      <c r="B16" s="24" t="s">
        <v>703</v>
      </c>
      <c r="C16" s="13" t="s">
        <v>206</v>
      </c>
      <c r="D16" s="23" t="s">
        <v>207</v>
      </c>
      <c r="E16" s="14"/>
      <c r="F16" s="14" t="s">
        <v>21</v>
      </c>
      <c r="G16" s="14" t="s">
        <v>208</v>
      </c>
      <c r="H16" s="14"/>
      <c r="I16" s="32" t="s">
        <v>746</v>
      </c>
      <c r="J16" s="76" t="s">
        <v>704</v>
      </c>
      <c r="K16" s="32" t="s">
        <v>747</v>
      </c>
      <c r="L16" s="15">
        <v>136500</v>
      </c>
      <c r="M16" s="16">
        <f t="shared" si="2"/>
        <v>34125</v>
      </c>
      <c r="N16" s="20">
        <f t="shared" si="3"/>
        <v>170625</v>
      </c>
      <c r="O16" s="28" t="s">
        <v>492</v>
      </c>
      <c r="P16" s="29" t="s">
        <v>807</v>
      </c>
      <c r="Q16" s="33">
        <v>131186.04</v>
      </c>
      <c r="R16" s="18"/>
      <c r="S16" s="28"/>
    </row>
    <row r="17" spans="1:19" ht="29.45" customHeight="1" x14ac:dyDescent="0.2">
      <c r="A17" s="12" t="s">
        <v>113</v>
      </c>
      <c r="B17" s="24" t="s">
        <v>527</v>
      </c>
      <c r="C17" s="13" t="s">
        <v>705</v>
      </c>
      <c r="D17" s="23" t="s">
        <v>254</v>
      </c>
      <c r="E17" s="14" t="s">
        <v>706</v>
      </c>
      <c r="F17" s="14" t="s">
        <v>76</v>
      </c>
      <c r="G17" s="14" t="s">
        <v>255</v>
      </c>
      <c r="H17" s="14"/>
      <c r="I17" s="14" t="s">
        <v>707</v>
      </c>
      <c r="J17" s="70" t="s">
        <v>708</v>
      </c>
      <c r="K17" s="14" t="s">
        <v>709</v>
      </c>
      <c r="L17" s="15">
        <v>80000</v>
      </c>
      <c r="M17" s="16">
        <f t="shared" si="2"/>
        <v>20000</v>
      </c>
      <c r="N17" s="20">
        <f t="shared" si="3"/>
        <v>100000</v>
      </c>
      <c r="O17" s="28" t="s">
        <v>492</v>
      </c>
      <c r="P17" s="29" t="s">
        <v>799</v>
      </c>
      <c r="Q17" s="33">
        <v>95744.95</v>
      </c>
      <c r="R17" s="18"/>
      <c r="S17" s="28" t="s">
        <v>89</v>
      </c>
    </row>
    <row r="18" spans="1:19" ht="38.25" x14ac:dyDescent="0.2">
      <c r="A18" s="12" t="s">
        <v>122</v>
      </c>
      <c r="B18" s="24" t="s">
        <v>555</v>
      </c>
      <c r="C18" s="13" t="s">
        <v>710</v>
      </c>
      <c r="D18" s="23" t="s">
        <v>557</v>
      </c>
      <c r="E18" s="14" t="s">
        <v>711</v>
      </c>
      <c r="F18" s="14" t="s">
        <v>76</v>
      </c>
      <c r="G18" s="14" t="s">
        <v>77</v>
      </c>
      <c r="H18" s="14"/>
      <c r="I18" s="14" t="s">
        <v>712</v>
      </c>
      <c r="J18" s="70" t="s">
        <v>713</v>
      </c>
      <c r="K18" s="14" t="s">
        <v>714</v>
      </c>
      <c r="L18" s="15">
        <v>447000</v>
      </c>
      <c r="M18" s="16">
        <f t="shared" si="2"/>
        <v>111750</v>
      </c>
      <c r="N18" s="20">
        <f t="shared" si="3"/>
        <v>558750</v>
      </c>
      <c r="O18" s="28" t="s">
        <v>492</v>
      </c>
      <c r="P18" s="29" t="s">
        <v>800</v>
      </c>
      <c r="Q18" s="30">
        <v>558750</v>
      </c>
      <c r="R18" s="18"/>
      <c r="S18" s="28" t="s">
        <v>89</v>
      </c>
    </row>
    <row r="19" spans="1:19" ht="38.65" customHeight="1" x14ac:dyDescent="0.2">
      <c r="A19" s="12" t="s">
        <v>129</v>
      </c>
      <c r="B19" s="24" t="s">
        <v>715</v>
      </c>
      <c r="C19" s="13" t="s">
        <v>716</v>
      </c>
      <c r="D19" s="23" t="s">
        <v>717</v>
      </c>
      <c r="E19" s="14"/>
      <c r="F19" s="14" t="s">
        <v>21</v>
      </c>
      <c r="G19" s="14" t="s">
        <v>718</v>
      </c>
      <c r="H19" s="14"/>
      <c r="I19" s="14" t="s">
        <v>719</v>
      </c>
      <c r="J19" s="70" t="s">
        <v>720</v>
      </c>
      <c r="K19" s="14" t="s">
        <v>721</v>
      </c>
      <c r="L19" s="15">
        <v>45500</v>
      </c>
      <c r="M19" s="16">
        <f t="shared" si="2"/>
        <v>11375</v>
      </c>
      <c r="N19" s="20">
        <f t="shared" si="3"/>
        <v>56875</v>
      </c>
      <c r="O19" s="28" t="s">
        <v>492</v>
      </c>
      <c r="P19" s="29" t="s">
        <v>741</v>
      </c>
      <c r="Q19" s="30">
        <f>8750+6125</f>
        <v>14875</v>
      </c>
      <c r="R19" s="18"/>
      <c r="S19" s="28" t="s">
        <v>89</v>
      </c>
    </row>
    <row r="20" spans="1:19" ht="38.65" customHeight="1" x14ac:dyDescent="0.2">
      <c r="A20" s="12" t="s">
        <v>137</v>
      </c>
      <c r="B20" s="24" t="s">
        <v>722</v>
      </c>
      <c r="C20" s="13" t="s">
        <v>548</v>
      </c>
      <c r="D20" s="23" t="s">
        <v>392</v>
      </c>
      <c r="E20" s="14"/>
      <c r="F20" s="14" t="s">
        <v>21</v>
      </c>
      <c r="G20" s="14" t="s">
        <v>723</v>
      </c>
      <c r="H20" s="14"/>
      <c r="I20" s="14" t="s">
        <v>724</v>
      </c>
      <c r="J20" s="70" t="s">
        <v>725</v>
      </c>
      <c r="K20" s="14" t="s">
        <v>726</v>
      </c>
      <c r="L20" s="15">
        <v>78529.8</v>
      </c>
      <c r="M20" s="16">
        <f t="shared" si="2"/>
        <v>19632.45</v>
      </c>
      <c r="N20" s="20">
        <f t="shared" si="3"/>
        <v>98162.25</v>
      </c>
      <c r="O20" s="28" t="s">
        <v>492</v>
      </c>
      <c r="P20" s="29" t="s">
        <v>808</v>
      </c>
      <c r="Q20" s="30">
        <v>98162.25</v>
      </c>
      <c r="R20" s="18"/>
      <c r="S20" s="28" t="s">
        <v>727</v>
      </c>
    </row>
    <row r="21" spans="1:19" ht="29.1" customHeight="1" x14ac:dyDescent="0.2">
      <c r="A21" s="12" t="s">
        <v>145</v>
      </c>
      <c r="B21" s="24" t="s">
        <v>567</v>
      </c>
      <c r="C21" s="13" t="s">
        <v>728</v>
      </c>
      <c r="D21" s="23" t="s">
        <v>373</v>
      </c>
      <c r="E21" s="14" t="s">
        <v>729</v>
      </c>
      <c r="F21" s="14" t="s">
        <v>76</v>
      </c>
      <c r="G21" s="14" t="s">
        <v>375</v>
      </c>
      <c r="H21" s="14"/>
      <c r="I21" s="14" t="s">
        <v>730</v>
      </c>
      <c r="J21" s="70" t="s">
        <v>731</v>
      </c>
      <c r="K21" s="14" t="s">
        <v>732</v>
      </c>
      <c r="L21" s="15">
        <v>285197.59999999998</v>
      </c>
      <c r="M21" s="16">
        <f t="shared" si="2"/>
        <v>71299.399999999994</v>
      </c>
      <c r="N21" s="20">
        <f t="shared" si="3"/>
        <v>356497</v>
      </c>
      <c r="O21" s="28" t="s">
        <v>492</v>
      </c>
      <c r="P21" s="29" t="s">
        <v>801</v>
      </c>
      <c r="Q21" s="33">
        <v>355701.83</v>
      </c>
      <c r="R21" s="18"/>
      <c r="S21" s="28" t="s">
        <v>89</v>
      </c>
    </row>
    <row r="22" spans="1:19" s="52" customFormat="1" ht="29.1" customHeight="1" x14ac:dyDescent="0.2">
      <c r="A22" s="73" t="s">
        <v>152</v>
      </c>
      <c r="B22" s="74" t="s">
        <v>748</v>
      </c>
      <c r="C22" s="75" t="s">
        <v>749</v>
      </c>
      <c r="D22" s="49" t="s">
        <v>291</v>
      </c>
      <c r="E22" s="32"/>
      <c r="F22" s="32" t="s">
        <v>21</v>
      </c>
      <c r="G22" s="32" t="s">
        <v>750</v>
      </c>
      <c r="H22" s="32"/>
      <c r="I22" s="32" t="s">
        <v>751</v>
      </c>
      <c r="J22" s="76" t="s">
        <v>752</v>
      </c>
      <c r="K22" s="32" t="s">
        <v>753</v>
      </c>
      <c r="L22" s="50">
        <v>51376</v>
      </c>
      <c r="M22" s="51">
        <f t="shared" si="2"/>
        <v>12844</v>
      </c>
      <c r="N22" s="33">
        <f t="shared" si="3"/>
        <v>64220</v>
      </c>
      <c r="O22" s="36" t="s">
        <v>492</v>
      </c>
      <c r="P22" s="29" t="s">
        <v>807</v>
      </c>
      <c r="Q22" s="33">
        <v>39229.949999999997</v>
      </c>
      <c r="R22" s="29"/>
      <c r="S22" s="36"/>
    </row>
    <row r="23" spans="1:19" s="52" customFormat="1" ht="63.75" x14ac:dyDescent="0.2">
      <c r="A23" s="73" t="s">
        <v>156</v>
      </c>
      <c r="B23" s="74"/>
      <c r="C23" s="75" t="s">
        <v>754</v>
      </c>
      <c r="D23" s="32" t="s">
        <v>410</v>
      </c>
      <c r="E23" s="32" t="s">
        <v>755</v>
      </c>
      <c r="F23" s="32" t="s">
        <v>419</v>
      </c>
      <c r="G23" s="32" t="s">
        <v>598</v>
      </c>
      <c r="H23" s="32"/>
      <c r="I23" s="32" t="s">
        <v>756</v>
      </c>
      <c r="J23" s="32" t="s">
        <v>757</v>
      </c>
      <c r="K23" s="32" t="s">
        <v>758</v>
      </c>
      <c r="L23" s="50">
        <v>5106.3900000000003</v>
      </c>
      <c r="M23" s="51">
        <v>0</v>
      </c>
      <c r="N23" s="33">
        <f t="shared" si="3"/>
        <v>5106.3900000000003</v>
      </c>
      <c r="O23" s="36" t="s">
        <v>492</v>
      </c>
      <c r="P23" s="29" t="s">
        <v>879</v>
      </c>
      <c r="Q23" s="33">
        <v>5106.3900000000003</v>
      </c>
      <c r="R23" s="29"/>
      <c r="S23" s="36" t="s">
        <v>759</v>
      </c>
    </row>
    <row r="24" spans="1:19" s="52" customFormat="1" ht="63.75" x14ac:dyDescent="0.2">
      <c r="A24" s="73" t="s">
        <v>162</v>
      </c>
      <c r="B24" s="74"/>
      <c r="C24" s="75" t="s">
        <v>760</v>
      </c>
      <c r="D24" s="32" t="s">
        <v>410</v>
      </c>
      <c r="E24" s="32" t="s">
        <v>755</v>
      </c>
      <c r="F24" s="32" t="s">
        <v>419</v>
      </c>
      <c r="G24" s="32" t="s">
        <v>598</v>
      </c>
      <c r="H24" s="32"/>
      <c r="I24" s="32" t="s">
        <v>756</v>
      </c>
      <c r="J24" s="77" t="s">
        <v>761</v>
      </c>
      <c r="K24" s="32" t="s">
        <v>758</v>
      </c>
      <c r="L24" s="50">
        <v>12699.55</v>
      </c>
      <c r="M24" s="51">
        <v>0</v>
      </c>
      <c r="N24" s="33">
        <f t="shared" si="3"/>
        <v>12699.55</v>
      </c>
      <c r="O24" s="36" t="s">
        <v>492</v>
      </c>
      <c r="P24" s="29" t="s">
        <v>879</v>
      </c>
      <c r="Q24" s="33">
        <v>12699.55</v>
      </c>
      <c r="R24" s="29"/>
      <c r="S24" s="36" t="s">
        <v>762</v>
      </c>
    </row>
    <row r="25" spans="1:19" s="52" customFormat="1" ht="28.15" customHeight="1" x14ac:dyDescent="0.2">
      <c r="A25" s="73" t="s">
        <v>170</v>
      </c>
      <c r="B25" s="74" t="s">
        <v>763</v>
      </c>
      <c r="C25" s="75" t="s">
        <v>764</v>
      </c>
      <c r="D25" s="49" t="s">
        <v>269</v>
      </c>
      <c r="E25" s="32"/>
      <c r="F25" s="32" t="s">
        <v>21</v>
      </c>
      <c r="G25" s="32" t="s">
        <v>765</v>
      </c>
      <c r="H25" s="32"/>
      <c r="I25" s="32" t="s">
        <v>766</v>
      </c>
      <c r="J25" s="76" t="s">
        <v>767</v>
      </c>
      <c r="K25" s="32" t="s">
        <v>768</v>
      </c>
      <c r="L25" s="50">
        <v>50903</v>
      </c>
      <c r="M25" s="51">
        <f t="shared" ref="M25" si="4">L25*0.25</f>
        <v>12725.75</v>
      </c>
      <c r="N25" s="33">
        <f t="shared" si="3"/>
        <v>63628.75</v>
      </c>
      <c r="O25" s="36" t="s">
        <v>492</v>
      </c>
      <c r="P25" s="29" t="s">
        <v>769</v>
      </c>
      <c r="Q25" s="33">
        <v>63628.75</v>
      </c>
      <c r="R25" s="29"/>
      <c r="S25" s="36" t="s">
        <v>770</v>
      </c>
    </row>
    <row r="26" spans="1:19" s="52" customFormat="1" ht="29.1" customHeight="1" x14ac:dyDescent="0.2">
      <c r="A26" s="73" t="s">
        <v>177</v>
      </c>
      <c r="B26" s="74" t="s">
        <v>771</v>
      </c>
      <c r="C26" s="75" t="s">
        <v>772</v>
      </c>
      <c r="D26" s="49" t="s">
        <v>132</v>
      </c>
      <c r="E26" s="32"/>
      <c r="F26" s="32" t="s">
        <v>21</v>
      </c>
      <c r="G26" s="32" t="s">
        <v>773</v>
      </c>
      <c r="H26" s="32"/>
      <c r="I26" s="32" t="s">
        <v>774</v>
      </c>
      <c r="J26" s="76" t="s">
        <v>775</v>
      </c>
      <c r="K26" s="32" t="s">
        <v>776</v>
      </c>
      <c r="L26" s="50">
        <v>40000</v>
      </c>
      <c r="M26" s="51">
        <f t="shared" si="2"/>
        <v>10000</v>
      </c>
      <c r="N26" s="33">
        <f>L26+M26</f>
        <v>50000</v>
      </c>
      <c r="O26" s="36" t="s">
        <v>492</v>
      </c>
      <c r="P26" s="29" t="s">
        <v>809</v>
      </c>
      <c r="Q26" s="33">
        <f>6636.14*7.5345</f>
        <v>49999.996830000004</v>
      </c>
      <c r="R26" s="35"/>
      <c r="S26" s="35"/>
    </row>
    <row r="27" spans="1:19" s="52" customFormat="1" ht="29.1" customHeight="1" x14ac:dyDescent="0.2">
      <c r="A27" s="73" t="s">
        <v>185</v>
      </c>
      <c r="B27" s="74" t="s">
        <v>777</v>
      </c>
      <c r="C27" s="75" t="s">
        <v>778</v>
      </c>
      <c r="D27" s="49" t="s">
        <v>779</v>
      </c>
      <c r="E27" s="32" t="s">
        <v>780</v>
      </c>
      <c r="F27" s="32" t="s">
        <v>76</v>
      </c>
      <c r="G27" s="32" t="s">
        <v>781</v>
      </c>
      <c r="H27" s="32"/>
      <c r="I27" s="32" t="s">
        <v>782</v>
      </c>
      <c r="J27" s="76" t="s">
        <v>783</v>
      </c>
      <c r="K27" s="32" t="s">
        <v>784</v>
      </c>
      <c r="L27" s="50">
        <v>250000</v>
      </c>
      <c r="M27" s="51">
        <f t="shared" si="2"/>
        <v>62500</v>
      </c>
      <c r="N27" s="33">
        <f>L27+M27</f>
        <v>312500</v>
      </c>
      <c r="O27" s="36" t="s">
        <v>492</v>
      </c>
      <c r="P27" s="78">
        <v>44938</v>
      </c>
      <c r="Q27" s="33">
        <v>312500</v>
      </c>
      <c r="R27" s="29"/>
      <c r="S27" s="36"/>
    </row>
    <row r="28" spans="1:19" s="52" customFormat="1" ht="63.75" x14ac:dyDescent="0.2">
      <c r="A28" s="73" t="s">
        <v>191</v>
      </c>
      <c r="B28" s="74"/>
      <c r="C28" s="75" t="s">
        <v>754</v>
      </c>
      <c r="D28" s="32" t="s">
        <v>410</v>
      </c>
      <c r="E28" s="32" t="s">
        <v>785</v>
      </c>
      <c r="F28" s="32" t="s">
        <v>419</v>
      </c>
      <c r="G28" s="32" t="s">
        <v>598</v>
      </c>
      <c r="H28" s="32"/>
      <c r="I28" s="32" t="s">
        <v>786</v>
      </c>
      <c r="J28" s="32" t="s">
        <v>787</v>
      </c>
      <c r="K28" s="32" t="s">
        <v>788</v>
      </c>
      <c r="L28" s="50">
        <v>795.62</v>
      </c>
      <c r="M28" s="51">
        <v>0</v>
      </c>
      <c r="N28" s="33">
        <f t="shared" ref="N28:N32" si="5">L28+M28</f>
        <v>795.62</v>
      </c>
      <c r="O28" s="36" t="s">
        <v>492</v>
      </c>
      <c r="P28" s="29" t="s">
        <v>880</v>
      </c>
      <c r="Q28" s="33">
        <v>795.62</v>
      </c>
      <c r="R28" s="29"/>
      <c r="S28" s="36" t="s">
        <v>789</v>
      </c>
    </row>
    <row r="29" spans="1:19" s="52" customFormat="1" ht="63.75" x14ac:dyDescent="0.2">
      <c r="A29" s="73" t="s">
        <v>337</v>
      </c>
      <c r="B29" s="74"/>
      <c r="C29" s="75" t="s">
        <v>760</v>
      </c>
      <c r="D29" s="32" t="s">
        <v>410</v>
      </c>
      <c r="E29" s="32" t="s">
        <v>785</v>
      </c>
      <c r="F29" s="32" t="s">
        <v>419</v>
      </c>
      <c r="G29" s="32" t="s">
        <v>598</v>
      </c>
      <c r="H29" s="32"/>
      <c r="I29" s="32" t="s">
        <v>786</v>
      </c>
      <c r="J29" s="32" t="s">
        <v>790</v>
      </c>
      <c r="K29" s="32" t="s">
        <v>788</v>
      </c>
      <c r="L29" s="50">
        <v>2096.5700000000002</v>
      </c>
      <c r="M29" s="51">
        <v>0</v>
      </c>
      <c r="N29" s="33">
        <f t="shared" si="5"/>
        <v>2096.5700000000002</v>
      </c>
      <c r="O29" s="36" t="s">
        <v>492</v>
      </c>
      <c r="P29" s="29" t="s">
        <v>880</v>
      </c>
      <c r="Q29" s="33">
        <v>2096.5700000000002</v>
      </c>
      <c r="R29" s="29"/>
      <c r="S29" s="36" t="s">
        <v>791</v>
      </c>
    </row>
    <row r="30" spans="1:19" s="52" customFormat="1" ht="38.25" x14ac:dyDescent="0.2">
      <c r="A30" s="73" t="s">
        <v>342</v>
      </c>
      <c r="B30" s="74"/>
      <c r="C30" s="75" t="s">
        <v>628</v>
      </c>
      <c r="D30" s="32" t="s">
        <v>188</v>
      </c>
      <c r="E30" s="32" t="s">
        <v>810</v>
      </c>
      <c r="F30" s="32" t="s">
        <v>76</v>
      </c>
      <c r="G30" s="32" t="s">
        <v>630</v>
      </c>
      <c r="H30" s="32"/>
      <c r="I30" s="32" t="s">
        <v>792</v>
      </c>
      <c r="J30" s="76" t="s">
        <v>793</v>
      </c>
      <c r="K30" s="32" t="s">
        <v>794</v>
      </c>
      <c r="L30" s="51">
        <v>341347.46</v>
      </c>
      <c r="M30" s="33">
        <f>L30*0.13</f>
        <v>44375.169800000003</v>
      </c>
      <c r="N30" s="33">
        <f t="shared" si="5"/>
        <v>385722.6298</v>
      </c>
      <c r="O30" s="36" t="s">
        <v>492</v>
      </c>
      <c r="P30" s="29" t="s">
        <v>309</v>
      </c>
      <c r="Q30" s="33"/>
      <c r="R30" s="29"/>
      <c r="S30" s="36" t="s">
        <v>224</v>
      </c>
    </row>
    <row r="31" spans="1:19" s="37" customFormat="1" ht="29.45" customHeight="1" x14ac:dyDescent="0.2">
      <c r="A31" s="12" t="s">
        <v>346</v>
      </c>
      <c r="B31" s="24" t="s">
        <v>811</v>
      </c>
      <c r="C31" s="13" t="s">
        <v>637</v>
      </c>
      <c r="D31" s="14" t="s">
        <v>638</v>
      </c>
      <c r="E31" s="14"/>
      <c r="F31" s="14" t="s">
        <v>21</v>
      </c>
      <c r="G31" s="14" t="s">
        <v>639</v>
      </c>
      <c r="H31" s="14"/>
      <c r="I31" s="14" t="s">
        <v>812</v>
      </c>
      <c r="J31" s="70" t="s">
        <v>813</v>
      </c>
      <c r="K31" s="14" t="s">
        <v>814</v>
      </c>
      <c r="L31" s="16">
        <v>50617.5</v>
      </c>
      <c r="M31" s="20">
        <v>10938.38</v>
      </c>
      <c r="N31" s="20">
        <f t="shared" si="5"/>
        <v>61555.88</v>
      </c>
      <c r="O31" s="28" t="s">
        <v>492</v>
      </c>
      <c r="P31" s="29" t="s">
        <v>881</v>
      </c>
      <c r="Q31" s="33">
        <f>(7279.34+1038.3)*7.5345</f>
        <v>62669.258580000002</v>
      </c>
      <c r="R31" s="35"/>
      <c r="S31" s="79"/>
    </row>
    <row r="32" spans="1:19" ht="29.1" customHeight="1" x14ac:dyDescent="0.2">
      <c r="A32" s="12" t="s">
        <v>648</v>
      </c>
      <c r="B32" s="74" t="s">
        <v>795</v>
      </c>
      <c r="C32" s="75" t="s">
        <v>440</v>
      </c>
      <c r="D32" s="49" t="s">
        <v>441</v>
      </c>
      <c r="E32" s="32"/>
      <c r="F32" s="32" t="s">
        <v>21</v>
      </c>
      <c r="G32" s="32" t="s">
        <v>578</v>
      </c>
      <c r="H32" s="32"/>
      <c r="I32" s="32" t="s">
        <v>796</v>
      </c>
      <c r="J32" s="70" t="s">
        <v>815</v>
      </c>
      <c r="K32" s="32" t="s">
        <v>797</v>
      </c>
      <c r="L32" s="50">
        <v>44400</v>
      </c>
      <c r="M32" s="51">
        <f t="shared" ref="M32" si="6">L32*0.25</f>
        <v>11100</v>
      </c>
      <c r="N32" s="33">
        <f t="shared" si="5"/>
        <v>55500</v>
      </c>
      <c r="O32" s="36" t="s">
        <v>492</v>
      </c>
      <c r="P32" s="29" t="s">
        <v>881</v>
      </c>
      <c r="Q32" s="33">
        <v>55500</v>
      </c>
      <c r="R32" s="29"/>
      <c r="S32" s="36" t="s">
        <v>798</v>
      </c>
    </row>
  </sheetData>
  <mergeCells count="1">
    <mergeCell ref="A1:S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6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D230-7BEB-4A44-9CCC-B69AC11ABBFF}">
  <sheetPr>
    <pageSetUpPr fitToPage="1"/>
  </sheetPr>
  <dimension ref="A1:S29"/>
  <sheetViews>
    <sheetView tabSelected="1" zoomScaleNormal="100" zoomScaleSheetLayoutView="90" workbookViewId="0">
      <selection sqref="A1:S1"/>
    </sheetView>
  </sheetViews>
  <sheetFormatPr defaultColWidth="9.140625" defaultRowHeight="12.75" x14ac:dyDescent="0.2"/>
  <cols>
    <col min="1" max="1" width="7" style="3" customWidth="1"/>
    <col min="2" max="2" width="14.42578125" style="3" customWidth="1"/>
    <col min="3" max="3" width="39.5703125" style="1" customWidth="1"/>
    <col min="4" max="4" width="13.7109375" style="1" bestFit="1" customWidth="1"/>
    <col min="5" max="5" width="14.42578125" style="1" bestFit="1" customWidth="1"/>
    <col min="6" max="6" width="15.5703125" style="1" bestFit="1" customWidth="1"/>
    <col min="7" max="7" width="29" style="1" customWidth="1"/>
    <col min="8" max="8" width="17.140625" style="1" bestFit="1" customWidth="1"/>
    <col min="9" max="10" width="14.5703125" style="1" customWidth="1"/>
    <col min="11" max="11" width="17" style="1" customWidth="1"/>
    <col min="12" max="12" width="13.85546875" style="1" customWidth="1"/>
    <col min="13" max="13" width="12.42578125" style="3" bestFit="1" customWidth="1"/>
    <col min="14" max="14" width="13.42578125" style="3" bestFit="1" customWidth="1"/>
    <col min="15" max="15" width="13.42578125" style="3" customWidth="1"/>
    <col min="16" max="16" width="14.5703125" style="3" customWidth="1"/>
    <col min="17" max="17" width="15.42578125" style="3" bestFit="1" customWidth="1"/>
    <col min="18" max="18" width="15.28515625" style="3" customWidth="1"/>
    <col min="19" max="19" width="15.7109375" style="3" customWidth="1"/>
    <col min="20" max="21" width="9.140625" style="1"/>
    <col min="22" max="22" width="9.85546875" style="1" bestFit="1" customWidth="1"/>
    <col min="23" max="16384" width="9.140625" style="1"/>
  </cols>
  <sheetData>
    <row r="1" spans="1:19" ht="20.25" x14ac:dyDescent="0.3">
      <c r="A1" s="81" t="s">
        <v>816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5.75" x14ac:dyDescent="0.25">
      <c r="A2" s="2"/>
      <c r="B2" s="2"/>
    </row>
    <row r="3" spans="1:19" s="7" customFormat="1" ht="82.5" customHeight="1" x14ac:dyDescent="0.2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483</v>
      </c>
      <c r="K3" s="6" t="s">
        <v>10</v>
      </c>
      <c r="L3" s="6" t="s">
        <v>817</v>
      </c>
      <c r="M3" s="4" t="s">
        <v>818</v>
      </c>
      <c r="N3" s="4" t="s">
        <v>819</v>
      </c>
      <c r="O3" s="4" t="s">
        <v>484</v>
      </c>
      <c r="P3" s="4" t="s">
        <v>14</v>
      </c>
      <c r="Q3" s="4" t="s">
        <v>820</v>
      </c>
      <c r="R3" s="4" t="s">
        <v>16</v>
      </c>
      <c r="S3" s="4" t="s">
        <v>17</v>
      </c>
    </row>
    <row r="4" spans="1:19" s="11" customFormat="1" ht="12" x14ac:dyDescent="0.2">
      <c r="A4" s="8">
        <v>1</v>
      </c>
      <c r="B4" s="8">
        <v>2</v>
      </c>
      <c r="C4" s="9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8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</row>
    <row r="5" spans="1:19" s="37" customFormat="1" ht="27.95" customHeight="1" x14ac:dyDescent="0.2">
      <c r="A5" s="12" t="s">
        <v>18</v>
      </c>
      <c r="B5" s="24" t="s">
        <v>821</v>
      </c>
      <c r="C5" s="13" t="s">
        <v>822</v>
      </c>
      <c r="D5" s="23" t="s">
        <v>823</v>
      </c>
      <c r="E5" s="14"/>
      <c r="F5" s="14" t="s">
        <v>21</v>
      </c>
      <c r="G5" s="14" t="s">
        <v>824</v>
      </c>
      <c r="H5" s="14"/>
      <c r="I5" s="14" t="s">
        <v>825</v>
      </c>
      <c r="J5" s="70" t="s">
        <v>826</v>
      </c>
      <c r="K5" s="14" t="s">
        <v>827</v>
      </c>
      <c r="L5" s="15">
        <v>3177.38</v>
      </c>
      <c r="M5" s="16">
        <f>L5*0.25</f>
        <v>794.34500000000003</v>
      </c>
      <c r="N5" s="20">
        <f t="shared" ref="N5:N22" si="0">L5+M5</f>
        <v>3971.7250000000004</v>
      </c>
      <c r="O5" s="28" t="s">
        <v>492</v>
      </c>
      <c r="P5" s="18" t="s">
        <v>881</v>
      </c>
      <c r="Q5" s="17">
        <v>3010.25</v>
      </c>
      <c r="R5" s="18"/>
      <c r="S5" s="28"/>
    </row>
    <row r="6" spans="1:19" s="37" customFormat="1" ht="27.95" customHeight="1" x14ac:dyDescent="0.2">
      <c r="A6" s="12" t="s">
        <v>26</v>
      </c>
      <c r="B6" s="24" t="s">
        <v>777</v>
      </c>
      <c r="C6" s="13" t="s">
        <v>828</v>
      </c>
      <c r="D6" s="83" t="s">
        <v>829</v>
      </c>
      <c r="E6" s="14"/>
      <c r="F6" s="14" t="s">
        <v>21</v>
      </c>
      <c r="G6" s="14" t="s">
        <v>824</v>
      </c>
      <c r="H6" s="14"/>
      <c r="I6" s="14" t="s">
        <v>825</v>
      </c>
      <c r="J6" s="70" t="s">
        <v>830</v>
      </c>
      <c r="K6" s="14" t="s">
        <v>827</v>
      </c>
      <c r="L6" s="15">
        <v>3622.17</v>
      </c>
      <c r="M6" s="16">
        <f>L6*0.25</f>
        <v>905.54250000000002</v>
      </c>
      <c r="N6" s="20">
        <f t="shared" si="0"/>
        <v>4527.7124999999996</v>
      </c>
      <c r="O6" s="28" t="s">
        <v>492</v>
      </c>
      <c r="P6" s="18" t="s">
        <v>881</v>
      </c>
      <c r="Q6" s="17">
        <v>2839.68</v>
      </c>
      <c r="R6" s="18"/>
      <c r="S6" s="28"/>
    </row>
    <row r="7" spans="1:19" s="37" customFormat="1" ht="27.95" customHeight="1" x14ac:dyDescent="0.2">
      <c r="A7" s="12" t="s">
        <v>32</v>
      </c>
      <c r="B7" s="24" t="s">
        <v>831</v>
      </c>
      <c r="C7" s="13" t="s">
        <v>327</v>
      </c>
      <c r="D7" s="23" t="s">
        <v>328</v>
      </c>
      <c r="E7" s="14"/>
      <c r="F7" s="14" t="s">
        <v>21</v>
      </c>
      <c r="G7" s="14" t="s">
        <v>832</v>
      </c>
      <c r="H7" s="14"/>
      <c r="I7" s="14" t="s">
        <v>833</v>
      </c>
      <c r="J7" s="70" t="s">
        <v>834</v>
      </c>
      <c r="K7" s="14" t="s">
        <v>835</v>
      </c>
      <c r="L7" s="15">
        <f>160600/7.5345</f>
        <v>21315.283031388943</v>
      </c>
      <c r="M7" s="16">
        <v>0</v>
      </c>
      <c r="N7" s="20">
        <f t="shared" si="0"/>
        <v>21315.283031388943</v>
      </c>
      <c r="O7" s="28" t="s">
        <v>492</v>
      </c>
      <c r="P7" s="18" t="s">
        <v>836</v>
      </c>
      <c r="Q7" s="17">
        <v>20558.75</v>
      </c>
      <c r="R7" s="18"/>
      <c r="S7" s="28"/>
    </row>
    <row r="8" spans="1:19" s="37" customFormat="1" ht="27.95" customHeight="1" x14ac:dyDescent="0.2">
      <c r="A8" s="12" t="s">
        <v>39</v>
      </c>
      <c r="B8" s="24" t="s">
        <v>837</v>
      </c>
      <c r="C8" s="13" t="s">
        <v>198</v>
      </c>
      <c r="D8" s="14" t="s">
        <v>199</v>
      </c>
      <c r="E8" s="14"/>
      <c r="F8" s="14" t="s">
        <v>21</v>
      </c>
      <c r="G8" s="14" t="s">
        <v>200</v>
      </c>
      <c r="H8" s="14"/>
      <c r="I8" s="14" t="s">
        <v>833</v>
      </c>
      <c r="J8" s="70" t="s">
        <v>838</v>
      </c>
      <c r="K8" s="14" t="s">
        <v>797</v>
      </c>
      <c r="L8" s="16">
        <f>60000/7.5345</f>
        <v>7963.3685048775624</v>
      </c>
      <c r="M8" s="20">
        <f>L8*0.25</f>
        <v>1990.8421262193906</v>
      </c>
      <c r="N8" s="20">
        <f t="shared" si="0"/>
        <v>9954.2106310969539</v>
      </c>
      <c r="O8" s="28" t="s">
        <v>492</v>
      </c>
      <c r="P8" s="18" t="s">
        <v>881</v>
      </c>
      <c r="Q8" s="20">
        <f>829.51*12</f>
        <v>9954.119999999999</v>
      </c>
      <c r="R8" s="18"/>
      <c r="S8" s="28"/>
    </row>
    <row r="9" spans="1:19" s="37" customFormat="1" ht="27.95" customHeight="1" x14ac:dyDescent="0.2">
      <c r="A9" s="12" t="s">
        <v>47</v>
      </c>
      <c r="B9" s="24" t="s">
        <v>839</v>
      </c>
      <c r="C9" s="13" t="s">
        <v>227</v>
      </c>
      <c r="D9" s="23" t="s">
        <v>228</v>
      </c>
      <c r="E9" s="14"/>
      <c r="F9" s="14" t="s">
        <v>21</v>
      </c>
      <c r="G9" s="14" t="s">
        <v>840</v>
      </c>
      <c r="H9" s="14"/>
      <c r="I9" s="14" t="s">
        <v>841</v>
      </c>
      <c r="J9" s="70" t="s">
        <v>842</v>
      </c>
      <c r="K9" s="14" t="s">
        <v>843</v>
      </c>
      <c r="L9" s="15">
        <v>22629.48</v>
      </c>
      <c r="M9" s="16">
        <f t="shared" ref="M9" si="1">L9*0.25</f>
        <v>5657.37</v>
      </c>
      <c r="N9" s="20">
        <f t="shared" si="0"/>
        <v>28286.85</v>
      </c>
      <c r="O9" s="28" t="s">
        <v>492</v>
      </c>
      <c r="P9" s="18" t="s">
        <v>309</v>
      </c>
      <c r="Q9" s="17"/>
      <c r="R9" s="18"/>
      <c r="S9" s="19"/>
    </row>
    <row r="10" spans="1:19" s="37" customFormat="1" ht="27.95" customHeight="1" x14ac:dyDescent="0.2">
      <c r="A10" s="12" t="s">
        <v>55</v>
      </c>
      <c r="B10" s="24" t="s">
        <v>844</v>
      </c>
      <c r="C10" s="13" t="s">
        <v>233</v>
      </c>
      <c r="D10" s="23" t="s">
        <v>234</v>
      </c>
      <c r="E10" s="14"/>
      <c r="F10" s="14" t="s">
        <v>21</v>
      </c>
      <c r="G10" s="14" t="s">
        <v>522</v>
      </c>
      <c r="H10" s="14"/>
      <c r="I10" s="14" t="s">
        <v>845</v>
      </c>
      <c r="J10" s="70" t="s">
        <v>846</v>
      </c>
      <c r="K10" s="14" t="s">
        <v>847</v>
      </c>
      <c r="L10" s="15">
        <v>13626</v>
      </c>
      <c r="M10" s="16">
        <f>L10*0.25</f>
        <v>3406.5</v>
      </c>
      <c r="N10" s="20">
        <f t="shared" si="0"/>
        <v>17032.5</v>
      </c>
      <c r="O10" s="28" t="s">
        <v>492</v>
      </c>
      <c r="P10" s="18" t="s">
        <v>309</v>
      </c>
      <c r="Q10" s="17"/>
      <c r="R10" s="18"/>
      <c r="S10" s="28"/>
    </row>
    <row r="11" spans="1:19" s="37" customFormat="1" ht="27.95" customHeight="1" x14ac:dyDescent="0.2">
      <c r="A11" s="12" t="s">
        <v>63</v>
      </c>
      <c r="B11" s="24" t="s">
        <v>848</v>
      </c>
      <c r="C11" s="13" t="s">
        <v>849</v>
      </c>
      <c r="D11" s="23" t="s">
        <v>254</v>
      </c>
      <c r="E11" s="14"/>
      <c r="F11" s="14" t="s">
        <v>21</v>
      </c>
      <c r="G11" s="14" t="s">
        <v>255</v>
      </c>
      <c r="H11" s="14"/>
      <c r="I11" s="14" t="s">
        <v>850</v>
      </c>
      <c r="J11" s="70" t="s">
        <v>851</v>
      </c>
      <c r="K11" s="14" t="s">
        <v>852</v>
      </c>
      <c r="L11" s="15">
        <v>11143.2</v>
      </c>
      <c r="M11" s="16">
        <f t="shared" ref="M11:M23" si="2">L11*0.25</f>
        <v>2785.8</v>
      </c>
      <c r="N11" s="20">
        <f t="shared" si="0"/>
        <v>13929</v>
      </c>
      <c r="O11" s="28" t="s">
        <v>492</v>
      </c>
      <c r="P11" s="18" t="s">
        <v>309</v>
      </c>
      <c r="Q11" s="20"/>
      <c r="R11" s="18"/>
      <c r="S11" s="28"/>
    </row>
    <row r="12" spans="1:19" s="37" customFormat="1" ht="27.95" customHeight="1" x14ac:dyDescent="0.2">
      <c r="A12" s="12" t="s">
        <v>71</v>
      </c>
      <c r="B12" s="24" t="s">
        <v>853</v>
      </c>
      <c r="C12" s="13" t="s">
        <v>854</v>
      </c>
      <c r="D12" s="23" t="s">
        <v>855</v>
      </c>
      <c r="E12" s="14"/>
      <c r="F12" s="14" t="s">
        <v>21</v>
      </c>
      <c r="G12" s="14" t="s">
        <v>314</v>
      </c>
      <c r="H12" s="14"/>
      <c r="I12" s="14" t="s">
        <v>856</v>
      </c>
      <c r="J12" s="70" t="s">
        <v>857</v>
      </c>
      <c r="K12" s="14" t="s">
        <v>858</v>
      </c>
      <c r="L12" s="15">
        <v>21684.36</v>
      </c>
      <c r="M12" s="16">
        <f t="shared" si="2"/>
        <v>5421.09</v>
      </c>
      <c r="N12" s="20">
        <f t="shared" si="0"/>
        <v>27105.45</v>
      </c>
      <c r="O12" s="28" t="s">
        <v>492</v>
      </c>
      <c r="P12" s="18" t="s">
        <v>309</v>
      </c>
      <c r="Q12" s="20"/>
      <c r="R12" s="18"/>
      <c r="S12" s="28"/>
    </row>
    <row r="13" spans="1:19" ht="27.95" customHeight="1" x14ac:dyDescent="0.2">
      <c r="A13" s="12" t="s">
        <v>82</v>
      </c>
      <c r="B13" s="24" t="s">
        <v>859</v>
      </c>
      <c r="C13" s="13" t="s">
        <v>860</v>
      </c>
      <c r="D13" s="23" t="s">
        <v>557</v>
      </c>
      <c r="E13" s="14"/>
      <c r="F13" s="14" t="s">
        <v>21</v>
      </c>
      <c r="G13" s="14" t="s">
        <v>77</v>
      </c>
      <c r="H13" s="14"/>
      <c r="I13" s="14" t="s">
        <v>856</v>
      </c>
      <c r="J13" s="70" t="s">
        <v>861</v>
      </c>
      <c r="K13" s="14" t="s">
        <v>858</v>
      </c>
      <c r="L13" s="15">
        <v>26220</v>
      </c>
      <c r="M13" s="16">
        <f t="shared" si="2"/>
        <v>6555</v>
      </c>
      <c r="N13" s="20">
        <f t="shared" si="0"/>
        <v>32775</v>
      </c>
      <c r="O13" s="28" t="s">
        <v>492</v>
      </c>
      <c r="P13" s="18" t="s">
        <v>309</v>
      </c>
      <c r="Q13" s="17"/>
      <c r="R13" s="18"/>
      <c r="S13" s="28"/>
    </row>
    <row r="14" spans="1:19" ht="51" x14ac:dyDescent="0.2">
      <c r="A14" s="12" t="s">
        <v>90</v>
      </c>
      <c r="B14" s="24"/>
      <c r="C14" s="13" t="s">
        <v>243</v>
      </c>
      <c r="D14" s="23" t="s">
        <v>244</v>
      </c>
      <c r="E14" s="14" t="s">
        <v>862</v>
      </c>
      <c r="F14" s="14" t="s">
        <v>76</v>
      </c>
      <c r="G14" s="14" t="s">
        <v>863</v>
      </c>
      <c r="H14" s="14"/>
      <c r="I14" s="14" t="s">
        <v>864</v>
      </c>
      <c r="J14" s="70" t="s">
        <v>865</v>
      </c>
      <c r="K14" s="14" t="s">
        <v>866</v>
      </c>
      <c r="L14" s="15">
        <v>7749.92</v>
      </c>
      <c r="M14" s="16">
        <f t="shared" si="2"/>
        <v>1937.48</v>
      </c>
      <c r="N14" s="20">
        <f t="shared" si="0"/>
        <v>9687.4</v>
      </c>
      <c r="O14" s="28" t="s">
        <v>492</v>
      </c>
      <c r="P14" s="18" t="s">
        <v>309</v>
      </c>
      <c r="Q14" s="17"/>
      <c r="R14" s="18"/>
      <c r="S14" s="28" t="s">
        <v>882</v>
      </c>
    </row>
    <row r="15" spans="1:19" ht="38.25" x14ac:dyDescent="0.2">
      <c r="A15" s="12" t="s">
        <v>99</v>
      </c>
      <c r="B15" s="24" t="s">
        <v>867</v>
      </c>
      <c r="C15" s="13" t="s">
        <v>868</v>
      </c>
      <c r="D15" s="23" t="s">
        <v>869</v>
      </c>
      <c r="E15" s="14"/>
      <c r="F15" s="14" t="s">
        <v>21</v>
      </c>
      <c r="G15" s="14" t="s">
        <v>870</v>
      </c>
      <c r="H15" s="14"/>
      <c r="I15" s="14" t="s">
        <v>871</v>
      </c>
      <c r="J15" s="70" t="s">
        <v>872</v>
      </c>
      <c r="K15" s="14" t="s">
        <v>873</v>
      </c>
      <c r="L15" s="15">
        <v>8855.5</v>
      </c>
      <c r="M15" s="16">
        <f t="shared" si="2"/>
        <v>2213.875</v>
      </c>
      <c r="N15" s="20">
        <f t="shared" si="0"/>
        <v>11069.375</v>
      </c>
      <c r="O15" s="28" t="s">
        <v>492</v>
      </c>
      <c r="P15" s="18" t="s">
        <v>881</v>
      </c>
      <c r="Q15" s="17">
        <v>5425.82</v>
      </c>
      <c r="R15" s="18"/>
      <c r="S15" s="28"/>
    </row>
    <row r="16" spans="1:19" ht="27.95" customHeight="1" x14ac:dyDescent="0.2">
      <c r="A16" s="12" t="s">
        <v>107</v>
      </c>
      <c r="B16" s="24" t="s">
        <v>874</v>
      </c>
      <c r="C16" s="13" t="s">
        <v>875</v>
      </c>
      <c r="D16" s="23" t="s">
        <v>373</v>
      </c>
      <c r="E16" s="14" t="s">
        <v>876</v>
      </c>
      <c r="F16" s="14" t="s">
        <v>76</v>
      </c>
      <c r="G16" s="14" t="s">
        <v>375</v>
      </c>
      <c r="H16" s="14"/>
      <c r="I16" s="14" t="s">
        <v>801</v>
      </c>
      <c r="J16" s="70" t="s">
        <v>877</v>
      </c>
      <c r="K16" s="14" t="s">
        <v>878</v>
      </c>
      <c r="L16" s="15">
        <v>52774.400000000001</v>
      </c>
      <c r="M16" s="16">
        <f t="shared" si="2"/>
        <v>13193.6</v>
      </c>
      <c r="N16" s="20">
        <f t="shared" si="0"/>
        <v>65968</v>
      </c>
      <c r="O16" s="28" t="s">
        <v>492</v>
      </c>
      <c r="P16" s="18" t="s">
        <v>309</v>
      </c>
      <c r="Q16" s="20"/>
      <c r="R16" s="18"/>
      <c r="S16" s="28"/>
    </row>
    <row r="17" spans="1:19" ht="25.5" x14ac:dyDescent="0.2">
      <c r="A17" s="12" t="s">
        <v>113</v>
      </c>
      <c r="B17" s="24" t="s">
        <v>883</v>
      </c>
      <c r="C17" s="13" t="s">
        <v>749</v>
      </c>
      <c r="D17" s="23" t="s">
        <v>291</v>
      </c>
      <c r="E17" s="14"/>
      <c r="F17" s="14" t="s">
        <v>21</v>
      </c>
      <c r="G17" s="14" t="s">
        <v>750</v>
      </c>
      <c r="H17" s="14"/>
      <c r="I17" s="14" t="s">
        <v>884</v>
      </c>
      <c r="J17" s="70" t="s">
        <v>885</v>
      </c>
      <c r="K17" s="14" t="s">
        <v>886</v>
      </c>
      <c r="L17" s="15">
        <v>5877.5</v>
      </c>
      <c r="M17" s="16">
        <f t="shared" si="2"/>
        <v>1469.375</v>
      </c>
      <c r="N17" s="20">
        <f t="shared" si="0"/>
        <v>7346.875</v>
      </c>
      <c r="O17" s="28" t="s">
        <v>492</v>
      </c>
      <c r="P17" s="18" t="s">
        <v>309</v>
      </c>
      <c r="Q17" s="20"/>
      <c r="R17" s="18"/>
      <c r="S17" s="28"/>
    </row>
    <row r="18" spans="1:19" ht="51" x14ac:dyDescent="0.2">
      <c r="A18" s="12" t="s">
        <v>122</v>
      </c>
      <c r="B18" s="24"/>
      <c r="C18" s="13" t="s">
        <v>887</v>
      </c>
      <c r="D18" s="23" t="s">
        <v>244</v>
      </c>
      <c r="E18" s="14" t="s">
        <v>888</v>
      </c>
      <c r="F18" s="14" t="s">
        <v>76</v>
      </c>
      <c r="G18" s="14" t="s">
        <v>246</v>
      </c>
      <c r="H18" s="14"/>
      <c r="I18" s="14" t="s">
        <v>889</v>
      </c>
      <c r="J18" s="70" t="s">
        <v>890</v>
      </c>
      <c r="K18" s="14" t="s">
        <v>886</v>
      </c>
      <c r="L18" s="15">
        <v>152.24</v>
      </c>
      <c r="M18" s="16">
        <f t="shared" si="2"/>
        <v>38.06</v>
      </c>
      <c r="N18" s="20">
        <f t="shared" si="0"/>
        <v>190.3</v>
      </c>
      <c r="O18" s="28" t="s">
        <v>492</v>
      </c>
      <c r="P18" s="18" t="s">
        <v>309</v>
      </c>
      <c r="Q18" s="17"/>
      <c r="R18" s="18"/>
      <c r="S18" s="28" t="s">
        <v>891</v>
      </c>
    </row>
    <row r="19" spans="1:19" ht="51" x14ac:dyDescent="0.2">
      <c r="A19" s="12" t="s">
        <v>129</v>
      </c>
      <c r="B19" s="24"/>
      <c r="C19" s="13" t="s">
        <v>892</v>
      </c>
      <c r="D19" s="23" t="s">
        <v>244</v>
      </c>
      <c r="E19" s="14" t="s">
        <v>893</v>
      </c>
      <c r="F19" s="14" t="s">
        <v>76</v>
      </c>
      <c r="G19" s="14" t="s">
        <v>246</v>
      </c>
      <c r="H19" s="14"/>
      <c r="I19" s="14" t="s">
        <v>889</v>
      </c>
      <c r="J19" s="70" t="s">
        <v>894</v>
      </c>
      <c r="K19" s="14" t="s">
        <v>886</v>
      </c>
      <c r="L19" s="15">
        <v>1052.1300000000001</v>
      </c>
      <c r="M19" s="16">
        <f t="shared" si="2"/>
        <v>263.03250000000003</v>
      </c>
      <c r="N19" s="20">
        <f t="shared" si="0"/>
        <v>1315.1625000000001</v>
      </c>
      <c r="O19" s="28" t="s">
        <v>492</v>
      </c>
      <c r="P19" s="18" t="s">
        <v>309</v>
      </c>
      <c r="Q19" s="17"/>
      <c r="R19" s="18"/>
      <c r="S19" s="28" t="s">
        <v>895</v>
      </c>
    </row>
    <row r="20" spans="1:19" ht="38.25" x14ac:dyDescent="0.2">
      <c r="A20" s="12" t="s">
        <v>137</v>
      </c>
      <c r="B20" s="24" t="s">
        <v>896</v>
      </c>
      <c r="C20" s="13" t="s">
        <v>303</v>
      </c>
      <c r="D20" s="23" t="s">
        <v>304</v>
      </c>
      <c r="E20" s="14"/>
      <c r="F20" s="14" t="s">
        <v>21</v>
      </c>
      <c r="G20" s="14" t="s">
        <v>306</v>
      </c>
      <c r="H20" s="14"/>
      <c r="I20" s="14" t="s">
        <v>897</v>
      </c>
      <c r="J20" s="70" t="s">
        <v>898</v>
      </c>
      <c r="K20" s="14" t="s">
        <v>444</v>
      </c>
      <c r="L20" s="15">
        <v>12138.48</v>
      </c>
      <c r="M20" s="16">
        <f t="shared" si="2"/>
        <v>3034.62</v>
      </c>
      <c r="N20" s="20">
        <f t="shared" si="0"/>
        <v>15173.099999999999</v>
      </c>
      <c r="O20" s="28" t="s">
        <v>492</v>
      </c>
      <c r="P20" s="18" t="s">
        <v>309</v>
      </c>
      <c r="Q20" s="20"/>
      <c r="R20" s="20"/>
      <c r="S20" s="20"/>
    </row>
    <row r="21" spans="1:19" ht="63.75" x14ac:dyDescent="0.2">
      <c r="A21" s="12" t="s">
        <v>145</v>
      </c>
      <c r="B21" s="24"/>
      <c r="C21" s="13" t="s">
        <v>754</v>
      </c>
      <c r="D21" s="14" t="s">
        <v>410</v>
      </c>
      <c r="E21" s="14" t="s">
        <v>899</v>
      </c>
      <c r="F21" s="14" t="s">
        <v>419</v>
      </c>
      <c r="G21" s="14" t="s">
        <v>598</v>
      </c>
      <c r="H21" s="14"/>
      <c r="I21" s="14" t="s">
        <v>900</v>
      </c>
      <c r="J21" s="14" t="s">
        <v>901</v>
      </c>
      <c r="K21" s="14" t="s">
        <v>902</v>
      </c>
      <c r="L21" s="15">
        <v>409.22</v>
      </c>
      <c r="M21" s="16">
        <v>0</v>
      </c>
      <c r="N21" s="20">
        <f t="shared" si="0"/>
        <v>409.22</v>
      </c>
      <c r="O21" s="28" t="s">
        <v>492</v>
      </c>
      <c r="P21" s="18" t="s">
        <v>309</v>
      </c>
      <c r="Q21" s="20">
        <v>409.22</v>
      </c>
      <c r="R21" s="18"/>
      <c r="S21" s="28" t="s">
        <v>903</v>
      </c>
    </row>
    <row r="22" spans="1:19" ht="63.75" x14ac:dyDescent="0.2">
      <c r="A22" s="12" t="s">
        <v>152</v>
      </c>
      <c r="B22" s="24"/>
      <c r="C22" s="13" t="s">
        <v>760</v>
      </c>
      <c r="D22" s="14" t="s">
        <v>410</v>
      </c>
      <c r="E22" s="14" t="s">
        <v>899</v>
      </c>
      <c r="F22" s="14" t="s">
        <v>419</v>
      </c>
      <c r="G22" s="14" t="s">
        <v>598</v>
      </c>
      <c r="H22" s="14"/>
      <c r="I22" s="14" t="s">
        <v>900</v>
      </c>
      <c r="J22" s="71" t="s">
        <v>904</v>
      </c>
      <c r="K22" s="14" t="s">
        <v>902</v>
      </c>
      <c r="L22" s="15">
        <v>1011.33</v>
      </c>
      <c r="M22" s="16">
        <v>0</v>
      </c>
      <c r="N22" s="20">
        <f t="shared" si="0"/>
        <v>1011.33</v>
      </c>
      <c r="O22" s="28" t="s">
        <v>492</v>
      </c>
      <c r="P22" s="18" t="s">
        <v>309</v>
      </c>
      <c r="Q22" s="20">
        <v>1011.33</v>
      </c>
      <c r="R22" s="18"/>
      <c r="S22" s="28" t="s">
        <v>903</v>
      </c>
    </row>
    <row r="23" spans="1:19" ht="25.5" x14ac:dyDescent="0.2">
      <c r="A23" s="12" t="s">
        <v>156</v>
      </c>
      <c r="B23" s="24" t="s">
        <v>905</v>
      </c>
      <c r="C23" s="13" t="s">
        <v>906</v>
      </c>
      <c r="D23" s="23" t="s">
        <v>132</v>
      </c>
      <c r="E23" s="14"/>
      <c r="F23" s="14" t="s">
        <v>21</v>
      </c>
      <c r="G23" s="14" t="s">
        <v>773</v>
      </c>
      <c r="H23" s="14"/>
      <c r="I23" s="14" t="s">
        <v>907</v>
      </c>
      <c r="J23" s="70" t="s">
        <v>908</v>
      </c>
      <c r="K23" s="14" t="s">
        <v>909</v>
      </c>
      <c r="L23" s="15">
        <v>5700</v>
      </c>
      <c r="M23" s="16">
        <f t="shared" si="2"/>
        <v>1425</v>
      </c>
      <c r="N23" s="20">
        <f>L23+M23</f>
        <v>7125</v>
      </c>
      <c r="O23" s="28" t="s">
        <v>492</v>
      </c>
      <c r="P23" s="18" t="s">
        <v>309</v>
      </c>
      <c r="Q23" s="20"/>
      <c r="R23" s="18"/>
      <c r="S23" s="18"/>
    </row>
    <row r="24" spans="1:19" ht="25.5" x14ac:dyDescent="0.2">
      <c r="A24" s="12" t="s">
        <v>162</v>
      </c>
      <c r="B24" s="24" t="s">
        <v>910</v>
      </c>
      <c r="C24" s="13" t="s">
        <v>327</v>
      </c>
      <c r="D24" s="23" t="s">
        <v>328</v>
      </c>
      <c r="E24" s="14"/>
      <c r="F24" s="14" t="s">
        <v>21</v>
      </c>
      <c r="G24" s="14" t="s">
        <v>911</v>
      </c>
      <c r="H24" s="14"/>
      <c r="I24" s="14" t="s">
        <v>912</v>
      </c>
      <c r="J24" s="70" t="s">
        <v>913</v>
      </c>
      <c r="K24" s="14" t="s">
        <v>914</v>
      </c>
      <c r="L24" s="15">
        <v>23990</v>
      </c>
      <c r="M24" s="16">
        <v>0</v>
      </c>
      <c r="N24" s="20">
        <f>L24+M24</f>
        <v>23990</v>
      </c>
      <c r="O24" s="28" t="s">
        <v>492</v>
      </c>
      <c r="P24" s="18" t="s">
        <v>309</v>
      </c>
      <c r="Q24" s="20"/>
      <c r="R24" s="18"/>
      <c r="S24" s="18"/>
    </row>
    <row r="25" spans="1:19" ht="63.75" x14ac:dyDescent="0.2">
      <c r="A25" s="12" t="s">
        <v>170</v>
      </c>
      <c r="B25" s="24"/>
      <c r="C25" s="13" t="s">
        <v>915</v>
      </c>
      <c r="D25" s="14" t="s">
        <v>410</v>
      </c>
      <c r="E25" s="14" t="s">
        <v>916</v>
      </c>
      <c r="F25" s="14" t="s">
        <v>419</v>
      </c>
      <c r="G25" s="14" t="s">
        <v>598</v>
      </c>
      <c r="H25" s="14"/>
      <c r="I25" s="14" t="s">
        <v>917</v>
      </c>
      <c r="J25" s="14" t="s">
        <v>918</v>
      </c>
      <c r="K25" s="14" t="s">
        <v>919</v>
      </c>
      <c r="L25" s="15">
        <v>137.01</v>
      </c>
      <c r="M25" s="16">
        <v>0</v>
      </c>
      <c r="N25" s="20">
        <f t="shared" ref="N25:N29" si="3">L25+M25</f>
        <v>137.01</v>
      </c>
      <c r="O25" s="28" t="s">
        <v>492</v>
      </c>
      <c r="P25" s="18" t="s">
        <v>309</v>
      </c>
      <c r="Q25" s="20">
        <v>137.01</v>
      </c>
      <c r="R25" s="18"/>
      <c r="S25" s="28" t="s">
        <v>920</v>
      </c>
    </row>
    <row r="26" spans="1:19" ht="63.75" x14ac:dyDescent="0.2">
      <c r="A26" s="12" t="s">
        <v>177</v>
      </c>
      <c r="B26" s="24"/>
      <c r="C26" s="13" t="s">
        <v>921</v>
      </c>
      <c r="D26" s="14" t="s">
        <v>410</v>
      </c>
      <c r="E26" s="14" t="s">
        <v>916</v>
      </c>
      <c r="F26" s="14" t="s">
        <v>419</v>
      </c>
      <c r="G26" s="14" t="s">
        <v>598</v>
      </c>
      <c r="H26" s="14"/>
      <c r="I26" s="14" t="s">
        <v>917</v>
      </c>
      <c r="J26" s="14" t="s">
        <v>922</v>
      </c>
      <c r="K26" s="14" t="s">
        <v>919</v>
      </c>
      <c r="L26" s="15">
        <v>469.23</v>
      </c>
      <c r="M26" s="16">
        <v>0</v>
      </c>
      <c r="N26" s="20">
        <f t="shared" si="3"/>
        <v>469.23</v>
      </c>
      <c r="O26" s="28" t="s">
        <v>492</v>
      </c>
      <c r="P26" s="18" t="s">
        <v>309</v>
      </c>
      <c r="Q26" s="20">
        <v>469.23</v>
      </c>
      <c r="R26" s="18"/>
      <c r="S26" s="28" t="s">
        <v>920</v>
      </c>
    </row>
    <row r="27" spans="1:19" ht="25.5" x14ac:dyDescent="0.2">
      <c r="A27" s="12" t="s">
        <v>185</v>
      </c>
      <c r="B27" s="24" t="s">
        <v>923</v>
      </c>
      <c r="C27" s="13" t="s">
        <v>206</v>
      </c>
      <c r="D27" s="23" t="s">
        <v>207</v>
      </c>
      <c r="E27" s="14"/>
      <c r="F27" s="14" t="s">
        <v>21</v>
      </c>
      <c r="G27" s="14" t="s">
        <v>924</v>
      </c>
      <c r="H27" s="14"/>
      <c r="I27" s="14" t="s">
        <v>925</v>
      </c>
      <c r="J27" s="70" t="s">
        <v>926</v>
      </c>
      <c r="K27" s="14" t="s">
        <v>927</v>
      </c>
      <c r="L27" s="15">
        <v>14140</v>
      </c>
      <c r="M27" s="16">
        <f t="shared" ref="M27:M28" si="4">L27*0.25</f>
        <v>3535</v>
      </c>
      <c r="N27" s="20">
        <f t="shared" si="3"/>
        <v>17675</v>
      </c>
      <c r="O27" s="28" t="s">
        <v>492</v>
      </c>
      <c r="P27" s="18" t="s">
        <v>309</v>
      </c>
      <c r="Q27" s="20"/>
      <c r="R27" s="18"/>
      <c r="S27" s="28"/>
    </row>
    <row r="28" spans="1:19" ht="25.5" x14ac:dyDescent="0.2">
      <c r="A28" s="12" t="s">
        <v>191</v>
      </c>
      <c r="B28" s="24" t="s">
        <v>928</v>
      </c>
      <c r="C28" s="13" t="s">
        <v>440</v>
      </c>
      <c r="D28" s="23" t="s">
        <v>441</v>
      </c>
      <c r="E28" s="14"/>
      <c r="F28" s="14" t="s">
        <v>21</v>
      </c>
      <c r="G28" s="14" t="s">
        <v>578</v>
      </c>
      <c r="H28" s="14"/>
      <c r="I28" s="14" t="s">
        <v>929</v>
      </c>
      <c r="J28" s="70" t="s">
        <v>930</v>
      </c>
      <c r="K28" s="14" t="s">
        <v>931</v>
      </c>
      <c r="L28" s="15">
        <v>5892.96</v>
      </c>
      <c r="M28" s="16">
        <f t="shared" si="4"/>
        <v>1473.24</v>
      </c>
      <c r="N28" s="20">
        <f t="shared" si="3"/>
        <v>7366.2</v>
      </c>
      <c r="O28" s="28" t="s">
        <v>492</v>
      </c>
      <c r="P28" s="18" t="s">
        <v>309</v>
      </c>
      <c r="Q28" s="20"/>
      <c r="R28" s="18"/>
      <c r="S28" s="28" t="s">
        <v>932</v>
      </c>
    </row>
    <row r="29" spans="1:19" ht="25.5" x14ac:dyDescent="0.2">
      <c r="A29" s="12" t="s">
        <v>337</v>
      </c>
      <c r="B29" s="24" t="s">
        <v>933</v>
      </c>
      <c r="C29" s="13" t="s">
        <v>198</v>
      </c>
      <c r="D29" s="14" t="s">
        <v>199</v>
      </c>
      <c r="E29" s="14"/>
      <c r="F29" s="14" t="s">
        <v>21</v>
      </c>
      <c r="G29" s="14" t="s">
        <v>200</v>
      </c>
      <c r="H29" s="14"/>
      <c r="I29" s="14" t="s">
        <v>934</v>
      </c>
      <c r="J29" s="70" t="s">
        <v>935</v>
      </c>
      <c r="K29" s="14" t="s">
        <v>931</v>
      </c>
      <c r="L29" s="16">
        <v>7980</v>
      </c>
      <c r="M29" s="20">
        <f>L29*0.25</f>
        <v>1995</v>
      </c>
      <c r="N29" s="20">
        <f t="shared" si="3"/>
        <v>9975</v>
      </c>
      <c r="O29" s="28" t="s">
        <v>492</v>
      </c>
      <c r="P29" s="18" t="s">
        <v>309</v>
      </c>
      <c r="Q29" s="20"/>
      <c r="R29" s="18"/>
      <c r="S29" s="28"/>
    </row>
  </sheetData>
  <mergeCells count="1">
    <mergeCell ref="A1:S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2018</vt:lpstr>
      <vt:lpstr>2019</vt:lpstr>
      <vt:lpstr>2020</vt:lpstr>
      <vt:lpstr>2021</vt:lpstr>
      <vt:lpstr>2022</vt:lpstr>
      <vt:lpstr>2023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Registar ugovora i okvirnih sporazuma HERA-e</dc:title>
  <dc:creator/>
  <cp:lastModifiedBy/>
  <dcterms:created xsi:type="dcterms:W3CDTF">2022-07-14T08:44:40Z</dcterms:created>
  <dcterms:modified xsi:type="dcterms:W3CDTF">2024-01-23T10:31:11Z</dcterms:modified>
</cp:coreProperties>
</file>