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17 novo\FINANCIJSKI PLAN\2025\Financijski plan MUP-a 2025.-2027. za objavu\"/>
    </mc:Choice>
  </mc:AlternateContent>
  <bookViews>
    <workbookView xWindow="0" yWindow="0" windowWidth="25596" windowHeight="10656" activeTab="2"/>
  </bookViews>
  <sheets>
    <sheet name="Izvor 11 i 12" sheetId="1" r:id="rId1"/>
    <sheet name="ostali izvori" sheetId="23" r:id="rId2"/>
    <sheet name="Rekapitulacija u eur" sheetId="5" r:id="rId3"/>
  </sheets>
  <definedNames>
    <definedName name="_xlnm._FilterDatabase" localSheetId="0" hidden="1">'Izvor 11 i 12'!$A$7:$B$987</definedName>
    <definedName name="Dodatno">#REF!</definedName>
    <definedName name="_xlnm.Print_Titles" localSheetId="0">'Izvor 11 i 12'!$6:$8</definedName>
    <definedName name="_xlnm.Print_Titles" localSheetId="1">'ostali izvori'!$5:$6</definedName>
    <definedName name="JošStavk">#REF!</definedName>
    <definedName name="JošStavki">#REF!</definedName>
    <definedName name="JošVoća">#REF!</definedName>
    <definedName name="Meso">#REF!</definedName>
    <definedName name="_xlnm.Print_Area" localSheetId="0">'Izvor 11 i 12'!$A$1:$AD$987</definedName>
    <definedName name="_xlnm.Print_Area" localSheetId="1">'ostali izvori'!$A$1:$Q$1520</definedName>
    <definedName name="_xlnm.Print_Area" localSheetId="2">'Rekapitulacija u eur'!$A$1:$M$23</definedName>
    <definedName name="Stavke">#REF!</definedName>
    <definedName name="SUMDodatno">#REF!</definedName>
    <definedName name="SUMIF">#REF!</definedName>
    <definedName name="SUMIFDodatno">#REF!</definedName>
    <definedName name="Ukupno">#REF!</definedName>
    <definedName name="Voće">#REF!</definedName>
  </definedNames>
  <calcPr calcId="162913"/>
</workbook>
</file>

<file path=xl/calcChain.xml><?xml version="1.0" encoding="utf-8"?>
<calcChain xmlns="http://schemas.openxmlformats.org/spreadsheetml/2006/main">
  <c r="P1302" i="23" l="1"/>
  <c r="O1302" i="23"/>
  <c r="P1396" i="23"/>
  <c r="O1445" i="23"/>
  <c r="R844" i="23"/>
  <c r="M152" i="23" l="1"/>
  <c r="N152" i="23"/>
  <c r="O152" i="23"/>
  <c r="O151" i="23" s="1"/>
  <c r="P152" i="23"/>
  <c r="Q152" i="23"/>
  <c r="M151" i="23"/>
  <c r="N151" i="23"/>
  <c r="P151" i="23"/>
  <c r="Q151" i="23"/>
  <c r="L152" i="23"/>
  <c r="L151" i="23"/>
  <c r="M149" i="23"/>
  <c r="N149" i="23"/>
  <c r="N148" i="23" s="1"/>
  <c r="O149" i="23"/>
  <c r="O148" i="23" s="1"/>
  <c r="P149" i="23"/>
  <c r="Q149" i="23"/>
  <c r="L149" i="23"/>
  <c r="L148" i="23" s="1"/>
  <c r="M148" i="23"/>
  <c r="P148" i="23"/>
  <c r="Q148" i="23"/>
  <c r="P147" i="23"/>
  <c r="P146" i="23" s="1"/>
  <c r="M147" i="23" l="1"/>
  <c r="M146" i="23" s="1"/>
  <c r="O147" i="23"/>
  <c r="O146" i="23" s="1"/>
  <c r="N147" i="23"/>
  <c r="N146" i="23" s="1"/>
  <c r="Q147" i="23"/>
  <c r="Q146" i="23" s="1"/>
  <c r="L147" i="23"/>
  <c r="L146" i="23" s="1"/>
  <c r="P200" i="1" l="1"/>
  <c r="Q984" i="1" l="1"/>
  <c r="R984" i="1"/>
  <c r="Q983" i="1"/>
  <c r="R983" i="1"/>
  <c r="R985" i="1" l="1"/>
  <c r="Q985" i="1"/>
  <c r="M1148" i="23" l="1"/>
  <c r="N1148" i="23"/>
  <c r="O1148" i="23"/>
  <c r="P1148" i="23"/>
  <c r="Q1148" i="23"/>
  <c r="M768" i="1"/>
  <c r="N756" i="1" l="1"/>
  <c r="O756" i="1"/>
  <c r="P756" i="1"/>
  <c r="Q756" i="1"/>
  <c r="R756" i="1"/>
  <c r="S756" i="1"/>
  <c r="M756" i="1"/>
  <c r="D976" i="1" l="1"/>
  <c r="V972" i="1"/>
  <c r="U972" i="1"/>
  <c r="U971" i="1" s="1"/>
  <c r="T972" i="1"/>
  <c r="M972" i="1"/>
  <c r="S972" i="1" s="1"/>
  <c r="T971" i="1"/>
  <c r="R971" i="1"/>
  <c r="R966" i="1" s="1"/>
  <c r="Q971" i="1"/>
  <c r="Q966" i="1" s="1"/>
  <c r="P971" i="1"/>
  <c r="O971" i="1"/>
  <c r="N971" i="1"/>
  <c r="L971" i="1"/>
  <c r="K971" i="1"/>
  <c r="J971" i="1"/>
  <c r="I971" i="1"/>
  <c r="H971" i="1"/>
  <c r="V970" i="1"/>
  <c r="W970" i="1" s="1"/>
  <c r="U970" i="1"/>
  <c r="T970" i="1"/>
  <c r="S970" i="1"/>
  <c r="U969" i="1"/>
  <c r="T969" i="1"/>
  <c r="M969" i="1"/>
  <c r="V969" i="1" s="1"/>
  <c r="V968" i="1"/>
  <c r="W968" i="1" s="1"/>
  <c r="U968" i="1"/>
  <c r="T968" i="1"/>
  <c r="M968" i="1"/>
  <c r="S968" i="1" s="1"/>
  <c r="R967" i="1"/>
  <c r="Q967" i="1"/>
  <c r="P967" i="1"/>
  <c r="O967" i="1"/>
  <c r="O966" i="1" s="1"/>
  <c r="N967" i="1"/>
  <c r="L967" i="1"/>
  <c r="L966" i="1" s="1"/>
  <c r="K967" i="1"/>
  <c r="J967" i="1"/>
  <c r="J966" i="1" s="1"/>
  <c r="I967" i="1"/>
  <c r="I966" i="1" s="1"/>
  <c r="H967" i="1"/>
  <c r="H966" i="1" s="1"/>
  <c r="H946" i="1" s="1"/>
  <c r="H945" i="1" s="1"/>
  <c r="W965" i="1"/>
  <c r="V965" i="1"/>
  <c r="U965" i="1"/>
  <c r="U964" i="1" s="1"/>
  <c r="T965" i="1"/>
  <c r="T964" i="1" s="1"/>
  <c r="S965" i="1"/>
  <c r="M965" i="1"/>
  <c r="S964" i="1"/>
  <c r="R964" i="1"/>
  <c r="Q964" i="1"/>
  <c r="P964" i="1"/>
  <c r="V964" i="1" s="1"/>
  <c r="O964" i="1"/>
  <c r="N964" i="1"/>
  <c r="M964" i="1"/>
  <c r="L964" i="1"/>
  <c r="K964" i="1"/>
  <c r="J964" i="1"/>
  <c r="I964" i="1"/>
  <c r="H964" i="1"/>
  <c r="W963" i="1"/>
  <c r="V963" i="1"/>
  <c r="U963" i="1"/>
  <c r="U962" i="1" s="1"/>
  <c r="T963" i="1"/>
  <c r="T962" i="1" s="1"/>
  <c r="S963" i="1"/>
  <c r="S962" i="1"/>
  <c r="W962" i="1" s="1"/>
  <c r="R962" i="1"/>
  <c r="Q962" i="1"/>
  <c r="P962" i="1"/>
  <c r="V962" i="1" s="1"/>
  <c r="O962" i="1"/>
  <c r="O950" i="1" s="1"/>
  <c r="N962" i="1"/>
  <c r="N950" i="1" s="1"/>
  <c r="M962" i="1"/>
  <c r="L962" i="1"/>
  <c r="K962" i="1"/>
  <c r="J962" i="1"/>
  <c r="I962" i="1"/>
  <c r="H962" i="1"/>
  <c r="V961" i="1"/>
  <c r="U961" i="1"/>
  <c r="T961" i="1"/>
  <c r="S961" i="1"/>
  <c r="W961" i="1" s="1"/>
  <c r="W960" i="1"/>
  <c r="V960" i="1"/>
  <c r="U960" i="1"/>
  <c r="T960" i="1"/>
  <c r="S960" i="1"/>
  <c r="M960" i="1"/>
  <c r="U959" i="1"/>
  <c r="T959" i="1"/>
  <c r="S959" i="1"/>
  <c r="M959" i="1"/>
  <c r="W958" i="1"/>
  <c r="V958" i="1"/>
  <c r="U958" i="1"/>
  <c r="U957" i="1" s="1"/>
  <c r="T958" i="1"/>
  <c r="T957" i="1" s="1"/>
  <c r="S958" i="1"/>
  <c r="M958" i="1"/>
  <c r="R957" i="1"/>
  <c r="Q957" i="1"/>
  <c r="Q950" i="1" s="1"/>
  <c r="P957" i="1"/>
  <c r="O957" i="1"/>
  <c r="N957" i="1"/>
  <c r="L957" i="1"/>
  <c r="K957" i="1"/>
  <c r="J957" i="1"/>
  <c r="I957" i="1"/>
  <c r="H957" i="1"/>
  <c r="V956" i="1"/>
  <c r="W956" i="1" s="1"/>
  <c r="U956" i="1"/>
  <c r="T956" i="1"/>
  <c r="S956" i="1"/>
  <c r="V955" i="1"/>
  <c r="U955" i="1"/>
  <c r="T955" i="1"/>
  <c r="S955" i="1"/>
  <c r="W955" i="1" s="1"/>
  <c r="M955" i="1"/>
  <c r="V954" i="1"/>
  <c r="U954" i="1"/>
  <c r="T954" i="1"/>
  <c r="S954" i="1"/>
  <c r="R954" i="1"/>
  <c r="R950" i="1" s="1"/>
  <c r="Q954" i="1"/>
  <c r="P954" i="1"/>
  <c r="O954" i="1"/>
  <c r="N954" i="1"/>
  <c r="M954" i="1"/>
  <c r="L954" i="1"/>
  <c r="K954" i="1"/>
  <c r="J954" i="1"/>
  <c r="I954" i="1"/>
  <c r="H954" i="1"/>
  <c r="H950" i="1" s="1"/>
  <c r="W953" i="1"/>
  <c r="V953" i="1"/>
  <c r="U953" i="1"/>
  <c r="T953" i="1"/>
  <c r="S953" i="1"/>
  <c r="U952" i="1"/>
  <c r="T952" i="1"/>
  <c r="M952" i="1"/>
  <c r="U951" i="1"/>
  <c r="U950" i="1" s="1"/>
  <c r="T951" i="1"/>
  <c r="R951" i="1"/>
  <c r="Q951" i="1"/>
  <c r="P951" i="1"/>
  <c r="O951" i="1"/>
  <c r="N951" i="1"/>
  <c r="L951" i="1"/>
  <c r="L950" i="1" s="1"/>
  <c r="K951" i="1"/>
  <c r="K950" i="1" s="1"/>
  <c r="J951" i="1"/>
  <c r="J950" i="1" s="1"/>
  <c r="I951" i="1"/>
  <c r="H951" i="1"/>
  <c r="U949" i="1"/>
  <c r="U948" i="1" s="1"/>
  <c r="U947" i="1" s="1"/>
  <c r="T949" i="1"/>
  <c r="T948" i="1" s="1"/>
  <c r="T947" i="1" s="1"/>
  <c r="S949" i="1"/>
  <c r="M949" i="1"/>
  <c r="V949" i="1" s="1"/>
  <c r="R948" i="1"/>
  <c r="Q948" i="1"/>
  <c r="P948" i="1"/>
  <c r="O948" i="1"/>
  <c r="O947" i="1" s="1"/>
  <c r="O946" i="1" s="1"/>
  <c r="O945" i="1" s="1"/>
  <c r="N948" i="1"/>
  <c r="N947" i="1" s="1"/>
  <c r="L948" i="1"/>
  <c r="L947" i="1" s="1"/>
  <c r="K948" i="1"/>
  <c r="K947" i="1" s="1"/>
  <c r="J948" i="1"/>
  <c r="I948" i="1"/>
  <c r="I947" i="1" s="1"/>
  <c r="H948" i="1"/>
  <c r="R947" i="1"/>
  <c r="R946" i="1" s="1"/>
  <c r="R945" i="1" s="1"/>
  <c r="Q947" i="1"/>
  <c r="P947" i="1"/>
  <c r="J947" i="1"/>
  <c r="H947" i="1"/>
  <c r="V944" i="1"/>
  <c r="U944" i="1"/>
  <c r="T944" i="1"/>
  <c r="S944" i="1"/>
  <c r="W944" i="1" s="1"/>
  <c r="W943" i="1"/>
  <c r="V943" i="1"/>
  <c r="U943" i="1"/>
  <c r="T943" i="1"/>
  <c r="S943" i="1"/>
  <c r="O943" i="1"/>
  <c r="N943" i="1"/>
  <c r="M943" i="1"/>
  <c r="M940" i="1" s="1"/>
  <c r="L943" i="1"/>
  <c r="K943" i="1"/>
  <c r="J943" i="1"/>
  <c r="I943" i="1"/>
  <c r="I940" i="1" s="1"/>
  <c r="H943" i="1"/>
  <c r="W942" i="1"/>
  <c r="V942" i="1"/>
  <c r="U942" i="1"/>
  <c r="U941" i="1" s="1"/>
  <c r="U940" i="1" s="1"/>
  <c r="T942" i="1"/>
  <c r="S942" i="1"/>
  <c r="O942" i="1"/>
  <c r="N942" i="1"/>
  <c r="T941" i="1"/>
  <c r="S941" i="1"/>
  <c r="R941" i="1"/>
  <c r="R940" i="1" s="1"/>
  <c r="Q941" i="1"/>
  <c r="Q940" i="1" s="1"/>
  <c r="P941" i="1"/>
  <c r="P940" i="1" s="1"/>
  <c r="V940" i="1" s="1"/>
  <c r="O941" i="1"/>
  <c r="O940" i="1" s="1"/>
  <c r="N941" i="1"/>
  <c r="M941" i="1"/>
  <c r="L941" i="1"/>
  <c r="L940" i="1" s="1"/>
  <c r="J941" i="1"/>
  <c r="I941" i="1"/>
  <c r="H941" i="1"/>
  <c r="T940" i="1"/>
  <c r="N940" i="1"/>
  <c r="K940" i="1"/>
  <c r="J940" i="1"/>
  <c r="H940" i="1"/>
  <c r="AF939" i="1"/>
  <c r="V939" i="1"/>
  <c r="U939" i="1"/>
  <c r="T939" i="1"/>
  <c r="S939" i="1"/>
  <c r="W939" i="1" s="1"/>
  <c r="U938" i="1"/>
  <c r="T938" i="1"/>
  <c r="S938" i="1"/>
  <c r="W938" i="1" s="1"/>
  <c r="R938" i="1"/>
  <c r="Q938" i="1"/>
  <c r="P938" i="1"/>
  <c r="V938" i="1" s="1"/>
  <c r="O938" i="1"/>
  <c r="N938" i="1"/>
  <c r="M938" i="1"/>
  <c r="L938" i="1"/>
  <c r="K938" i="1"/>
  <c r="J938" i="1"/>
  <c r="I938" i="1"/>
  <c r="H938" i="1"/>
  <c r="H929" i="1" s="1"/>
  <c r="AF937" i="1"/>
  <c r="V937" i="1"/>
  <c r="U937" i="1"/>
  <c r="O937" i="1"/>
  <c r="O936" i="1" s="1"/>
  <c r="O929" i="1" s="1"/>
  <c r="N937" i="1"/>
  <c r="T937" i="1" s="1"/>
  <c r="T936" i="1" s="1"/>
  <c r="M937" i="1"/>
  <c r="S937" i="1" s="1"/>
  <c r="V936" i="1"/>
  <c r="U936" i="1"/>
  <c r="R936" i="1"/>
  <c r="Q936" i="1"/>
  <c r="P936" i="1"/>
  <c r="M936" i="1"/>
  <c r="L936" i="1"/>
  <c r="K936" i="1"/>
  <c r="J936" i="1"/>
  <c r="J929" i="1" s="1"/>
  <c r="I936" i="1"/>
  <c r="I929" i="1" s="1"/>
  <c r="H936" i="1"/>
  <c r="W935" i="1"/>
  <c r="V935" i="1"/>
  <c r="U935" i="1"/>
  <c r="S935" i="1"/>
  <c r="O935" i="1"/>
  <c r="N935" i="1"/>
  <c r="N930" i="1" s="1"/>
  <c r="V934" i="1"/>
  <c r="U934" i="1"/>
  <c r="T934" i="1"/>
  <c r="S934" i="1"/>
  <c r="W934" i="1" s="1"/>
  <c r="W933" i="1"/>
  <c r="V933" i="1"/>
  <c r="U933" i="1"/>
  <c r="T933" i="1"/>
  <c r="S933" i="1"/>
  <c r="N933" i="1"/>
  <c r="V932" i="1"/>
  <c r="U932" i="1"/>
  <c r="T932" i="1"/>
  <c r="S932" i="1"/>
  <c r="W932" i="1" s="1"/>
  <c r="W931" i="1"/>
  <c r="V931" i="1"/>
  <c r="U931" i="1"/>
  <c r="U930" i="1" s="1"/>
  <c r="U929" i="1" s="1"/>
  <c r="T931" i="1"/>
  <c r="S931" i="1"/>
  <c r="N931" i="1"/>
  <c r="R930" i="1"/>
  <c r="R929" i="1" s="1"/>
  <c r="Q930" i="1"/>
  <c r="Q929" i="1" s="1"/>
  <c r="P930" i="1"/>
  <c r="O930" i="1"/>
  <c r="M930" i="1"/>
  <c r="M929" i="1" s="1"/>
  <c r="J930" i="1"/>
  <c r="I930" i="1"/>
  <c r="H930" i="1"/>
  <c r="L929" i="1"/>
  <c r="K929" i="1"/>
  <c r="V928" i="1"/>
  <c r="W928" i="1" s="1"/>
  <c r="U928" i="1"/>
  <c r="U927" i="1" s="1"/>
  <c r="U926" i="1" s="1"/>
  <c r="T928" i="1"/>
  <c r="T927" i="1" s="1"/>
  <c r="T926" i="1" s="1"/>
  <c r="S928" i="1"/>
  <c r="N928" i="1"/>
  <c r="S927" i="1"/>
  <c r="R927" i="1"/>
  <c r="Q927" i="1"/>
  <c r="Q926" i="1" s="1"/>
  <c r="P927" i="1"/>
  <c r="O927" i="1"/>
  <c r="N927" i="1"/>
  <c r="N926" i="1" s="1"/>
  <c r="M927" i="1"/>
  <c r="M926" i="1" s="1"/>
  <c r="J927" i="1"/>
  <c r="I927" i="1"/>
  <c r="H927" i="1"/>
  <c r="S926" i="1"/>
  <c r="R926" i="1"/>
  <c r="O926" i="1"/>
  <c r="L926" i="1"/>
  <c r="K926" i="1"/>
  <c r="J926" i="1"/>
  <c r="I926" i="1"/>
  <c r="H926" i="1"/>
  <c r="V925" i="1"/>
  <c r="W925" i="1" s="1"/>
  <c r="U925" i="1"/>
  <c r="T925" i="1"/>
  <c r="T924" i="1" s="1"/>
  <c r="S925" i="1"/>
  <c r="S924" i="1" s="1"/>
  <c r="U924" i="1"/>
  <c r="R924" i="1"/>
  <c r="R923" i="1" s="1"/>
  <c r="Q924" i="1"/>
  <c r="Q923" i="1" s="1"/>
  <c r="P924" i="1"/>
  <c r="O924" i="1"/>
  <c r="O923" i="1" s="1"/>
  <c r="N924" i="1"/>
  <c r="N923" i="1" s="1"/>
  <c r="M924" i="1"/>
  <c r="L924" i="1"/>
  <c r="L923" i="1" s="1"/>
  <c r="K924" i="1"/>
  <c r="J924" i="1"/>
  <c r="I924" i="1"/>
  <c r="H924" i="1"/>
  <c r="U923" i="1"/>
  <c r="T923" i="1"/>
  <c r="S923" i="1"/>
  <c r="M923" i="1"/>
  <c r="K923" i="1"/>
  <c r="J923" i="1"/>
  <c r="I923" i="1"/>
  <c r="H923" i="1"/>
  <c r="W922" i="1"/>
  <c r="V922" i="1"/>
  <c r="U922" i="1"/>
  <c r="S922" i="1"/>
  <c r="O922" i="1"/>
  <c r="N922" i="1"/>
  <c r="V921" i="1"/>
  <c r="T921" i="1"/>
  <c r="S921" i="1"/>
  <c r="W921" i="1" s="1"/>
  <c r="O921" i="1"/>
  <c r="O919" i="1" s="1"/>
  <c r="N921" i="1"/>
  <c r="V920" i="1"/>
  <c r="T920" i="1"/>
  <c r="S920" i="1"/>
  <c r="O920" i="1"/>
  <c r="U920" i="1" s="1"/>
  <c r="N920" i="1"/>
  <c r="V919" i="1"/>
  <c r="R919" i="1"/>
  <c r="Q919" i="1"/>
  <c r="P919" i="1"/>
  <c r="M919" i="1"/>
  <c r="L919" i="1"/>
  <c r="K919" i="1"/>
  <c r="J919" i="1"/>
  <c r="I919" i="1"/>
  <c r="H919" i="1"/>
  <c r="V918" i="1"/>
  <c r="W918" i="1" s="1"/>
  <c r="U918" i="1"/>
  <c r="U917" i="1" s="1"/>
  <c r="T918" i="1"/>
  <c r="S918" i="1"/>
  <c r="W917" i="1"/>
  <c r="T917" i="1"/>
  <c r="S917" i="1"/>
  <c r="R917" i="1"/>
  <c r="Q917" i="1"/>
  <c r="P917" i="1"/>
  <c r="V917" i="1" s="1"/>
  <c r="O917" i="1"/>
  <c r="N917" i="1"/>
  <c r="M917" i="1"/>
  <c r="L917" i="1"/>
  <c r="K917" i="1"/>
  <c r="J917" i="1"/>
  <c r="I917" i="1"/>
  <c r="H917" i="1"/>
  <c r="V916" i="1"/>
  <c r="W916" i="1" s="1"/>
  <c r="U916" i="1"/>
  <c r="T916" i="1"/>
  <c r="S916" i="1"/>
  <c r="O916" i="1"/>
  <c r="N916" i="1"/>
  <c r="V915" i="1"/>
  <c r="U915" i="1"/>
  <c r="T915" i="1"/>
  <c r="S915" i="1"/>
  <c r="W915" i="1" s="1"/>
  <c r="W914" i="1"/>
  <c r="V914" i="1"/>
  <c r="U914" i="1"/>
  <c r="T914" i="1"/>
  <c r="S914" i="1"/>
  <c r="O914" i="1"/>
  <c r="N914" i="1"/>
  <c r="V913" i="1"/>
  <c r="U913" i="1"/>
  <c r="T913" i="1"/>
  <c r="S913" i="1"/>
  <c r="W913" i="1" s="1"/>
  <c r="W912" i="1"/>
  <c r="V912" i="1"/>
  <c r="U912" i="1"/>
  <c r="O912" i="1"/>
  <c r="N912" i="1"/>
  <c r="T912" i="1" s="1"/>
  <c r="V911" i="1"/>
  <c r="U911" i="1"/>
  <c r="T911" i="1"/>
  <c r="S911" i="1"/>
  <c r="W911" i="1" s="1"/>
  <c r="V910" i="1"/>
  <c r="W910" i="1" s="1"/>
  <c r="U910" i="1"/>
  <c r="T910" i="1"/>
  <c r="S910" i="1"/>
  <c r="O910" i="1"/>
  <c r="N910" i="1"/>
  <c r="V909" i="1"/>
  <c r="U909" i="1"/>
  <c r="T909" i="1"/>
  <c r="S909" i="1"/>
  <c r="W909" i="1" s="1"/>
  <c r="V908" i="1"/>
  <c r="W908" i="1" s="1"/>
  <c r="U908" i="1"/>
  <c r="T908" i="1"/>
  <c r="S908" i="1"/>
  <c r="R907" i="1"/>
  <c r="Q907" i="1"/>
  <c r="P907" i="1"/>
  <c r="O907" i="1"/>
  <c r="N907" i="1"/>
  <c r="M907" i="1"/>
  <c r="L907" i="1"/>
  <c r="K907" i="1"/>
  <c r="J907" i="1"/>
  <c r="I907" i="1"/>
  <c r="H907" i="1"/>
  <c r="V906" i="1"/>
  <c r="U906" i="1"/>
  <c r="T906" i="1"/>
  <c r="S906" i="1"/>
  <c r="W906" i="1" s="1"/>
  <c r="W905" i="1"/>
  <c r="V905" i="1"/>
  <c r="U905" i="1"/>
  <c r="T905" i="1"/>
  <c r="S905" i="1"/>
  <c r="V904" i="1"/>
  <c r="U904" i="1"/>
  <c r="S904" i="1"/>
  <c r="W904" i="1" s="1"/>
  <c r="O904" i="1"/>
  <c r="O901" i="1" s="1"/>
  <c r="N904" i="1"/>
  <c r="T904" i="1" s="1"/>
  <c r="V903" i="1"/>
  <c r="W903" i="1" s="1"/>
  <c r="U903" i="1"/>
  <c r="T903" i="1"/>
  <c r="S903" i="1"/>
  <c r="V902" i="1"/>
  <c r="U902" i="1"/>
  <c r="U901" i="1" s="1"/>
  <c r="T902" i="1"/>
  <c r="S902" i="1"/>
  <c r="W902" i="1" s="1"/>
  <c r="V901" i="1"/>
  <c r="T901" i="1"/>
  <c r="R901" i="1"/>
  <c r="Q901" i="1"/>
  <c r="P901" i="1"/>
  <c r="N901" i="1"/>
  <c r="M901" i="1"/>
  <c r="L901" i="1"/>
  <c r="K901" i="1"/>
  <c r="J901" i="1"/>
  <c r="I901" i="1"/>
  <c r="H901" i="1"/>
  <c r="U900" i="1"/>
  <c r="N900" i="1"/>
  <c r="T900" i="1" s="1"/>
  <c r="M900" i="1"/>
  <c r="V900" i="1" s="1"/>
  <c r="H900" i="1"/>
  <c r="U899" i="1"/>
  <c r="U898" i="1" s="1"/>
  <c r="T899" i="1"/>
  <c r="S899" i="1"/>
  <c r="O899" i="1"/>
  <c r="O898" i="1" s="1"/>
  <c r="N899" i="1"/>
  <c r="M899" i="1"/>
  <c r="V899" i="1" s="1"/>
  <c r="W899" i="1" s="1"/>
  <c r="R898" i="1"/>
  <c r="R897" i="1" s="1"/>
  <c r="Q898" i="1"/>
  <c r="Q897" i="1" s="1"/>
  <c r="P898" i="1"/>
  <c r="P897" i="1" s="1"/>
  <c r="L898" i="1"/>
  <c r="K898" i="1"/>
  <c r="J898" i="1"/>
  <c r="I898" i="1"/>
  <c r="H898" i="1"/>
  <c r="H897" i="1"/>
  <c r="O896" i="1"/>
  <c r="U896" i="1" s="1"/>
  <c r="N896" i="1"/>
  <c r="T896" i="1" s="1"/>
  <c r="T895" i="1" s="1"/>
  <c r="T894" i="1" s="1"/>
  <c r="H896" i="1"/>
  <c r="U895" i="1"/>
  <c r="U894" i="1" s="1"/>
  <c r="R895" i="1"/>
  <c r="R894" i="1" s="1"/>
  <c r="Q895" i="1"/>
  <c r="P895" i="1"/>
  <c r="O895" i="1"/>
  <c r="O894" i="1" s="1"/>
  <c r="N895" i="1"/>
  <c r="L895" i="1"/>
  <c r="L894" i="1" s="1"/>
  <c r="K895" i="1"/>
  <c r="K894" i="1" s="1"/>
  <c r="J895" i="1"/>
  <c r="J894" i="1" s="1"/>
  <c r="I895" i="1"/>
  <c r="I894" i="1" s="1"/>
  <c r="Q894" i="1"/>
  <c r="P894" i="1"/>
  <c r="N894" i="1"/>
  <c r="U891" i="1"/>
  <c r="U890" i="1" s="1"/>
  <c r="T891" i="1"/>
  <c r="T890" i="1" s="1"/>
  <c r="M891" i="1"/>
  <c r="V891" i="1" s="1"/>
  <c r="R890" i="1"/>
  <c r="Q890" i="1"/>
  <c r="P890" i="1"/>
  <c r="O890" i="1"/>
  <c r="N890" i="1"/>
  <c r="M890" i="1"/>
  <c r="V890" i="1" s="1"/>
  <c r="L890" i="1"/>
  <c r="K890" i="1"/>
  <c r="J890" i="1"/>
  <c r="I890" i="1"/>
  <c r="H890" i="1"/>
  <c r="U889" i="1"/>
  <c r="T889" i="1"/>
  <c r="M889" i="1"/>
  <c r="S889" i="1" s="1"/>
  <c r="U888" i="1"/>
  <c r="U885" i="1" s="1"/>
  <c r="T888" i="1"/>
  <c r="M888" i="1"/>
  <c r="V888" i="1" s="1"/>
  <c r="U887" i="1"/>
  <c r="T887" i="1"/>
  <c r="T885" i="1" s="1"/>
  <c r="M887" i="1"/>
  <c r="S887" i="1" s="1"/>
  <c r="U886" i="1"/>
  <c r="T886" i="1"/>
  <c r="M886" i="1"/>
  <c r="R885" i="1"/>
  <c r="R877" i="1" s="1"/>
  <c r="R873" i="1" s="1"/>
  <c r="R872" i="1" s="1"/>
  <c r="Q885" i="1"/>
  <c r="P885" i="1"/>
  <c r="O885" i="1"/>
  <c r="N885" i="1"/>
  <c r="L885" i="1"/>
  <c r="K885" i="1"/>
  <c r="J885" i="1"/>
  <c r="I885" i="1"/>
  <c r="H885" i="1"/>
  <c r="V884" i="1"/>
  <c r="U884" i="1"/>
  <c r="T884" i="1"/>
  <c r="S884" i="1"/>
  <c r="V883" i="1"/>
  <c r="W883" i="1" s="1"/>
  <c r="U883" i="1"/>
  <c r="T883" i="1"/>
  <c r="S883" i="1"/>
  <c r="U882" i="1"/>
  <c r="T882" i="1"/>
  <c r="M882" i="1"/>
  <c r="V882" i="1" s="1"/>
  <c r="R881" i="1"/>
  <c r="Q881" i="1"/>
  <c r="Q877" i="1" s="1"/>
  <c r="P881" i="1"/>
  <c r="V881" i="1" s="1"/>
  <c r="O881" i="1"/>
  <c r="N881" i="1"/>
  <c r="M881" i="1"/>
  <c r="L881" i="1"/>
  <c r="K881" i="1"/>
  <c r="J881" i="1"/>
  <c r="I881" i="1"/>
  <c r="H881" i="1"/>
  <c r="U880" i="1"/>
  <c r="U878" i="1" s="1"/>
  <c r="T880" i="1"/>
  <c r="M880" i="1"/>
  <c r="S880" i="1" s="1"/>
  <c r="U879" i="1"/>
  <c r="T879" i="1"/>
  <c r="M879" i="1"/>
  <c r="R878" i="1"/>
  <c r="Q878" i="1"/>
  <c r="P878" i="1"/>
  <c r="O878" i="1"/>
  <c r="N878" i="1"/>
  <c r="L878" i="1"/>
  <c r="L877" i="1" s="1"/>
  <c r="K878" i="1"/>
  <c r="K877" i="1" s="1"/>
  <c r="J878" i="1"/>
  <c r="I878" i="1"/>
  <c r="I877" i="1" s="1"/>
  <c r="H878" i="1"/>
  <c r="O877" i="1"/>
  <c r="U876" i="1"/>
  <c r="U875" i="1" s="1"/>
  <c r="U874" i="1" s="1"/>
  <c r="T876" i="1"/>
  <c r="T875" i="1" s="1"/>
  <c r="M876" i="1"/>
  <c r="M875" i="1" s="1"/>
  <c r="R875" i="1"/>
  <c r="Q875" i="1"/>
  <c r="P875" i="1"/>
  <c r="O875" i="1"/>
  <c r="N875" i="1"/>
  <c r="N874" i="1" s="1"/>
  <c r="L875" i="1"/>
  <c r="L874" i="1" s="1"/>
  <c r="K875" i="1"/>
  <c r="J875" i="1"/>
  <c r="J874" i="1" s="1"/>
  <c r="I875" i="1"/>
  <c r="I874" i="1" s="1"/>
  <c r="H875" i="1"/>
  <c r="H874" i="1" s="1"/>
  <c r="T874" i="1"/>
  <c r="R874" i="1"/>
  <c r="Q874" i="1"/>
  <c r="P874" i="1"/>
  <c r="O874" i="1"/>
  <c r="K874" i="1"/>
  <c r="L873" i="1"/>
  <c r="L872" i="1" s="1"/>
  <c r="U871" i="1"/>
  <c r="T871" i="1"/>
  <c r="S871" i="1"/>
  <c r="M871" i="1"/>
  <c r="V871" i="1" s="1"/>
  <c r="U870" i="1"/>
  <c r="T870" i="1"/>
  <c r="R870" i="1"/>
  <c r="Q870" i="1"/>
  <c r="P870" i="1"/>
  <c r="O870" i="1"/>
  <c r="N870" i="1"/>
  <c r="M870" i="1"/>
  <c r="V870" i="1" s="1"/>
  <c r="L870" i="1"/>
  <c r="K870" i="1"/>
  <c r="J870" i="1"/>
  <c r="I870" i="1"/>
  <c r="H870" i="1"/>
  <c r="U869" i="1"/>
  <c r="T869" i="1"/>
  <c r="M869" i="1"/>
  <c r="U868" i="1"/>
  <c r="T868" i="1"/>
  <c r="T866" i="1" s="1"/>
  <c r="S868" i="1"/>
  <c r="W868" i="1" s="1"/>
  <c r="M868" i="1"/>
  <c r="V868" i="1" s="1"/>
  <c r="U867" i="1"/>
  <c r="U866" i="1" s="1"/>
  <c r="T867" i="1"/>
  <c r="M867" i="1"/>
  <c r="R866" i="1"/>
  <c r="Q866" i="1"/>
  <c r="P866" i="1"/>
  <c r="O866" i="1"/>
  <c r="N866" i="1"/>
  <c r="L866" i="1"/>
  <c r="K866" i="1"/>
  <c r="K858" i="1" s="1"/>
  <c r="J866" i="1"/>
  <c r="J858" i="1" s="1"/>
  <c r="I866" i="1"/>
  <c r="I858" i="1" s="1"/>
  <c r="H866" i="1"/>
  <c r="V865" i="1"/>
  <c r="U865" i="1"/>
  <c r="T865" i="1"/>
  <c r="S865" i="1"/>
  <c r="W865" i="1" s="1"/>
  <c r="U864" i="1"/>
  <c r="T864" i="1"/>
  <c r="M864" i="1"/>
  <c r="V863" i="1"/>
  <c r="W863" i="1" s="1"/>
  <c r="U863" i="1"/>
  <c r="U862" i="1" s="1"/>
  <c r="T863" i="1"/>
  <c r="S863" i="1"/>
  <c r="T862" i="1"/>
  <c r="R862" i="1"/>
  <c r="Q862" i="1"/>
  <c r="P862" i="1"/>
  <c r="O862" i="1"/>
  <c r="O858" i="1" s="1"/>
  <c r="N862" i="1"/>
  <c r="L862" i="1"/>
  <c r="K862" i="1"/>
  <c r="J862" i="1"/>
  <c r="I862" i="1"/>
  <c r="H862" i="1"/>
  <c r="V861" i="1"/>
  <c r="W861" i="1" s="1"/>
  <c r="U861" i="1"/>
  <c r="U859" i="1" s="1"/>
  <c r="U858" i="1" s="1"/>
  <c r="U854" i="1" s="1"/>
  <c r="U853" i="1" s="1"/>
  <c r="T861" i="1"/>
  <c r="S861" i="1"/>
  <c r="U860" i="1"/>
  <c r="T860" i="1"/>
  <c r="T859" i="1" s="1"/>
  <c r="M860" i="1"/>
  <c r="V860" i="1" s="1"/>
  <c r="R859" i="1"/>
  <c r="Q859" i="1"/>
  <c r="Q858" i="1" s="1"/>
  <c r="Q854" i="1" s="1"/>
  <c r="Q853" i="1" s="1"/>
  <c r="P859" i="1"/>
  <c r="O859" i="1"/>
  <c r="N859" i="1"/>
  <c r="L859" i="1"/>
  <c r="K859" i="1"/>
  <c r="J859" i="1"/>
  <c r="I859" i="1"/>
  <c r="H859" i="1"/>
  <c r="R858" i="1"/>
  <c r="R854" i="1" s="1"/>
  <c r="R853" i="1" s="1"/>
  <c r="N858" i="1"/>
  <c r="L858" i="1"/>
  <c r="U857" i="1"/>
  <c r="T857" i="1"/>
  <c r="M857" i="1"/>
  <c r="V857" i="1" s="1"/>
  <c r="U856" i="1"/>
  <c r="U855" i="1" s="1"/>
  <c r="T856" i="1"/>
  <c r="T855" i="1" s="1"/>
  <c r="R856" i="1"/>
  <c r="Q856" i="1"/>
  <c r="P856" i="1"/>
  <c r="O856" i="1"/>
  <c r="N856" i="1"/>
  <c r="L856" i="1"/>
  <c r="L855" i="1" s="1"/>
  <c r="L854" i="1" s="1"/>
  <c r="L853" i="1" s="1"/>
  <c r="K856" i="1"/>
  <c r="J856" i="1"/>
  <c r="J855" i="1" s="1"/>
  <c r="J854" i="1" s="1"/>
  <c r="J853" i="1" s="1"/>
  <c r="I856" i="1"/>
  <c r="I855" i="1" s="1"/>
  <c r="I854" i="1" s="1"/>
  <c r="I853" i="1" s="1"/>
  <c r="H856" i="1"/>
  <c r="H855" i="1" s="1"/>
  <c r="R855" i="1"/>
  <c r="Q855" i="1"/>
  <c r="P855" i="1"/>
  <c r="O855" i="1"/>
  <c r="N855" i="1"/>
  <c r="K855" i="1"/>
  <c r="K854" i="1" s="1"/>
  <c r="K853" i="1" s="1"/>
  <c r="O854" i="1"/>
  <c r="O853" i="1" s="1"/>
  <c r="W852" i="1"/>
  <c r="V852" i="1"/>
  <c r="U852" i="1"/>
  <c r="T852" i="1"/>
  <c r="S852" i="1"/>
  <c r="U851" i="1"/>
  <c r="U850" i="1" s="1"/>
  <c r="T851" i="1"/>
  <c r="T850" i="1" s="1"/>
  <c r="S851" i="1"/>
  <c r="W851" i="1" s="1"/>
  <c r="R851" i="1"/>
  <c r="Q851" i="1"/>
  <c r="Q850" i="1" s="1"/>
  <c r="P851" i="1"/>
  <c r="V851" i="1" s="1"/>
  <c r="G851" i="1"/>
  <c r="F851" i="1"/>
  <c r="E851" i="1"/>
  <c r="C851" i="1"/>
  <c r="R850" i="1"/>
  <c r="P850" i="1"/>
  <c r="V850" i="1" s="1"/>
  <c r="G850" i="1"/>
  <c r="F850" i="1"/>
  <c r="E850" i="1"/>
  <c r="C850" i="1"/>
  <c r="V849" i="1"/>
  <c r="U849" i="1"/>
  <c r="T849" i="1"/>
  <c r="S849" i="1"/>
  <c r="W848" i="1"/>
  <c r="V848" i="1"/>
  <c r="U848" i="1"/>
  <c r="T848" i="1"/>
  <c r="S848" i="1"/>
  <c r="W847" i="1"/>
  <c r="T847" i="1"/>
  <c r="S847" i="1"/>
  <c r="R847" i="1"/>
  <c r="Q847" i="1"/>
  <c r="U847" i="1" s="1"/>
  <c r="P847" i="1"/>
  <c r="V847" i="1" s="1"/>
  <c r="U846" i="1"/>
  <c r="U845" i="1" s="1"/>
  <c r="U844" i="1" s="1"/>
  <c r="T846" i="1"/>
  <c r="T845" i="1" s="1"/>
  <c r="T844" i="1" s="1"/>
  <c r="M846" i="1"/>
  <c r="V846" i="1" s="1"/>
  <c r="R845" i="1"/>
  <c r="R844" i="1" s="1"/>
  <c r="Q845" i="1"/>
  <c r="P845" i="1"/>
  <c r="V845" i="1" s="1"/>
  <c r="O845" i="1"/>
  <c r="O844" i="1" s="1"/>
  <c r="O840" i="1" s="1"/>
  <c r="O839" i="1" s="1"/>
  <c r="N845" i="1"/>
  <c r="M845" i="1"/>
  <c r="L845" i="1"/>
  <c r="K845" i="1"/>
  <c r="J845" i="1"/>
  <c r="J844" i="1" s="1"/>
  <c r="I845" i="1"/>
  <c r="I844" i="1" s="1"/>
  <c r="H845" i="1"/>
  <c r="H844" i="1" s="1"/>
  <c r="G845" i="1"/>
  <c r="G844" i="1" s="1"/>
  <c r="F845" i="1"/>
  <c r="F844" i="1" s="1"/>
  <c r="E845" i="1"/>
  <c r="C845" i="1"/>
  <c r="Q844" i="1"/>
  <c r="P844" i="1"/>
  <c r="N844" i="1"/>
  <c r="M844" i="1"/>
  <c r="L844" i="1"/>
  <c r="K844" i="1"/>
  <c r="E844" i="1"/>
  <c r="C844" i="1"/>
  <c r="U843" i="1"/>
  <c r="U842" i="1" s="1"/>
  <c r="U841" i="1" s="1"/>
  <c r="T843" i="1"/>
  <c r="M843" i="1"/>
  <c r="S843" i="1" s="1"/>
  <c r="S842" i="1" s="1"/>
  <c r="S841" i="1" s="1"/>
  <c r="T842" i="1"/>
  <c r="T841" i="1" s="1"/>
  <c r="R842" i="1"/>
  <c r="R841" i="1" s="1"/>
  <c r="Q842" i="1"/>
  <c r="Q841" i="1" s="1"/>
  <c r="P842" i="1"/>
  <c r="O842" i="1"/>
  <c r="O841" i="1" s="1"/>
  <c r="N842" i="1"/>
  <c r="N841" i="1" s="1"/>
  <c r="N840" i="1" s="1"/>
  <c r="N839" i="1" s="1"/>
  <c r="L842" i="1"/>
  <c r="L841" i="1" s="1"/>
  <c r="K842" i="1"/>
  <c r="K841" i="1" s="1"/>
  <c r="K840" i="1" s="1"/>
  <c r="K839" i="1" s="1"/>
  <c r="J842" i="1"/>
  <c r="I842" i="1"/>
  <c r="H842" i="1"/>
  <c r="H841" i="1" s="1"/>
  <c r="G842" i="1"/>
  <c r="G841" i="1" s="1"/>
  <c r="G839" i="1" s="1"/>
  <c r="F842" i="1"/>
  <c r="F841" i="1" s="1"/>
  <c r="E842" i="1"/>
  <c r="E841" i="1" s="1"/>
  <c r="C842" i="1"/>
  <c r="P841" i="1"/>
  <c r="J841" i="1"/>
  <c r="J840" i="1" s="1"/>
  <c r="J839" i="1" s="1"/>
  <c r="I841" i="1"/>
  <c r="C841" i="1"/>
  <c r="U838" i="1"/>
  <c r="T838" i="1"/>
  <c r="M838" i="1"/>
  <c r="U837" i="1"/>
  <c r="R837" i="1"/>
  <c r="R836" i="1" s="1"/>
  <c r="R835" i="1" s="1"/>
  <c r="R834" i="1" s="1"/>
  <c r="Q837" i="1"/>
  <c r="Q836" i="1" s="1"/>
  <c r="Q835" i="1" s="1"/>
  <c r="Q834" i="1" s="1"/>
  <c r="P837" i="1"/>
  <c r="O837" i="1"/>
  <c r="O836" i="1" s="1"/>
  <c r="O835" i="1" s="1"/>
  <c r="O834" i="1" s="1"/>
  <c r="N837" i="1"/>
  <c r="L837" i="1"/>
  <c r="K837" i="1"/>
  <c r="J837" i="1"/>
  <c r="I837" i="1"/>
  <c r="H837" i="1"/>
  <c r="G837" i="1"/>
  <c r="F837" i="1"/>
  <c r="F836" i="1" s="1"/>
  <c r="F834" i="1" s="1"/>
  <c r="E837" i="1"/>
  <c r="E836" i="1" s="1"/>
  <c r="C837" i="1"/>
  <c r="C836" i="1" s="1"/>
  <c r="C834" i="1" s="1"/>
  <c r="U836" i="1"/>
  <c r="U835" i="1" s="1"/>
  <c r="N836" i="1"/>
  <c r="N835" i="1" s="1"/>
  <c r="N834" i="1" s="1"/>
  <c r="L836" i="1"/>
  <c r="L835" i="1" s="1"/>
  <c r="K836" i="1"/>
  <c r="K835" i="1" s="1"/>
  <c r="J836" i="1"/>
  <c r="J835" i="1" s="1"/>
  <c r="J834" i="1" s="1"/>
  <c r="I836" i="1"/>
  <c r="I835" i="1" s="1"/>
  <c r="I834" i="1" s="1"/>
  <c r="H836" i="1"/>
  <c r="G836" i="1"/>
  <c r="H835" i="1"/>
  <c r="L834" i="1"/>
  <c r="K834" i="1"/>
  <c r="H834" i="1"/>
  <c r="G834" i="1"/>
  <c r="E834" i="1"/>
  <c r="U833" i="1"/>
  <c r="U832" i="1" s="1"/>
  <c r="T833" i="1"/>
  <c r="T832" i="1" s="1"/>
  <c r="M833" i="1"/>
  <c r="R832" i="1"/>
  <c r="Q832" i="1"/>
  <c r="P832" i="1"/>
  <c r="P831" i="1" s="1"/>
  <c r="O832" i="1"/>
  <c r="N832" i="1"/>
  <c r="N831" i="1" s="1"/>
  <c r="L832" i="1"/>
  <c r="L831" i="1" s="1"/>
  <c r="K832" i="1"/>
  <c r="K831" i="1" s="1"/>
  <c r="J832" i="1"/>
  <c r="J831" i="1" s="1"/>
  <c r="I832" i="1"/>
  <c r="H832" i="1"/>
  <c r="G832" i="1"/>
  <c r="F832" i="1"/>
  <c r="E832" i="1"/>
  <c r="C832" i="1"/>
  <c r="C831" i="1" s="1"/>
  <c r="U831" i="1"/>
  <c r="T831" i="1"/>
  <c r="R831" i="1"/>
  <c r="Q831" i="1"/>
  <c r="O831" i="1"/>
  <c r="I831" i="1"/>
  <c r="H831" i="1"/>
  <c r="G831" i="1"/>
  <c r="F831" i="1"/>
  <c r="E831" i="1"/>
  <c r="V830" i="1"/>
  <c r="U830" i="1"/>
  <c r="T830" i="1"/>
  <c r="S830" i="1"/>
  <c r="W830" i="1" s="1"/>
  <c r="U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H829" i="1"/>
  <c r="W828" i="1"/>
  <c r="V828" i="1"/>
  <c r="U828" i="1"/>
  <c r="T828" i="1"/>
  <c r="M828" i="1"/>
  <c r="S828" i="1" s="1"/>
  <c r="V827" i="1"/>
  <c r="W827" i="1" s="1"/>
  <c r="U827" i="1"/>
  <c r="U826" i="1" s="1"/>
  <c r="T827" i="1"/>
  <c r="M827" i="1"/>
  <c r="S827" i="1" s="1"/>
  <c r="T826" i="1"/>
  <c r="T825" i="1" s="1"/>
  <c r="R826" i="1"/>
  <c r="Q826" i="1"/>
  <c r="Q825" i="1" s="1"/>
  <c r="P826" i="1"/>
  <c r="O826" i="1"/>
  <c r="O825" i="1" s="1"/>
  <c r="N826" i="1"/>
  <c r="N825" i="1" s="1"/>
  <c r="M826" i="1"/>
  <c r="L826" i="1"/>
  <c r="L825" i="1" s="1"/>
  <c r="K826" i="1"/>
  <c r="J826" i="1"/>
  <c r="I826" i="1"/>
  <c r="H826" i="1"/>
  <c r="G826" i="1"/>
  <c r="F826" i="1"/>
  <c r="E826" i="1"/>
  <c r="E825" i="1" s="1"/>
  <c r="C826" i="1"/>
  <c r="C825" i="1" s="1"/>
  <c r="U825" i="1"/>
  <c r="R825" i="1"/>
  <c r="P825" i="1"/>
  <c r="K825" i="1"/>
  <c r="J825" i="1"/>
  <c r="I825" i="1"/>
  <c r="H825" i="1"/>
  <c r="G825" i="1"/>
  <c r="F825" i="1"/>
  <c r="U824" i="1"/>
  <c r="T824" i="1"/>
  <c r="T823" i="1" s="1"/>
  <c r="S824" i="1"/>
  <c r="W824" i="1" s="1"/>
  <c r="M824" i="1"/>
  <c r="V824" i="1" s="1"/>
  <c r="U823" i="1"/>
  <c r="R823" i="1"/>
  <c r="Q823" i="1"/>
  <c r="P823" i="1"/>
  <c r="O823" i="1"/>
  <c r="N823" i="1"/>
  <c r="M823" i="1"/>
  <c r="V823" i="1" s="1"/>
  <c r="L823" i="1"/>
  <c r="K823" i="1"/>
  <c r="J823" i="1"/>
  <c r="I823" i="1"/>
  <c r="H823" i="1"/>
  <c r="G823" i="1"/>
  <c r="F823" i="1"/>
  <c r="E823" i="1"/>
  <c r="C823" i="1"/>
  <c r="V822" i="1"/>
  <c r="U822" i="1"/>
  <c r="U820" i="1" s="1"/>
  <c r="T822" i="1"/>
  <c r="S822" i="1"/>
  <c r="W822" i="1" s="1"/>
  <c r="V821" i="1"/>
  <c r="U821" i="1"/>
  <c r="T821" i="1"/>
  <c r="T820" i="1" s="1"/>
  <c r="S821" i="1"/>
  <c r="W821" i="1" s="1"/>
  <c r="M821" i="1"/>
  <c r="R820" i="1"/>
  <c r="Q820" i="1"/>
  <c r="P820" i="1"/>
  <c r="V820" i="1" s="1"/>
  <c r="O820" i="1"/>
  <c r="N820" i="1"/>
  <c r="N813" i="1" s="1"/>
  <c r="M820" i="1"/>
  <c r="L820" i="1"/>
  <c r="K820" i="1"/>
  <c r="J820" i="1"/>
  <c r="I820" i="1"/>
  <c r="H820" i="1"/>
  <c r="G820" i="1"/>
  <c r="F820" i="1"/>
  <c r="E820" i="1"/>
  <c r="C820" i="1"/>
  <c r="U819" i="1"/>
  <c r="T819" i="1"/>
  <c r="M819" i="1"/>
  <c r="U818" i="1"/>
  <c r="T818" i="1"/>
  <c r="T816" i="1" s="1"/>
  <c r="S818" i="1"/>
  <c r="W818" i="1" s="1"/>
  <c r="M818" i="1"/>
  <c r="V818" i="1" s="1"/>
  <c r="U817" i="1"/>
  <c r="T817" i="1"/>
  <c r="M817" i="1"/>
  <c r="R816" i="1"/>
  <c r="Q816" i="1"/>
  <c r="P816" i="1"/>
  <c r="O816" i="1"/>
  <c r="O813" i="1" s="1"/>
  <c r="N816" i="1"/>
  <c r="L816" i="1"/>
  <c r="K816" i="1"/>
  <c r="J816" i="1"/>
  <c r="I816" i="1"/>
  <c r="H816" i="1"/>
  <c r="G816" i="1"/>
  <c r="F816" i="1"/>
  <c r="E816" i="1"/>
  <c r="C816" i="1"/>
  <c r="C813" i="1" s="1"/>
  <c r="C812" i="1" s="1"/>
  <c r="C811" i="1" s="1"/>
  <c r="U815" i="1"/>
  <c r="T815" i="1"/>
  <c r="T814" i="1" s="1"/>
  <c r="M815" i="1"/>
  <c r="U814" i="1"/>
  <c r="R814" i="1"/>
  <c r="Q814" i="1"/>
  <c r="P814" i="1"/>
  <c r="O814" i="1"/>
  <c r="N814" i="1"/>
  <c r="L814" i="1"/>
  <c r="K814" i="1"/>
  <c r="K813" i="1" s="1"/>
  <c r="K812" i="1" s="1"/>
  <c r="K811" i="1" s="1"/>
  <c r="J814" i="1"/>
  <c r="J813" i="1" s="1"/>
  <c r="J812" i="1" s="1"/>
  <c r="J811" i="1" s="1"/>
  <c r="I814" i="1"/>
  <c r="I813" i="1" s="1"/>
  <c r="I812" i="1" s="1"/>
  <c r="H814" i="1"/>
  <c r="G814" i="1"/>
  <c r="F814" i="1"/>
  <c r="E814" i="1"/>
  <c r="C814" i="1"/>
  <c r="R813" i="1"/>
  <c r="R812" i="1" s="1"/>
  <c r="R811" i="1" s="1"/>
  <c r="Q813" i="1"/>
  <c r="Q812" i="1" s="1"/>
  <c r="Q811" i="1" s="1"/>
  <c r="P813" i="1"/>
  <c r="P812" i="1" s="1"/>
  <c r="P811" i="1" s="1"/>
  <c r="H813" i="1"/>
  <c r="H812" i="1" s="1"/>
  <c r="H811" i="1" s="1"/>
  <c r="G813" i="1"/>
  <c r="G812" i="1" s="1"/>
  <c r="G811" i="1" s="1"/>
  <c r="E813" i="1"/>
  <c r="E812" i="1"/>
  <c r="E811" i="1" s="1"/>
  <c r="I811" i="1"/>
  <c r="V810" i="1"/>
  <c r="U810" i="1"/>
  <c r="T810" i="1"/>
  <c r="S810" i="1"/>
  <c r="M810" i="1"/>
  <c r="U809" i="1"/>
  <c r="U808" i="1" s="1"/>
  <c r="T809" i="1"/>
  <c r="T808" i="1" s="1"/>
  <c r="R809" i="1"/>
  <c r="Q809" i="1"/>
  <c r="P809" i="1"/>
  <c r="P808" i="1" s="1"/>
  <c r="V808" i="1" s="1"/>
  <c r="O809" i="1"/>
  <c r="O808" i="1" s="1"/>
  <c r="N809" i="1"/>
  <c r="N808" i="1" s="1"/>
  <c r="M809" i="1"/>
  <c r="M808" i="1" s="1"/>
  <c r="L809" i="1"/>
  <c r="K809" i="1"/>
  <c r="K808" i="1" s="1"/>
  <c r="J809" i="1"/>
  <c r="J808" i="1" s="1"/>
  <c r="I809" i="1"/>
  <c r="I808" i="1" s="1"/>
  <c r="H809" i="1"/>
  <c r="H808" i="1" s="1"/>
  <c r="G809" i="1"/>
  <c r="F809" i="1"/>
  <c r="E809" i="1"/>
  <c r="C809" i="1"/>
  <c r="C808" i="1" s="1"/>
  <c r="R808" i="1"/>
  <c r="Q808" i="1"/>
  <c r="L808" i="1"/>
  <c r="G808" i="1"/>
  <c r="F808" i="1"/>
  <c r="E808" i="1"/>
  <c r="U807" i="1"/>
  <c r="T807" i="1"/>
  <c r="T805" i="1" s="1"/>
  <c r="T804" i="1" s="1"/>
  <c r="S807" i="1"/>
  <c r="W807" i="1" s="1"/>
  <c r="M807" i="1"/>
  <c r="V807" i="1" s="1"/>
  <c r="U806" i="1"/>
  <c r="U805" i="1" s="1"/>
  <c r="U804" i="1" s="1"/>
  <c r="T806" i="1"/>
  <c r="S806" i="1"/>
  <c r="M806" i="1"/>
  <c r="V806" i="1" s="1"/>
  <c r="R805" i="1"/>
  <c r="R804" i="1" s="1"/>
  <c r="Q805" i="1"/>
  <c r="Q804" i="1" s="1"/>
  <c r="P805" i="1"/>
  <c r="V805" i="1" s="1"/>
  <c r="O805" i="1"/>
  <c r="O804" i="1" s="1"/>
  <c r="N805" i="1"/>
  <c r="N804" i="1" s="1"/>
  <c r="M805" i="1"/>
  <c r="M804" i="1" s="1"/>
  <c r="L805" i="1"/>
  <c r="L804" i="1" s="1"/>
  <c r="K805" i="1"/>
  <c r="J805" i="1"/>
  <c r="I805" i="1"/>
  <c r="H805" i="1"/>
  <c r="H804" i="1" s="1"/>
  <c r="G805" i="1"/>
  <c r="G804" i="1" s="1"/>
  <c r="F805" i="1"/>
  <c r="F804" i="1" s="1"/>
  <c r="E805" i="1"/>
  <c r="E804" i="1" s="1"/>
  <c r="C805" i="1"/>
  <c r="V804" i="1"/>
  <c r="P804" i="1"/>
  <c r="K804" i="1"/>
  <c r="J804" i="1"/>
  <c r="I804" i="1"/>
  <c r="C804" i="1"/>
  <c r="U803" i="1"/>
  <c r="U802" i="1" s="1"/>
  <c r="T803" i="1"/>
  <c r="T802" i="1" s="1"/>
  <c r="S803" i="1"/>
  <c r="M803" i="1"/>
  <c r="V803" i="1" s="1"/>
  <c r="R802" i="1"/>
  <c r="Q802" i="1"/>
  <c r="P802" i="1"/>
  <c r="O802" i="1"/>
  <c r="N802" i="1"/>
  <c r="L802" i="1"/>
  <c r="K802" i="1"/>
  <c r="J802" i="1"/>
  <c r="I802" i="1"/>
  <c r="H802" i="1"/>
  <c r="G802" i="1"/>
  <c r="F802" i="1"/>
  <c r="E802" i="1"/>
  <c r="C802" i="1"/>
  <c r="V801" i="1"/>
  <c r="U801" i="1"/>
  <c r="U800" i="1" s="1"/>
  <c r="T801" i="1"/>
  <c r="T800" i="1" s="1"/>
  <c r="S801" i="1"/>
  <c r="W801" i="1" s="1"/>
  <c r="S800" i="1"/>
  <c r="W800" i="1" s="1"/>
  <c r="R800" i="1"/>
  <c r="Q800" i="1"/>
  <c r="P800" i="1"/>
  <c r="V800" i="1" s="1"/>
  <c r="O800" i="1"/>
  <c r="N800" i="1"/>
  <c r="M800" i="1"/>
  <c r="L800" i="1"/>
  <c r="L797" i="1" s="1"/>
  <c r="L796" i="1" s="1"/>
  <c r="L795" i="1" s="1"/>
  <c r="K800" i="1"/>
  <c r="J800" i="1"/>
  <c r="I800" i="1"/>
  <c r="H800" i="1"/>
  <c r="G800" i="1"/>
  <c r="F800" i="1"/>
  <c r="E800" i="1"/>
  <c r="C800" i="1"/>
  <c r="V799" i="1"/>
  <c r="U799" i="1"/>
  <c r="T799" i="1"/>
  <c r="S799" i="1"/>
  <c r="S798" i="1" s="1"/>
  <c r="M799" i="1"/>
  <c r="U798" i="1"/>
  <c r="T798" i="1"/>
  <c r="R798" i="1"/>
  <c r="Q798" i="1"/>
  <c r="P798" i="1"/>
  <c r="O798" i="1"/>
  <c r="O797" i="1" s="1"/>
  <c r="N798" i="1"/>
  <c r="N797" i="1" s="1"/>
  <c r="N796" i="1" s="1"/>
  <c r="N795" i="1" s="1"/>
  <c r="M798" i="1"/>
  <c r="L798" i="1"/>
  <c r="K798" i="1"/>
  <c r="J798" i="1"/>
  <c r="I798" i="1"/>
  <c r="I797" i="1" s="1"/>
  <c r="I796" i="1" s="1"/>
  <c r="I795" i="1" s="1"/>
  <c r="H798" i="1"/>
  <c r="H797" i="1" s="1"/>
  <c r="H796" i="1" s="1"/>
  <c r="H795" i="1" s="1"/>
  <c r="G798" i="1"/>
  <c r="F798" i="1"/>
  <c r="E798" i="1"/>
  <c r="C798" i="1"/>
  <c r="C797" i="1" s="1"/>
  <c r="C796" i="1" s="1"/>
  <c r="Q797" i="1"/>
  <c r="K797" i="1"/>
  <c r="K796" i="1" s="1"/>
  <c r="K795" i="1" s="1"/>
  <c r="J797" i="1"/>
  <c r="J796" i="1" s="1"/>
  <c r="J795" i="1" s="1"/>
  <c r="E797" i="1"/>
  <c r="C795" i="1"/>
  <c r="W794" i="1"/>
  <c r="V794" i="1"/>
  <c r="U794" i="1"/>
  <c r="T794" i="1"/>
  <c r="S794" i="1"/>
  <c r="V793" i="1"/>
  <c r="U793" i="1"/>
  <c r="U792" i="1" s="1"/>
  <c r="U791" i="1" s="1"/>
  <c r="T793" i="1"/>
  <c r="T792" i="1" s="1"/>
  <c r="S793" i="1"/>
  <c r="R793" i="1"/>
  <c r="Q793" i="1"/>
  <c r="Q792" i="1" s="1"/>
  <c r="Q791" i="1" s="1"/>
  <c r="Q790" i="1" s="1"/>
  <c r="P793" i="1"/>
  <c r="P792" i="1" s="1"/>
  <c r="O793" i="1"/>
  <c r="O792" i="1" s="1"/>
  <c r="O791" i="1" s="1"/>
  <c r="O790" i="1" s="1"/>
  <c r="N793" i="1"/>
  <c r="N792" i="1" s="1"/>
  <c r="N791" i="1" s="1"/>
  <c r="M793" i="1"/>
  <c r="L793" i="1"/>
  <c r="K793" i="1"/>
  <c r="J793" i="1"/>
  <c r="J792" i="1" s="1"/>
  <c r="J791" i="1" s="1"/>
  <c r="J790" i="1" s="1"/>
  <c r="I793" i="1"/>
  <c r="I792" i="1" s="1"/>
  <c r="I791" i="1" s="1"/>
  <c r="H793" i="1"/>
  <c r="H792" i="1" s="1"/>
  <c r="H791" i="1" s="1"/>
  <c r="G793" i="1"/>
  <c r="G792" i="1" s="1"/>
  <c r="G791" i="1" s="1"/>
  <c r="G790" i="1" s="1"/>
  <c r="F793" i="1"/>
  <c r="E793" i="1"/>
  <c r="E792" i="1" s="1"/>
  <c r="E791" i="1" s="1"/>
  <c r="E790" i="1" s="1"/>
  <c r="C793" i="1"/>
  <c r="C792" i="1" s="1"/>
  <c r="C791" i="1" s="1"/>
  <c r="C790" i="1" s="1"/>
  <c r="R792" i="1"/>
  <c r="L792" i="1"/>
  <c r="K792" i="1"/>
  <c r="K791" i="1" s="1"/>
  <c r="K790" i="1" s="1"/>
  <c r="F792" i="1"/>
  <c r="T791" i="1"/>
  <c r="T790" i="1" s="1"/>
  <c r="R791" i="1"/>
  <c r="R790" i="1" s="1"/>
  <c r="M791" i="1"/>
  <c r="M790" i="1" s="1"/>
  <c r="L791" i="1"/>
  <c r="L790" i="1" s="1"/>
  <c r="F791" i="1"/>
  <c r="F790" i="1" s="1"/>
  <c r="U790" i="1"/>
  <c r="N790" i="1"/>
  <c r="I790" i="1"/>
  <c r="H790" i="1"/>
  <c r="V789" i="1"/>
  <c r="W789" i="1" s="1"/>
  <c r="U789" i="1"/>
  <c r="T789" i="1"/>
  <c r="S789" i="1"/>
  <c r="U788" i="1"/>
  <c r="U787" i="1" s="1"/>
  <c r="T788" i="1"/>
  <c r="T787" i="1" s="1"/>
  <c r="S788" i="1"/>
  <c r="R788" i="1"/>
  <c r="Q788" i="1"/>
  <c r="Q787" i="1" s="1"/>
  <c r="Q786" i="1" s="1"/>
  <c r="P788" i="1"/>
  <c r="P787" i="1" s="1"/>
  <c r="O788" i="1"/>
  <c r="N788" i="1"/>
  <c r="N787" i="1" s="1"/>
  <c r="M788" i="1"/>
  <c r="L788" i="1"/>
  <c r="K788" i="1"/>
  <c r="J788" i="1"/>
  <c r="J787" i="1" s="1"/>
  <c r="J786" i="1" s="1"/>
  <c r="J785" i="1" s="1"/>
  <c r="I788" i="1"/>
  <c r="I787" i="1" s="1"/>
  <c r="H788" i="1"/>
  <c r="H787" i="1" s="1"/>
  <c r="G788" i="1"/>
  <c r="G787" i="1" s="1"/>
  <c r="G786" i="1" s="1"/>
  <c r="F788" i="1"/>
  <c r="E788" i="1"/>
  <c r="E787" i="1" s="1"/>
  <c r="E786" i="1" s="1"/>
  <c r="E785" i="1" s="1"/>
  <c r="C788" i="1"/>
  <c r="C787" i="1" s="1"/>
  <c r="C786" i="1" s="1"/>
  <c r="C785" i="1" s="1"/>
  <c r="R787" i="1"/>
  <c r="R786" i="1" s="1"/>
  <c r="R785" i="1" s="1"/>
  <c r="O787" i="1"/>
  <c r="O786" i="1" s="1"/>
  <c r="O785" i="1" s="1"/>
  <c r="M787" i="1"/>
  <c r="M786" i="1" s="1"/>
  <c r="M785" i="1" s="1"/>
  <c r="L787" i="1"/>
  <c r="L786" i="1" s="1"/>
  <c r="L785" i="1" s="1"/>
  <c r="K787" i="1"/>
  <c r="F787" i="1"/>
  <c r="F786" i="1" s="1"/>
  <c r="F785" i="1" s="1"/>
  <c r="U786" i="1"/>
  <c r="U785" i="1" s="1"/>
  <c r="T786" i="1"/>
  <c r="T785" i="1" s="1"/>
  <c r="N786" i="1"/>
  <c r="N785" i="1" s="1"/>
  <c r="K786" i="1"/>
  <c r="K785" i="1" s="1"/>
  <c r="I786" i="1"/>
  <c r="I785" i="1" s="1"/>
  <c r="H786" i="1"/>
  <c r="H785" i="1" s="1"/>
  <c r="Q785" i="1"/>
  <c r="G785" i="1"/>
  <c r="U784" i="1"/>
  <c r="U783" i="1" s="1"/>
  <c r="T784" i="1"/>
  <c r="T783" i="1" s="1"/>
  <c r="M784" i="1"/>
  <c r="R783" i="1"/>
  <c r="Q783" i="1"/>
  <c r="Q772" i="1" s="1"/>
  <c r="P783" i="1"/>
  <c r="O783" i="1"/>
  <c r="N783" i="1"/>
  <c r="L783" i="1"/>
  <c r="K783" i="1"/>
  <c r="J783" i="1"/>
  <c r="I783" i="1"/>
  <c r="H783" i="1"/>
  <c r="G783" i="1"/>
  <c r="F783" i="1"/>
  <c r="E783" i="1"/>
  <c r="C783" i="1"/>
  <c r="V782" i="1"/>
  <c r="U782" i="1"/>
  <c r="T782" i="1"/>
  <c r="S782" i="1"/>
  <c r="W782" i="1" s="1"/>
  <c r="V781" i="1"/>
  <c r="U781" i="1"/>
  <c r="U780" i="1" s="1"/>
  <c r="T781" i="1"/>
  <c r="T780" i="1" s="1"/>
  <c r="S781" i="1"/>
  <c r="S780" i="1" s="1"/>
  <c r="W780" i="1" s="1"/>
  <c r="M781" i="1"/>
  <c r="R780" i="1"/>
  <c r="Q780" i="1"/>
  <c r="P780" i="1"/>
  <c r="V780" i="1" s="1"/>
  <c r="O780" i="1"/>
  <c r="N780" i="1"/>
  <c r="M780" i="1"/>
  <c r="L780" i="1"/>
  <c r="L772" i="1" s="1"/>
  <c r="K780" i="1"/>
  <c r="J780" i="1"/>
  <c r="I780" i="1"/>
  <c r="H780" i="1"/>
  <c r="G780" i="1"/>
  <c r="F780" i="1"/>
  <c r="E780" i="1"/>
  <c r="C780" i="1"/>
  <c r="C772" i="1" s="1"/>
  <c r="V779" i="1"/>
  <c r="U779" i="1"/>
  <c r="T779" i="1"/>
  <c r="S779" i="1"/>
  <c r="M779" i="1"/>
  <c r="U778" i="1"/>
  <c r="T778" i="1"/>
  <c r="M778" i="1"/>
  <c r="V777" i="1"/>
  <c r="U777" i="1"/>
  <c r="T777" i="1"/>
  <c r="T775" i="1" s="1"/>
  <c r="S777" i="1"/>
  <c r="M777" i="1"/>
  <c r="U776" i="1"/>
  <c r="T776" i="1"/>
  <c r="M776" i="1"/>
  <c r="U775" i="1"/>
  <c r="R775" i="1"/>
  <c r="Q775" i="1"/>
  <c r="P775" i="1"/>
  <c r="O775" i="1"/>
  <c r="O772" i="1" s="1"/>
  <c r="N775" i="1"/>
  <c r="N772" i="1" s="1"/>
  <c r="L775" i="1"/>
  <c r="K775" i="1"/>
  <c r="J775" i="1"/>
  <c r="I775" i="1"/>
  <c r="I772" i="1" s="1"/>
  <c r="H775" i="1"/>
  <c r="G775" i="1"/>
  <c r="F775" i="1"/>
  <c r="E775" i="1"/>
  <c r="C775" i="1"/>
  <c r="V774" i="1"/>
  <c r="W774" i="1" s="1"/>
  <c r="U774" i="1"/>
  <c r="T774" i="1"/>
  <c r="T773" i="1" s="1"/>
  <c r="S774" i="1"/>
  <c r="V773" i="1"/>
  <c r="W773" i="1" s="1"/>
  <c r="U773" i="1"/>
  <c r="S773" i="1"/>
  <c r="R773" i="1"/>
  <c r="Q773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C773" i="1"/>
  <c r="R772" i="1"/>
  <c r="K772" i="1"/>
  <c r="G772" i="1"/>
  <c r="F772" i="1"/>
  <c r="E772" i="1"/>
  <c r="U771" i="1"/>
  <c r="U770" i="1" s="1"/>
  <c r="U769" i="1" s="1"/>
  <c r="T771" i="1"/>
  <c r="T770" i="1" s="1"/>
  <c r="T769" i="1" s="1"/>
  <c r="S771" i="1"/>
  <c r="S770" i="1" s="1"/>
  <c r="S769" i="1" s="1"/>
  <c r="M771" i="1"/>
  <c r="V771" i="1" s="1"/>
  <c r="R770" i="1"/>
  <c r="R769" i="1" s="1"/>
  <c r="Q770" i="1"/>
  <c r="Q769" i="1" s="1"/>
  <c r="P770" i="1"/>
  <c r="P769" i="1" s="1"/>
  <c r="V769" i="1" s="1"/>
  <c r="O770" i="1"/>
  <c r="N770" i="1"/>
  <c r="M770" i="1"/>
  <c r="M769" i="1" s="1"/>
  <c r="L770" i="1"/>
  <c r="L769" i="1" s="1"/>
  <c r="K770" i="1"/>
  <c r="K769" i="1" s="1"/>
  <c r="K754" i="1" s="1"/>
  <c r="K753" i="1" s="1"/>
  <c r="J770" i="1"/>
  <c r="I770" i="1"/>
  <c r="H770" i="1"/>
  <c r="H769" i="1" s="1"/>
  <c r="G770" i="1"/>
  <c r="F770" i="1"/>
  <c r="F769" i="1" s="1"/>
  <c r="E770" i="1"/>
  <c r="E769" i="1" s="1"/>
  <c r="C770" i="1"/>
  <c r="C769" i="1" s="1"/>
  <c r="O769" i="1"/>
  <c r="N769" i="1"/>
  <c r="J769" i="1"/>
  <c r="I769" i="1"/>
  <c r="G769" i="1"/>
  <c r="U768" i="1"/>
  <c r="T768" i="1"/>
  <c r="T764" i="1" s="1"/>
  <c r="S768" i="1"/>
  <c r="U767" i="1"/>
  <c r="T767" i="1"/>
  <c r="S767" i="1"/>
  <c r="W767" i="1" s="1"/>
  <c r="M767" i="1"/>
  <c r="V767" i="1" s="1"/>
  <c r="U766" i="1"/>
  <c r="T766" i="1"/>
  <c r="M766" i="1"/>
  <c r="U765" i="1"/>
  <c r="T765" i="1"/>
  <c r="M765" i="1"/>
  <c r="R764" i="1"/>
  <c r="R755" i="1" s="1"/>
  <c r="Q764" i="1"/>
  <c r="P764" i="1"/>
  <c r="O764" i="1"/>
  <c r="N764" i="1"/>
  <c r="L764" i="1"/>
  <c r="K764" i="1"/>
  <c r="J764" i="1"/>
  <c r="I764" i="1"/>
  <c r="H764" i="1"/>
  <c r="G764" i="1"/>
  <c r="F764" i="1"/>
  <c r="E764" i="1"/>
  <c r="C764" i="1"/>
  <c r="U763" i="1"/>
  <c r="T763" i="1"/>
  <c r="M763" i="1"/>
  <c r="V763" i="1" s="1"/>
  <c r="U762" i="1"/>
  <c r="T762" i="1"/>
  <c r="T760" i="1" s="1"/>
  <c r="M762" i="1"/>
  <c r="V762" i="1" s="1"/>
  <c r="U761" i="1"/>
  <c r="T761" i="1"/>
  <c r="S761" i="1"/>
  <c r="M761" i="1"/>
  <c r="R760" i="1"/>
  <c r="Q760" i="1"/>
  <c r="Q755" i="1" s="1"/>
  <c r="P760" i="1"/>
  <c r="O760" i="1"/>
  <c r="N760" i="1"/>
  <c r="L760" i="1"/>
  <c r="K760" i="1"/>
  <c r="J760" i="1"/>
  <c r="I760" i="1"/>
  <c r="H760" i="1"/>
  <c r="H755" i="1" s="1"/>
  <c r="G760" i="1"/>
  <c r="G755" i="1" s="1"/>
  <c r="F760" i="1"/>
  <c r="F755" i="1" s="1"/>
  <c r="F754" i="1" s="1"/>
  <c r="F753" i="1" s="1"/>
  <c r="E760" i="1"/>
  <c r="C760" i="1"/>
  <c r="C755" i="1" s="1"/>
  <c r="V758" i="1"/>
  <c r="W758" i="1" s="1"/>
  <c r="U758" i="1"/>
  <c r="T758" i="1"/>
  <c r="M758" i="1"/>
  <c r="S758" i="1" s="1"/>
  <c r="V757" i="1"/>
  <c r="U757" i="1"/>
  <c r="U756" i="1" s="1"/>
  <c r="T757" i="1"/>
  <c r="S757" i="1"/>
  <c r="M757" i="1"/>
  <c r="V756" i="1"/>
  <c r="T756" i="1"/>
  <c r="O755" i="1"/>
  <c r="O754" i="1" s="1"/>
  <c r="O753" i="1" s="1"/>
  <c r="N755" i="1"/>
  <c r="L756" i="1"/>
  <c r="K756" i="1"/>
  <c r="K755" i="1" s="1"/>
  <c r="J756" i="1"/>
  <c r="I756" i="1"/>
  <c r="H756" i="1"/>
  <c r="G756" i="1"/>
  <c r="F756" i="1"/>
  <c r="E756" i="1"/>
  <c r="C756" i="1"/>
  <c r="P755" i="1"/>
  <c r="L755" i="1"/>
  <c r="L754" i="1" s="1"/>
  <c r="L753" i="1" s="1"/>
  <c r="U752" i="1"/>
  <c r="U751" i="1" s="1"/>
  <c r="U750" i="1" s="1"/>
  <c r="T752" i="1"/>
  <c r="T751" i="1" s="1"/>
  <c r="T750" i="1" s="1"/>
  <c r="N752" i="1"/>
  <c r="M752" i="1"/>
  <c r="V752" i="1" s="1"/>
  <c r="R751" i="1"/>
  <c r="Q751" i="1"/>
  <c r="P751" i="1"/>
  <c r="V751" i="1" s="1"/>
  <c r="O751" i="1"/>
  <c r="O750" i="1" s="1"/>
  <c r="N751" i="1"/>
  <c r="N750" i="1" s="1"/>
  <c r="M751" i="1"/>
  <c r="M750" i="1" s="1"/>
  <c r="L751" i="1"/>
  <c r="L750" i="1" s="1"/>
  <c r="K751" i="1"/>
  <c r="J751" i="1"/>
  <c r="J750" i="1" s="1"/>
  <c r="I751" i="1"/>
  <c r="I750" i="1" s="1"/>
  <c r="H751" i="1"/>
  <c r="H750" i="1" s="1"/>
  <c r="G751" i="1"/>
  <c r="G750" i="1" s="1"/>
  <c r="F751" i="1"/>
  <c r="E751" i="1"/>
  <c r="C751" i="1"/>
  <c r="C750" i="1" s="1"/>
  <c r="R750" i="1"/>
  <c r="Q750" i="1"/>
  <c r="P750" i="1"/>
  <c r="V750" i="1" s="1"/>
  <c r="K750" i="1"/>
  <c r="F750" i="1"/>
  <c r="E750" i="1"/>
  <c r="U749" i="1"/>
  <c r="T749" i="1"/>
  <c r="M749" i="1"/>
  <c r="V749" i="1" s="1"/>
  <c r="U748" i="1"/>
  <c r="T748" i="1"/>
  <c r="R748" i="1"/>
  <c r="Q748" i="1"/>
  <c r="P748" i="1"/>
  <c r="O748" i="1"/>
  <c r="N748" i="1"/>
  <c r="M748" i="1"/>
  <c r="V748" i="1" s="1"/>
  <c r="L748" i="1"/>
  <c r="K748" i="1"/>
  <c r="J748" i="1"/>
  <c r="I748" i="1"/>
  <c r="H748" i="1"/>
  <c r="G748" i="1"/>
  <c r="F748" i="1"/>
  <c r="E748" i="1"/>
  <c r="C748" i="1"/>
  <c r="U747" i="1"/>
  <c r="U746" i="1" s="1"/>
  <c r="T747" i="1"/>
  <c r="T746" i="1" s="1"/>
  <c r="S747" i="1"/>
  <c r="M747" i="1"/>
  <c r="V747" i="1" s="1"/>
  <c r="V746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C746" i="1"/>
  <c r="V745" i="1"/>
  <c r="U745" i="1"/>
  <c r="T745" i="1"/>
  <c r="M745" i="1"/>
  <c r="S745" i="1" s="1"/>
  <c r="V744" i="1"/>
  <c r="W744" i="1" s="1"/>
  <c r="U744" i="1"/>
  <c r="T744" i="1"/>
  <c r="S744" i="1"/>
  <c r="U743" i="1"/>
  <c r="T743" i="1"/>
  <c r="M743" i="1"/>
  <c r="S743" i="1" s="1"/>
  <c r="V742" i="1"/>
  <c r="W742" i="1" s="1"/>
  <c r="U742" i="1"/>
  <c r="T742" i="1"/>
  <c r="M742" i="1"/>
  <c r="S742" i="1" s="1"/>
  <c r="V741" i="1"/>
  <c r="U741" i="1"/>
  <c r="T741" i="1"/>
  <c r="M741" i="1"/>
  <c r="S741" i="1" s="1"/>
  <c r="R740" i="1"/>
  <c r="Q740" i="1"/>
  <c r="P740" i="1"/>
  <c r="O740" i="1"/>
  <c r="O737" i="1" s="1"/>
  <c r="N740" i="1"/>
  <c r="L740" i="1"/>
  <c r="K740" i="1"/>
  <c r="J740" i="1"/>
  <c r="I740" i="1"/>
  <c r="I737" i="1" s="1"/>
  <c r="H740" i="1"/>
  <c r="G740" i="1"/>
  <c r="F740" i="1"/>
  <c r="E740" i="1"/>
  <c r="C740" i="1"/>
  <c r="U739" i="1"/>
  <c r="U738" i="1" s="1"/>
  <c r="T739" i="1"/>
  <c r="T738" i="1" s="1"/>
  <c r="S739" i="1"/>
  <c r="S738" i="1" s="1"/>
  <c r="M739" i="1"/>
  <c r="V739" i="1" s="1"/>
  <c r="R738" i="1"/>
  <c r="Q738" i="1"/>
  <c r="Q737" i="1" s="1"/>
  <c r="P738" i="1"/>
  <c r="P737" i="1" s="1"/>
  <c r="O738" i="1"/>
  <c r="N738" i="1"/>
  <c r="L738" i="1"/>
  <c r="K738" i="1"/>
  <c r="J738" i="1"/>
  <c r="J737" i="1" s="1"/>
  <c r="I738" i="1"/>
  <c r="H738" i="1"/>
  <c r="G738" i="1"/>
  <c r="G737" i="1" s="1"/>
  <c r="F738" i="1"/>
  <c r="E738" i="1"/>
  <c r="E737" i="1" s="1"/>
  <c r="C738" i="1"/>
  <c r="C737" i="1" s="1"/>
  <c r="AC737" i="1"/>
  <c r="AB737" i="1"/>
  <c r="AA737" i="1"/>
  <c r="Z737" i="1"/>
  <c r="X737" i="1"/>
  <c r="R737" i="1"/>
  <c r="L737" i="1"/>
  <c r="F737" i="1"/>
  <c r="V736" i="1"/>
  <c r="U736" i="1"/>
  <c r="U735" i="1" s="1"/>
  <c r="U734" i="1" s="1"/>
  <c r="T736" i="1"/>
  <c r="S736" i="1"/>
  <c r="S735" i="1" s="1"/>
  <c r="M736" i="1"/>
  <c r="T735" i="1"/>
  <c r="T734" i="1" s="1"/>
  <c r="R735" i="1"/>
  <c r="R734" i="1" s="1"/>
  <c r="Q735" i="1"/>
  <c r="P735" i="1"/>
  <c r="V735" i="1" s="1"/>
  <c r="O735" i="1"/>
  <c r="O734" i="1" s="1"/>
  <c r="N735" i="1"/>
  <c r="N734" i="1" s="1"/>
  <c r="M735" i="1"/>
  <c r="M734" i="1" s="1"/>
  <c r="L735" i="1"/>
  <c r="K735" i="1"/>
  <c r="J735" i="1"/>
  <c r="I735" i="1"/>
  <c r="I734" i="1" s="1"/>
  <c r="H735" i="1"/>
  <c r="H734" i="1" s="1"/>
  <c r="G735" i="1"/>
  <c r="G734" i="1" s="1"/>
  <c r="F735" i="1"/>
  <c r="F734" i="1" s="1"/>
  <c r="E735" i="1"/>
  <c r="C735" i="1"/>
  <c r="Q734" i="1"/>
  <c r="P734" i="1"/>
  <c r="V734" i="1" s="1"/>
  <c r="L734" i="1"/>
  <c r="K734" i="1"/>
  <c r="J734" i="1"/>
  <c r="E734" i="1"/>
  <c r="C734" i="1"/>
  <c r="V733" i="1"/>
  <c r="U733" i="1"/>
  <c r="T733" i="1"/>
  <c r="S733" i="1"/>
  <c r="W733" i="1" s="1"/>
  <c r="U732" i="1"/>
  <c r="T732" i="1"/>
  <c r="M732" i="1"/>
  <c r="U731" i="1"/>
  <c r="T731" i="1"/>
  <c r="S731" i="1"/>
  <c r="M731" i="1"/>
  <c r="V730" i="1"/>
  <c r="U730" i="1"/>
  <c r="T730" i="1"/>
  <c r="S730" i="1"/>
  <c r="W730" i="1" s="1"/>
  <c r="V729" i="1"/>
  <c r="U729" i="1"/>
  <c r="T729" i="1"/>
  <c r="T725" i="1" s="1"/>
  <c r="S729" i="1"/>
  <c r="W729" i="1" s="1"/>
  <c r="V728" i="1"/>
  <c r="U728" i="1"/>
  <c r="T728" i="1"/>
  <c r="M728" i="1"/>
  <c r="S728" i="1" s="1"/>
  <c r="V727" i="1"/>
  <c r="U727" i="1"/>
  <c r="T727" i="1"/>
  <c r="M727" i="1"/>
  <c r="S727" i="1" s="1"/>
  <c r="V726" i="1"/>
  <c r="W726" i="1" s="1"/>
  <c r="U726" i="1"/>
  <c r="T726" i="1"/>
  <c r="S726" i="1"/>
  <c r="R725" i="1"/>
  <c r="Q725" i="1"/>
  <c r="P725" i="1"/>
  <c r="O725" i="1"/>
  <c r="N725" i="1"/>
  <c r="L725" i="1"/>
  <c r="K725" i="1"/>
  <c r="J725" i="1"/>
  <c r="I725" i="1"/>
  <c r="I719" i="1" s="1"/>
  <c r="I718" i="1" s="1"/>
  <c r="I717" i="1" s="1"/>
  <c r="H725" i="1"/>
  <c r="H719" i="1" s="1"/>
  <c r="G725" i="1"/>
  <c r="G719" i="1" s="1"/>
  <c r="F725" i="1"/>
  <c r="E725" i="1"/>
  <c r="C725" i="1"/>
  <c r="V724" i="1"/>
  <c r="W724" i="1" s="1"/>
  <c r="U724" i="1"/>
  <c r="U723" i="1" s="1"/>
  <c r="T724" i="1"/>
  <c r="S724" i="1"/>
  <c r="M724" i="1"/>
  <c r="T723" i="1"/>
  <c r="S723" i="1"/>
  <c r="R723" i="1"/>
  <c r="Q723" i="1"/>
  <c r="P723" i="1"/>
  <c r="V723" i="1" s="1"/>
  <c r="W723" i="1" s="1"/>
  <c r="O723" i="1"/>
  <c r="N723" i="1"/>
  <c r="M723" i="1"/>
  <c r="L723" i="1"/>
  <c r="K723" i="1"/>
  <c r="J723" i="1"/>
  <c r="I723" i="1"/>
  <c r="H723" i="1"/>
  <c r="G723" i="1"/>
  <c r="F723" i="1"/>
  <c r="E723" i="1"/>
  <c r="C723" i="1"/>
  <c r="V722" i="1"/>
  <c r="U722" i="1"/>
  <c r="T722" i="1"/>
  <c r="S722" i="1"/>
  <c r="U721" i="1"/>
  <c r="U720" i="1" s="1"/>
  <c r="T721" i="1"/>
  <c r="T720" i="1" s="1"/>
  <c r="M721" i="1"/>
  <c r="V721" i="1" s="1"/>
  <c r="R720" i="1"/>
  <c r="Q720" i="1"/>
  <c r="P720" i="1"/>
  <c r="O720" i="1"/>
  <c r="N720" i="1"/>
  <c r="N719" i="1" s="1"/>
  <c r="L720" i="1"/>
  <c r="L719" i="1" s="1"/>
  <c r="K720" i="1"/>
  <c r="K719" i="1" s="1"/>
  <c r="J720" i="1"/>
  <c r="I720" i="1"/>
  <c r="H720" i="1"/>
  <c r="G720" i="1"/>
  <c r="F720" i="1"/>
  <c r="E720" i="1"/>
  <c r="C720" i="1"/>
  <c r="U716" i="1"/>
  <c r="U715" i="1" s="1"/>
  <c r="U714" i="1" s="1"/>
  <c r="T716" i="1"/>
  <c r="T715" i="1" s="1"/>
  <c r="T714" i="1" s="1"/>
  <c r="M716" i="1"/>
  <c r="V716" i="1" s="1"/>
  <c r="R715" i="1"/>
  <c r="R714" i="1" s="1"/>
  <c r="Q715" i="1"/>
  <c r="Q714" i="1" s="1"/>
  <c r="P715" i="1"/>
  <c r="O715" i="1"/>
  <c r="O714" i="1" s="1"/>
  <c r="N715" i="1"/>
  <c r="N714" i="1" s="1"/>
  <c r="L715" i="1"/>
  <c r="L714" i="1" s="1"/>
  <c r="K715" i="1"/>
  <c r="K714" i="1" s="1"/>
  <c r="J715" i="1"/>
  <c r="J714" i="1" s="1"/>
  <c r="I715" i="1"/>
  <c r="H715" i="1"/>
  <c r="H714" i="1" s="1"/>
  <c r="G715" i="1"/>
  <c r="G714" i="1" s="1"/>
  <c r="F715" i="1"/>
  <c r="F714" i="1" s="1"/>
  <c r="E715" i="1"/>
  <c r="E714" i="1" s="1"/>
  <c r="C715" i="1"/>
  <c r="I714" i="1"/>
  <c r="C714" i="1"/>
  <c r="U713" i="1"/>
  <c r="U712" i="1" s="1"/>
  <c r="T713" i="1"/>
  <c r="T712" i="1" s="1"/>
  <c r="S713" i="1"/>
  <c r="M713" i="1"/>
  <c r="V713" i="1" s="1"/>
  <c r="R712" i="1"/>
  <c r="Q712" i="1"/>
  <c r="P712" i="1"/>
  <c r="O712" i="1"/>
  <c r="N712" i="1"/>
  <c r="L712" i="1"/>
  <c r="K712" i="1"/>
  <c r="J712" i="1"/>
  <c r="I712" i="1"/>
  <c r="H712" i="1"/>
  <c r="G712" i="1"/>
  <c r="F712" i="1"/>
  <c r="E712" i="1"/>
  <c r="C712" i="1"/>
  <c r="V711" i="1"/>
  <c r="U711" i="1"/>
  <c r="T711" i="1"/>
  <c r="S711" i="1"/>
  <c r="N711" i="1"/>
  <c r="M711" i="1"/>
  <c r="U710" i="1"/>
  <c r="U709" i="1" s="1"/>
  <c r="U708" i="1" s="1"/>
  <c r="T710" i="1"/>
  <c r="S710" i="1"/>
  <c r="M710" i="1"/>
  <c r="V710" i="1" s="1"/>
  <c r="V709" i="1"/>
  <c r="T709" i="1"/>
  <c r="R709" i="1"/>
  <c r="Q709" i="1"/>
  <c r="P709" i="1"/>
  <c r="O709" i="1"/>
  <c r="O708" i="1" s="1"/>
  <c r="N709" i="1"/>
  <c r="N708" i="1" s="1"/>
  <c r="M709" i="1"/>
  <c r="L709" i="1"/>
  <c r="L708" i="1" s="1"/>
  <c r="K709" i="1"/>
  <c r="J709" i="1"/>
  <c r="I709" i="1"/>
  <c r="I708" i="1" s="1"/>
  <c r="H709" i="1"/>
  <c r="H708" i="1" s="1"/>
  <c r="G709" i="1"/>
  <c r="G708" i="1" s="1"/>
  <c r="F709" i="1"/>
  <c r="E709" i="1"/>
  <c r="C709" i="1"/>
  <c r="R708" i="1"/>
  <c r="Q708" i="1"/>
  <c r="P708" i="1"/>
  <c r="K708" i="1"/>
  <c r="J708" i="1"/>
  <c r="F708" i="1"/>
  <c r="E708" i="1"/>
  <c r="C708" i="1"/>
  <c r="U707" i="1"/>
  <c r="U706" i="1" s="1"/>
  <c r="T707" i="1"/>
  <c r="T706" i="1" s="1"/>
  <c r="M707" i="1"/>
  <c r="R706" i="1"/>
  <c r="Q706" i="1"/>
  <c r="Q695" i="1" s="1"/>
  <c r="P706" i="1"/>
  <c r="P695" i="1" s="1"/>
  <c r="O706" i="1"/>
  <c r="N706" i="1"/>
  <c r="L706" i="1"/>
  <c r="K706" i="1"/>
  <c r="J706" i="1"/>
  <c r="I706" i="1"/>
  <c r="H706" i="1"/>
  <c r="G706" i="1"/>
  <c r="F706" i="1"/>
  <c r="E706" i="1"/>
  <c r="C706" i="1"/>
  <c r="C695" i="1" s="1"/>
  <c r="V705" i="1"/>
  <c r="U705" i="1"/>
  <c r="T705" i="1"/>
  <c r="S705" i="1"/>
  <c r="W705" i="1" s="1"/>
  <c r="V704" i="1"/>
  <c r="T704" i="1"/>
  <c r="E704" i="1"/>
  <c r="C704" i="1"/>
  <c r="U703" i="1"/>
  <c r="T703" i="1"/>
  <c r="S703" i="1"/>
  <c r="M703" i="1"/>
  <c r="V703" i="1" s="1"/>
  <c r="V702" i="1"/>
  <c r="U702" i="1"/>
  <c r="U701" i="1" s="1"/>
  <c r="T702" i="1"/>
  <c r="T701" i="1" s="1"/>
  <c r="S702" i="1"/>
  <c r="W702" i="1" s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C701" i="1"/>
  <c r="V700" i="1"/>
  <c r="U700" i="1"/>
  <c r="T700" i="1"/>
  <c r="S700" i="1"/>
  <c r="U699" i="1"/>
  <c r="T699" i="1"/>
  <c r="M699" i="1"/>
  <c r="V699" i="1" s="1"/>
  <c r="U698" i="1"/>
  <c r="T698" i="1"/>
  <c r="S698" i="1"/>
  <c r="M698" i="1"/>
  <c r="V698" i="1" s="1"/>
  <c r="U697" i="1"/>
  <c r="T697" i="1"/>
  <c r="S697" i="1"/>
  <c r="M697" i="1"/>
  <c r="V697" i="1" s="1"/>
  <c r="R696" i="1"/>
  <c r="Q696" i="1"/>
  <c r="P696" i="1"/>
  <c r="O696" i="1"/>
  <c r="N696" i="1"/>
  <c r="M696" i="1"/>
  <c r="L696" i="1"/>
  <c r="K696" i="1"/>
  <c r="K695" i="1" s="1"/>
  <c r="J696" i="1"/>
  <c r="I696" i="1"/>
  <c r="H696" i="1"/>
  <c r="G696" i="1"/>
  <c r="F696" i="1"/>
  <c r="E696" i="1"/>
  <c r="C696" i="1"/>
  <c r="O695" i="1"/>
  <c r="J695" i="1"/>
  <c r="I695" i="1"/>
  <c r="I694" i="1" s="1"/>
  <c r="I693" i="1" s="1"/>
  <c r="V692" i="1"/>
  <c r="U692" i="1"/>
  <c r="U691" i="1" s="1"/>
  <c r="U690" i="1" s="1"/>
  <c r="T692" i="1"/>
  <c r="M692" i="1"/>
  <c r="S692" i="1" s="1"/>
  <c r="T691" i="1"/>
  <c r="T690" i="1" s="1"/>
  <c r="R691" i="1"/>
  <c r="Q691" i="1"/>
  <c r="P691" i="1"/>
  <c r="P690" i="1" s="1"/>
  <c r="O691" i="1"/>
  <c r="O690" i="1" s="1"/>
  <c r="N691" i="1"/>
  <c r="N690" i="1" s="1"/>
  <c r="L691" i="1"/>
  <c r="K691" i="1"/>
  <c r="J691" i="1"/>
  <c r="J690" i="1" s="1"/>
  <c r="I691" i="1"/>
  <c r="I690" i="1" s="1"/>
  <c r="H691" i="1"/>
  <c r="H690" i="1" s="1"/>
  <c r="G691" i="1"/>
  <c r="F691" i="1"/>
  <c r="E691" i="1"/>
  <c r="C691" i="1"/>
  <c r="C690" i="1" s="1"/>
  <c r="R690" i="1"/>
  <c r="Q690" i="1"/>
  <c r="L690" i="1"/>
  <c r="K690" i="1"/>
  <c r="G690" i="1"/>
  <c r="F690" i="1"/>
  <c r="E690" i="1"/>
  <c r="U689" i="1"/>
  <c r="T689" i="1"/>
  <c r="M689" i="1"/>
  <c r="V689" i="1" s="1"/>
  <c r="U688" i="1"/>
  <c r="U687" i="1" s="1"/>
  <c r="T688" i="1"/>
  <c r="T687" i="1" s="1"/>
  <c r="T686" i="1" s="1"/>
  <c r="S688" i="1"/>
  <c r="M688" i="1"/>
  <c r="V688" i="1" s="1"/>
  <c r="R687" i="1"/>
  <c r="R686" i="1" s="1"/>
  <c r="Q687" i="1"/>
  <c r="P687" i="1"/>
  <c r="P686" i="1" s="1"/>
  <c r="V686" i="1" s="1"/>
  <c r="O687" i="1"/>
  <c r="N687" i="1"/>
  <c r="N686" i="1" s="1"/>
  <c r="M687" i="1"/>
  <c r="M686" i="1" s="1"/>
  <c r="L687" i="1"/>
  <c r="L686" i="1" s="1"/>
  <c r="K687" i="1"/>
  <c r="J687" i="1"/>
  <c r="I687" i="1"/>
  <c r="I686" i="1" s="1"/>
  <c r="H687" i="1"/>
  <c r="H686" i="1" s="1"/>
  <c r="G687" i="1"/>
  <c r="G686" i="1" s="1"/>
  <c r="F687" i="1"/>
  <c r="F686" i="1" s="1"/>
  <c r="E687" i="1"/>
  <c r="C687" i="1"/>
  <c r="C686" i="1" s="1"/>
  <c r="U686" i="1"/>
  <c r="Q686" i="1"/>
  <c r="O686" i="1"/>
  <c r="K686" i="1"/>
  <c r="K677" i="1" s="1"/>
  <c r="K676" i="1" s="1"/>
  <c r="J686" i="1"/>
  <c r="E686" i="1"/>
  <c r="U685" i="1"/>
  <c r="U684" i="1" s="1"/>
  <c r="T685" i="1"/>
  <c r="T684" i="1" s="1"/>
  <c r="S685" i="1"/>
  <c r="M685" i="1"/>
  <c r="V685" i="1" s="1"/>
  <c r="R684" i="1"/>
  <c r="Q684" i="1"/>
  <c r="P684" i="1"/>
  <c r="O684" i="1"/>
  <c r="N684" i="1"/>
  <c r="M684" i="1"/>
  <c r="V684" i="1" s="1"/>
  <c r="L684" i="1"/>
  <c r="K684" i="1"/>
  <c r="J684" i="1"/>
  <c r="I684" i="1"/>
  <c r="H684" i="1"/>
  <c r="G684" i="1"/>
  <c r="F684" i="1"/>
  <c r="E684" i="1"/>
  <c r="C684" i="1"/>
  <c r="V683" i="1"/>
  <c r="U683" i="1"/>
  <c r="U682" i="1" s="1"/>
  <c r="T683" i="1"/>
  <c r="T682" i="1" s="1"/>
  <c r="S683" i="1"/>
  <c r="S682" i="1"/>
  <c r="R682" i="1"/>
  <c r="R678" i="1" s="1"/>
  <c r="R677" i="1" s="1"/>
  <c r="R676" i="1" s="1"/>
  <c r="R674" i="1" s="1"/>
  <c r="R673" i="1" s="1"/>
  <c r="Q682" i="1"/>
  <c r="P682" i="1"/>
  <c r="O682" i="1"/>
  <c r="N682" i="1"/>
  <c r="M682" i="1"/>
  <c r="L682" i="1"/>
  <c r="K682" i="1"/>
  <c r="K678" i="1" s="1"/>
  <c r="J682" i="1"/>
  <c r="I682" i="1"/>
  <c r="H682" i="1"/>
  <c r="G682" i="1"/>
  <c r="F682" i="1"/>
  <c r="F678" i="1" s="1"/>
  <c r="F677" i="1" s="1"/>
  <c r="F676" i="1" s="1"/>
  <c r="F674" i="1" s="1"/>
  <c r="F673" i="1" s="1"/>
  <c r="E682" i="1"/>
  <c r="C682" i="1"/>
  <c r="V681" i="1"/>
  <c r="W681" i="1" s="1"/>
  <c r="U681" i="1"/>
  <c r="T681" i="1"/>
  <c r="S681" i="1"/>
  <c r="U680" i="1"/>
  <c r="T680" i="1"/>
  <c r="S680" i="1"/>
  <c r="W680" i="1" s="1"/>
  <c r="M680" i="1"/>
  <c r="V680" i="1" s="1"/>
  <c r="U679" i="1"/>
  <c r="U678" i="1" s="1"/>
  <c r="T679" i="1"/>
  <c r="T678" i="1" s="1"/>
  <c r="S679" i="1"/>
  <c r="R679" i="1"/>
  <c r="Q679" i="1"/>
  <c r="P679" i="1"/>
  <c r="O679" i="1"/>
  <c r="N679" i="1"/>
  <c r="N678" i="1" s="1"/>
  <c r="M679" i="1"/>
  <c r="L679" i="1"/>
  <c r="K679" i="1"/>
  <c r="J679" i="1"/>
  <c r="I679" i="1"/>
  <c r="I678" i="1" s="1"/>
  <c r="H679" i="1"/>
  <c r="H678" i="1" s="1"/>
  <c r="H677" i="1" s="1"/>
  <c r="H676" i="1" s="1"/>
  <c r="G679" i="1"/>
  <c r="G678" i="1" s="1"/>
  <c r="G677" i="1" s="1"/>
  <c r="G676" i="1" s="1"/>
  <c r="G674" i="1" s="1"/>
  <c r="G673" i="1" s="1"/>
  <c r="F679" i="1"/>
  <c r="E679" i="1"/>
  <c r="C679" i="1"/>
  <c r="Q678" i="1"/>
  <c r="Q677" i="1" s="1"/>
  <c r="Q676" i="1" s="1"/>
  <c r="P678" i="1"/>
  <c r="O678" i="1"/>
  <c r="J678" i="1"/>
  <c r="E678" i="1"/>
  <c r="E677" i="1" s="1"/>
  <c r="E676" i="1" s="1"/>
  <c r="E674" i="1" s="1"/>
  <c r="E673" i="1" s="1"/>
  <c r="C678" i="1"/>
  <c r="V675" i="1"/>
  <c r="U675" i="1"/>
  <c r="U674" i="1" s="1"/>
  <c r="U673" i="1" s="1"/>
  <c r="T675" i="1"/>
  <c r="T674" i="1" s="1"/>
  <c r="T673" i="1" s="1"/>
  <c r="M675" i="1"/>
  <c r="Q674" i="1"/>
  <c r="Q673" i="1" s="1"/>
  <c r="P674" i="1"/>
  <c r="O674" i="1"/>
  <c r="O673" i="1" s="1"/>
  <c r="N674" i="1"/>
  <c r="N673" i="1" s="1"/>
  <c r="L674" i="1"/>
  <c r="L673" i="1" s="1"/>
  <c r="K674" i="1"/>
  <c r="K673" i="1" s="1"/>
  <c r="J674" i="1"/>
  <c r="I674" i="1"/>
  <c r="I673" i="1" s="1"/>
  <c r="I663" i="1" s="1"/>
  <c r="I662" i="1" s="1"/>
  <c r="H674" i="1"/>
  <c r="H673" i="1" s="1"/>
  <c r="P673" i="1"/>
  <c r="J673" i="1"/>
  <c r="U672" i="1"/>
  <c r="T672" i="1"/>
  <c r="M672" i="1"/>
  <c r="V671" i="1"/>
  <c r="U671" i="1"/>
  <c r="U670" i="1" s="1"/>
  <c r="T671" i="1"/>
  <c r="M671" i="1"/>
  <c r="S671" i="1" s="1"/>
  <c r="T670" i="1"/>
  <c r="R670" i="1"/>
  <c r="Q670" i="1"/>
  <c r="P670" i="1"/>
  <c r="O670" i="1"/>
  <c r="N670" i="1"/>
  <c r="L670" i="1"/>
  <c r="K670" i="1"/>
  <c r="J670" i="1"/>
  <c r="I670" i="1"/>
  <c r="H670" i="1"/>
  <c r="G670" i="1"/>
  <c r="F670" i="1"/>
  <c r="E670" i="1"/>
  <c r="C670" i="1"/>
  <c r="V669" i="1"/>
  <c r="W669" i="1" s="1"/>
  <c r="U669" i="1"/>
  <c r="T669" i="1"/>
  <c r="M669" i="1"/>
  <c r="S669" i="1" s="1"/>
  <c r="S668" i="1" s="1"/>
  <c r="U668" i="1"/>
  <c r="U667" i="1" s="1"/>
  <c r="T668" i="1"/>
  <c r="T667" i="1" s="1"/>
  <c r="R668" i="1"/>
  <c r="R667" i="1" s="1"/>
  <c r="Q668" i="1"/>
  <c r="P668" i="1"/>
  <c r="O668" i="1"/>
  <c r="N668" i="1"/>
  <c r="N667" i="1" s="1"/>
  <c r="L668" i="1"/>
  <c r="L667" i="1" s="1"/>
  <c r="K668" i="1"/>
  <c r="J668" i="1"/>
  <c r="I668" i="1"/>
  <c r="I667" i="1" s="1"/>
  <c r="H668" i="1"/>
  <c r="F668" i="1"/>
  <c r="E668" i="1"/>
  <c r="C668" i="1"/>
  <c r="Q667" i="1"/>
  <c r="P667" i="1"/>
  <c r="K667" i="1"/>
  <c r="J667" i="1"/>
  <c r="H667" i="1"/>
  <c r="F667" i="1"/>
  <c r="E667" i="1"/>
  <c r="C667" i="1"/>
  <c r="C663" i="1" s="1"/>
  <c r="C662" i="1" s="1"/>
  <c r="V666" i="1"/>
  <c r="U666" i="1"/>
  <c r="U665" i="1" s="1"/>
  <c r="U664" i="1" s="1"/>
  <c r="T666" i="1"/>
  <c r="M666" i="1"/>
  <c r="S666" i="1" s="1"/>
  <c r="T665" i="1"/>
  <c r="R665" i="1"/>
  <c r="R664" i="1" s="1"/>
  <c r="Q665" i="1"/>
  <c r="P665" i="1"/>
  <c r="O665" i="1"/>
  <c r="N665" i="1"/>
  <c r="M665" i="1"/>
  <c r="L665" i="1"/>
  <c r="L664" i="1" s="1"/>
  <c r="K665" i="1"/>
  <c r="J665" i="1"/>
  <c r="J664" i="1" s="1"/>
  <c r="I665" i="1"/>
  <c r="H665" i="1"/>
  <c r="H664" i="1" s="1"/>
  <c r="G665" i="1"/>
  <c r="G664" i="1" s="1"/>
  <c r="F665" i="1"/>
  <c r="E665" i="1"/>
  <c r="C665" i="1"/>
  <c r="C664" i="1" s="1"/>
  <c r="T664" i="1"/>
  <c r="Q664" i="1"/>
  <c r="P664" i="1"/>
  <c r="O664" i="1"/>
  <c r="N664" i="1"/>
  <c r="K664" i="1"/>
  <c r="I664" i="1"/>
  <c r="F664" i="1"/>
  <c r="E664" i="1"/>
  <c r="L663" i="1"/>
  <c r="L662" i="1" s="1"/>
  <c r="F663" i="1"/>
  <c r="F662" i="1" s="1"/>
  <c r="E663" i="1"/>
  <c r="E662" i="1" s="1"/>
  <c r="V661" i="1"/>
  <c r="W661" i="1" s="1"/>
  <c r="U661" i="1"/>
  <c r="U660" i="1" s="1"/>
  <c r="U659" i="1" s="1"/>
  <c r="N661" i="1"/>
  <c r="T661" i="1" s="1"/>
  <c r="T660" i="1" s="1"/>
  <c r="T659" i="1" s="1"/>
  <c r="M661" i="1"/>
  <c r="S661" i="1" s="1"/>
  <c r="S660" i="1" s="1"/>
  <c r="S659" i="1" s="1"/>
  <c r="R660" i="1"/>
  <c r="Q660" i="1"/>
  <c r="Q659" i="1" s="1"/>
  <c r="P660" i="1"/>
  <c r="P659" i="1" s="1"/>
  <c r="O660" i="1"/>
  <c r="L660" i="1"/>
  <c r="L659" i="1" s="1"/>
  <c r="K660" i="1"/>
  <c r="K659" i="1" s="1"/>
  <c r="J660" i="1"/>
  <c r="J659" i="1" s="1"/>
  <c r="I660" i="1"/>
  <c r="H660" i="1"/>
  <c r="G660" i="1"/>
  <c r="F660" i="1"/>
  <c r="E660" i="1"/>
  <c r="E659" i="1" s="1"/>
  <c r="C660" i="1"/>
  <c r="C659" i="1" s="1"/>
  <c r="R659" i="1"/>
  <c r="O659" i="1"/>
  <c r="I659" i="1"/>
  <c r="H659" i="1"/>
  <c r="G659" i="1"/>
  <c r="F659" i="1"/>
  <c r="V658" i="1"/>
  <c r="U658" i="1"/>
  <c r="T658" i="1"/>
  <c r="S658" i="1"/>
  <c r="S657" i="1" s="1"/>
  <c r="W657" i="1" s="1"/>
  <c r="M658" i="1"/>
  <c r="U657" i="1"/>
  <c r="T657" i="1"/>
  <c r="R657" i="1"/>
  <c r="Q657" i="1"/>
  <c r="P657" i="1"/>
  <c r="V657" i="1" s="1"/>
  <c r="O657" i="1"/>
  <c r="N657" i="1"/>
  <c r="M657" i="1"/>
  <c r="L657" i="1"/>
  <c r="K657" i="1"/>
  <c r="J657" i="1"/>
  <c r="I657" i="1"/>
  <c r="H657" i="1"/>
  <c r="H646" i="1" s="1"/>
  <c r="G657" i="1"/>
  <c r="F657" i="1"/>
  <c r="E657" i="1"/>
  <c r="C657" i="1"/>
  <c r="V656" i="1"/>
  <c r="W656" i="1" s="1"/>
  <c r="U656" i="1"/>
  <c r="T656" i="1"/>
  <c r="S656" i="1"/>
  <c r="V655" i="1"/>
  <c r="W655" i="1" s="1"/>
  <c r="U655" i="1"/>
  <c r="U654" i="1" s="1"/>
  <c r="T655" i="1"/>
  <c r="S655" i="1"/>
  <c r="S654" i="1" s="1"/>
  <c r="M655" i="1"/>
  <c r="T654" i="1"/>
  <c r="R654" i="1"/>
  <c r="Q654" i="1"/>
  <c r="P654" i="1"/>
  <c r="V654" i="1" s="1"/>
  <c r="O654" i="1"/>
  <c r="O646" i="1" s="1"/>
  <c r="N654" i="1"/>
  <c r="M654" i="1"/>
  <c r="L654" i="1"/>
  <c r="K654" i="1"/>
  <c r="J654" i="1"/>
  <c r="I654" i="1"/>
  <c r="H654" i="1"/>
  <c r="G654" i="1"/>
  <c r="F654" i="1"/>
  <c r="E654" i="1"/>
  <c r="C654" i="1"/>
  <c r="U653" i="1"/>
  <c r="S653" i="1"/>
  <c r="W653" i="1" s="1"/>
  <c r="N653" i="1"/>
  <c r="M653" i="1"/>
  <c r="V653" i="1" s="1"/>
  <c r="V652" i="1"/>
  <c r="U652" i="1"/>
  <c r="T652" i="1"/>
  <c r="S652" i="1"/>
  <c r="V651" i="1"/>
  <c r="U651" i="1"/>
  <c r="T651" i="1"/>
  <c r="S651" i="1"/>
  <c r="W651" i="1" s="1"/>
  <c r="V650" i="1"/>
  <c r="W650" i="1" s="1"/>
  <c r="U650" i="1"/>
  <c r="T650" i="1"/>
  <c r="M650" i="1"/>
  <c r="S650" i="1" s="1"/>
  <c r="V649" i="1"/>
  <c r="W649" i="1" s="1"/>
  <c r="U649" i="1"/>
  <c r="T649" i="1"/>
  <c r="M649" i="1"/>
  <c r="S649" i="1" s="1"/>
  <c r="V648" i="1"/>
  <c r="U648" i="1"/>
  <c r="T648" i="1"/>
  <c r="M648" i="1"/>
  <c r="S648" i="1" s="1"/>
  <c r="R647" i="1"/>
  <c r="Q647" i="1"/>
  <c r="Q646" i="1" s="1"/>
  <c r="P647" i="1"/>
  <c r="P646" i="1" s="1"/>
  <c r="O647" i="1"/>
  <c r="L647" i="1"/>
  <c r="K647" i="1"/>
  <c r="K646" i="1" s="1"/>
  <c r="J647" i="1"/>
  <c r="J646" i="1" s="1"/>
  <c r="I647" i="1"/>
  <c r="H647" i="1"/>
  <c r="G647" i="1"/>
  <c r="F647" i="1"/>
  <c r="E647" i="1"/>
  <c r="E646" i="1" s="1"/>
  <c r="C647" i="1"/>
  <c r="C646" i="1" s="1"/>
  <c r="R646" i="1"/>
  <c r="L646" i="1"/>
  <c r="G646" i="1"/>
  <c r="F646" i="1"/>
  <c r="V645" i="1"/>
  <c r="U645" i="1"/>
  <c r="T645" i="1"/>
  <c r="T644" i="1" s="1"/>
  <c r="T643" i="1" s="1"/>
  <c r="N645" i="1"/>
  <c r="M645" i="1"/>
  <c r="S645" i="1" s="1"/>
  <c r="U644" i="1"/>
  <c r="U643" i="1" s="1"/>
  <c r="R644" i="1"/>
  <c r="R643" i="1" s="1"/>
  <c r="Q644" i="1"/>
  <c r="P644" i="1"/>
  <c r="P643" i="1" s="1"/>
  <c r="O644" i="1"/>
  <c r="O643" i="1" s="1"/>
  <c r="N644" i="1"/>
  <c r="L644" i="1"/>
  <c r="K644" i="1"/>
  <c r="J644" i="1"/>
  <c r="J643" i="1" s="1"/>
  <c r="I644" i="1"/>
  <c r="I643" i="1" s="1"/>
  <c r="H644" i="1"/>
  <c r="G644" i="1"/>
  <c r="G643" i="1" s="1"/>
  <c r="F644" i="1"/>
  <c r="F643" i="1" s="1"/>
  <c r="E644" i="1"/>
  <c r="E643" i="1" s="1"/>
  <c r="C644" i="1"/>
  <c r="C643" i="1" s="1"/>
  <c r="Q643" i="1"/>
  <c r="N643" i="1"/>
  <c r="L643" i="1"/>
  <c r="K643" i="1"/>
  <c r="H643" i="1"/>
  <c r="U642" i="1"/>
  <c r="U641" i="1" s="1"/>
  <c r="T642" i="1"/>
  <c r="T641" i="1" s="1"/>
  <c r="M642" i="1"/>
  <c r="V642" i="1" s="1"/>
  <c r="R641" i="1"/>
  <c r="Q641" i="1"/>
  <c r="P641" i="1"/>
  <c r="O641" i="1"/>
  <c r="N641" i="1"/>
  <c r="L641" i="1"/>
  <c r="K641" i="1"/>
  <c r="J641" i="1"/>
  <c r="I641" i="1"/>
  <c r="H641" i="1"/>
  <c r="G641" i="1"/>
  <c r="F641" i="1"/>
  <c r="F631" i="1" s="1"/>
  <c r="E641" i="1"/>
  <c r="C641" i="1"/>
  <c r="C631" i="1" s="1"/>
  <c r="C630" i="1" s="1"/>
  <c r="C629" i="1" s="1"/>
  <c r="V640" i="1"/>
  <c r="W640" i="1" s="1"/>
  <c r="U640" i="1"/>
  <c r="T640" i="1"/>
  <c r="M640" i="1"/>
  <c r="S640" i="1" s="1"/>
  <c r="V639" i="1"/>
  <c r="W639" i="1" s="1"/>
  <c r="U639" i="1"/>
  <c r="T639" i="1"/>
  <c r="S639" i="1"/>
  <c r="M639" i="1"/>
  <c r="V638" i="1"/>
  <c r="W638" i="1" s="1"/>
  <c r="U638" i="1"/>
  <c r="T638" i="1"/>
  <c r="S638" i="1"/>
  <c r="T637" i="1"/>
  <c r="R637" i="1"/>
  <c r="Q637" i="1"/>
  <c r="P637" i="1"/>
  <c r="V637" i="1" s="1"/>
  <c r="O637" i="1"/>
  <c r="N637" i="1"/>
  <c r="L637" i="1"/>
  <c r="K637" i="1"/>
  <c r="J637" i="1"/>
  <c r="I637" i="1"/>
  <c r="H637" i="1"/>
  <c r="G637" i="1"/>
  <c r="F637" i="1"/>
  <c r="E637" i="1"/>
  <c r="C637" i="1"/>
  <c r="V636" i="1"/>
  <c r="W636" i="1" s="1"/>
  <c r="U636" i="1"/>
  <c r="T636" i="1"/>
  <c r="T635" i="1" s="1"/>
  <c r="M636" i="1"/>
  <c r="S636" i="1" s="1"/>
  <c r="S635" i="1" s="1"/>
  <c r="U635" i="1"/>
  <c r="R635" i="1"/>
  <c r="Q635" i="1"/>
  <c r="Q631" i="1" s="1"/>
  <c r="P635" i="1"/>
  <c r="P631" i="1" s="1"/>
  <c r="O635" i="1"/>
  <c r="N635" i="1"/>
  <c r="L635" i="1"/>
  <c r="L631" i="1" s="1"/>
  <c r="K635" i="1"/>
  <c r="J635" i="1"/>
  <c r="I635" i="1"/>
  <c r="H635" i="1"/>
  <c r="G635" i="1"/>
  <c r="F635" i="1"/>
  <c r="E635" i="1"/>
  <c r="E631" i="1" s="1"/>
  <c r="C635" i="1"/>
  <c r="U634" i="1"/>
  <c r="N634" i="1"/>
  <c r="T634" i="1" s="1"/>
  <c r="M634" i="1"/>
  <c r="V633" i="1"/>
  <c r="U633" i="1"/>
  <c r="S633" i="1"/>
  <c r="W633" i="1" s="1"/>
  <c r="N633" i="1"/>
  <c r="M633" i="1"/>
  <c r="U632" i="1"/>
  <c r="R632" i="1"/>
  <c r="Q632" i="1"/>
  <c r="P632" i="1"/>
  <c r="O632" i="1"/>
  <c r="L632" i="1"/>
  <c r="K632" i="1"/>
  <c r="J632" i="1"/>
  <c r="I632" i="1"/>
  <c r="H632" i="1"/>
  <c r="G632" i="1"/>
  <c r="G631" i="1" s="1"/>
  <c r="F632" i="1"/>
  <c r="E632" i="1"/>
  <c r="C632" i="1"/>
  <c r="O631" i="1"/>
  <c r="O630" i="1" s="1"/>
  <c r="O629" i="1" s="1"/>
  <c r="K631" i="1"/>
  <c r="K630" i="1" s="1"/>
  <c r="K629" i="1" s="1"/>
  <c r="I631" i="1"/>
  <c r="U628" i="1"/>
  <c r="U627" i="1" s="1"/>
  <c r="T628" i="1"/>
  <c r="T627" i="1" s="1"/>
  <c r="M628" i="1"/>
  <c r="S628" i="1" s="1"/>
  <c r="S627" i="1" s="1"/>
  <c r="R627" i="1"/>
  <c r="R624" i="1" s="1"/>
  <c r="R623" i="1" s="1"/>
  <c r="R622" i="1" s="1"/>
  <c r="Q627" i="1"/>
  <c r="P627" i="1"/>
  <c r="O627" i="1"/>
  <c r="O624" i="1" s="1"/>
  <c r="O623" i="1" s="1"/>
  <c r="O622" i="1" s="1"/>
  <c r="N627" i="1"/>
  <c r="L627" i="1"/>
  <c r="K627" i="1"/>
  <c r="J627" i="1"/>
  <c r="I627" i="1"/>
  <c r="I624" i="1" s="1"/>
  <c r="I623" i="1" s="1"/>
  <c r="I622" i="1" s="1"/>
  <c r="H627" i="1"/>
  <c r="G627" i="1"/>
  <c r="F627" i="1"/>
  <c r="E627" i="1"/>
  <c r="C627" i="1"/>
  <c r="V626" i="1"/>
  <c r="W626" i="1" s="1"/>
  <c r="U626" i="1"/>
  <c r="U625" i="1" s="1"/>
  <c r="T626" i="1"/>
  <c r="T625" i="1" s="1"/>
  <c r="S626" i="1"/>
  <c r="S625" i="1" s="1"/>
  <c r="R625" i="1"/>
  <c r="Q625" i="1"/>
  <c r="P625" i="1"/>
  <c r="O625" i="1"/>
  <c r="N625" i="1"/>
  <c r="M625" i="1"/>
  <c r="L625" i="1"/>
  <c r="K625" i="1"/>
  <c r="K624" i="1" s="1"/>
  <c r="K623" i="1" s="1"/>
  <c r="K622" i="1" s="1"/>
  <c r="J625" i="1"/>
  <c r="I625" i="1"/>
  <c r="H625" i="1"/>
  <c r="G625" i="1"/>
  <c r="F625" i="1"/>
  <c r="E625" i="1"/>
  <c r="C625" i="1"/>
  <c r="C624" i="1" s="1"/>
  <c r="C623" i="1" s="1"/>
  <c r="S624" i="1"/>
  <c r="N624" i="1"/>
  <c r="N623" i="1" s="1"/>
  <c r="N622" i="1" s="1"/>
  <c r="L624" i="1"/>
  <c r="L623" i="1" s="1"/>
  <c r="L622" i="1" s="1"/>
  <c r="H624" i="1"/>
  <c r="H623" i="1" s="1"/>
  <c r="H622" i="1" s="1"/>
  <c r="G624" i="1"/>
  <c r="G623" i="1" s="1"/>
  <c r="G622" i="1" s="1"/>
  <c r="F624" i="1"/>
  <c r="F623" i="1" s="1"/>
  <c r="F622" i="1" s="1"/>
  <c r="C622" i="1"/>
  <c r="V621" i="1"/>
  <c r="W621" i="1" s="1"/>
  <c r="V620" i="1"/>
  <c r="W620" i="1" s="1"/>
  <c r="V619" i="1"/>
  <c r="W619" i="1" s="1"/>
  <c r="V618" i="1"/>
  <c r="U618" i="1"/>
  <c r="S618" i="1"/>
  <c r="O618" i="1"/>
  <c r="N618" i="1"/>
  <c r="H618" i="1"/>
  <c r="G618" i="1"/>
  <c r="F618" i="1"/>
  <c r="E618" i="1"/>
  <c r="C618" i="1"/>
  <c r="V617" i="1"/>
  <c r="U617" i="1"/>
  <c r="T617" i="1"/>
  <c r="S617" i="1"/>
  <c r="V616" i="1"/>
  <c r="U616" i="1"/>
  <c r="S616" i="1"/>
  <c r="V615" i="1"/>
  <c r="U615" i="1"/>
  <c r="T615" i="1"/>
  <c r="S615" i="1"/>
  <c r="V614" i="1"/>
  <c r="U614" i="1"/>
  <c r="U612" i="1" s="1"/>
  <c r="U611" i="1" s="1"/>
  <c r="U610" i="1" s="1"/>
  <c r="U609" i="1" s="1"/>
  <c r="T614" i="1"/>
  <c r="T612" i="1" s="1"/>
  <c r="T611" i="1" s="1"/>
  <c r="T610" i="1" s="1"/>
  <c r="S614" i="1"/>
  <c r="V613" i="1"/>
  <c r="W613" i="1" s="1"/>
  <c r="R612" i="1"/>
  <c r="Q612" i="1"/>
  <c r="P612" i="1"/>
  <c r="V612" i="1" s="1"/>
  <c r="O612" i="1"/>
  <c r="O611" i="1" s="1"/>
  <c r="O610" i="1" s="1"/>
  <c r="N612" i="1"/>
  <c r="N611" i="1" s="1"/>
  <c r="N610" i="1" s="1"/>
  <c r="N609" i="1" s="1"/>
  <c r="M612" i="1"/>
  <c r="L612" i="1"/>
  <c r="K612" i="1"/>
  <c r="J612" i="1"/>
  <c r="I612" i="1"/>
  <c r="I611" i="1" s="1"/>
  <c r="I610" i="1" s="1"/>
  <c r="I609" i="1" s="1"/>
  <c r="H612" i="1"/>
  <c r="H611" i="1" s="1"/>
  <c r="H610" i="1" s="1"/>
  <c r="H609" i="1" s="1"/>
  <c r="G612" i="1"/>
  <c r="F612" i="1"/>
  <c r="E612" i="1"/>
  <c r="E611" i="1" s="1"/>
  <c r="E610" i="1" s="1"/>
  <c r="E609" i="1" s="1"/>
  <c r="C612" i="1"/>
  <c r="C611" i="1" s="1"/>
  <c r="C610" i="1" s="1"/>
  <c r="C609" i="1" s="1"/>
  <c r="R611" i="1"/>
  <c r="R610" i="1" s="1"/>
  <c r="R609" i="1" s="1"/>
  <c r="Q611" i="1"/>
  <c r="Q610" i="1" s="1"/>
  <c r="Q609" i="1" s="1"/>
  <c r="M611" i="1"/>
  <c r="L611" i="1"/>
  <c r="L610" i="1" s="1"/>
  <c r="L609" i="1" s="1"/>
  <c r="K611" i="1"/>
  <c r="K610" i="1" s="1"/>
  <c r="K609" i="1" s="1"/>
  <c r="J611" i="1"/>
  <c r="J610" i="1" s="1"/>
  <c r="J609" i="1" s="1"/>
  <c r="G611" i="1"/>
  <c r="G610" i="1" s="1"/>
  <c r="G609" i="1" s="1"/>
  <c r="F611" i="1"/>
  <c r="F610" i="1" s="1"/>
  <c r="F609" i="1" s="1"/>
  <c r="M610" i="1"/>
  <c r="M609" i="1" s="1"/>
  <c r="O609" i="1"/>
  <c r="V608" i="1"/>
  <c r="W608" i="1" s="1"/>
  <c r="U608" i="1"/>
  <c r="T608" i="1"/>
  <c r="T607" i="1" s="1"/>
  <c r="T606" i="1" s="1"/>
  <c r="T605" i="1" s="1"/>
  <c r="T604" i="1" s="1"/>
  <c r="S608" i="1"/>
  <c r="S607" i="1" s="1"/>
  <c r="U607" i="1"/>
  <c r="U606" i="1" s="1"/>
  <c r="U605" i="1" s="1"/>
  <c r="U604" i="1" s="1"/>
  <c r="R607" i="1"/>
  <c r="Q607" i="1"/>
  <c r="Q606" i="1" s="1"/>
  <c r="Q605" i="1" s="1"/>
  <c r="Q604" i="1" s="1"/>
  <c r="P607" i="1"/>
  <c r="V607" i="1" s="1"/>
  <c r="O607" i="1"/>
  <c r="O606" i="1" s="1"/>
  <c r="O605" i="1" s="1"/>
  <c r="N607" i="1"/>
  <c r="N606" i="1" s="1"/>
  <c r="N605" i="1" s="1"/>
  <c r="N604" i="1" s="1"/>
  <c r="M607" i="1"/>
  <c r="L607" i="1"/>
  <c r="K607" i="1"/>
  <c r="J607" i="1"/>
  <c r="I607" i="1"/>
  <c r="I606" i="1" s="1"/>
  <c r="I605" i="1" s="1"/>
  <c r="I604" i="1" s="1"/>
  <c r="H607" i="1"/>
  <c r="H606" i="1" s="1"/>
  <c r="H605" i="1" s="1"/>
  <c r="H604" i="1" s="1"/>
  <c r="G607" i="1"/>
  <c r="F607" i="1"/>
  <c r="E607" i="1"/>
  <c r="C607" i="1"/>
  <c r="R606" i="1"/>
  <c r="P606" i="1"/>
  <c r="P605" i="1" s="1"/>
  <c r="M606" i="1"/>
  <c r="L606" i="1"/>
  <c r="L605" i="1" s="1"/>
  <c r="L604" i="1" s="1"/>
  <c r="K606" i="1"/>
  <c r="K605" i="1" s="1"/>
  <c r="K604" i="1" s="1"/>
  <c r="J606" i="1"/>
  <c r="J605" i="1" s="1"/>
  <c r="J604" i="1" s="1"/>
  <c r="G606" i="1"/>
  <c r="G605" i="1" s="1"/>
  <c r="G604" i="1" s="1"/>
  <c r="F606" i="1"/>
  <c r="E606" i="1"/>
  <c r="E605" i="1" s="1"/>
  <c r="E604" i="1" s="1"/>
  <c r="C606" i="1"/>
  <c r="C605" i="1" s="1"/>
  <c r="C604" i="1" s="1"/>
  <c r="R605" i="1"/>
  <c r="R604" i="1" s="1"/>
  <c r="M605" i="1"/>
  <c r="M604" i="1" s="1"/>
  <c r="F605" i="1"/>
  <c r="F604" i="1" s="1"/>
  <c r="O604" i="1"/>
  <c r="V603" i="1"/>
  <c r="W603" i="1" s="1"/>
  <c r="U603" i="1"/>
  <c r="U602" i="1" s="1"/>
  <c r="T603" i="1"/>
  <c r="T602" i="1" s="1"/>
  <c r="S603" i="1"/>
  <c r="S602" i="1"/>
  <c r="R602" i="1"/>
  <c r="Q602" i="1"/>
  <c r="P602" i="1"/>
  <c r="V602" i="1" s="1"/>
  <c r="O602" i="1"/>
  <c r="N602" i="1"/>
  <c r="M602" i="1"/>
  <c r="L602" i="1"/>
  <c r="K602" i="1"/>
  <c r="J602" i="1"/>
  <c r="I602" i="1"/>
  <c r="H602" i="1"/>
  <c r="G602" i="1"/>
  <c r="G597" i="1" s="1"/>
  <c r="G596" i="1" s="1"/>
  <c r="G595" i="1" s="1"/>
  <c r="F602" i="1"/>
  <c r="E602" i="1"/>
  <c r="C602" i="1"/>
  <c r="U601" i="1"/>
  <c r="T601" i="1"/>
  <c r="M601" i="1"/>
  <c r="U600" i="1"/>
  <c r="T600" i="1"/>
  <c r="M600" i="1"/>
  <c r="V599" i="1"/>
  <c r="W599" i="1" s="1"/>
  <c r="U599" i="1"/>
  <c r="U598" i="1" s="1"/>
  <c r="T599" i="1"/>
  <c r="T598" i="1" s="1"/>
  <c r="S599" i="1"/>
  <c r="R598" i="1"/>
  <c r="Q598" i="1"/>
  <c r="P598" i="1"/>
  <c r="P597" i="1" s="1"/>
  <c r="O598" i="1"/>
  <c r="O597" i="1" s="1"/>
  <c r="O596" i="1" s="1"/>
  <c r="O595" i="1" s="1"/>
  <c r="N598" i="1"/>
  <c r="L598" i="1"/>
  <c r="K598" i="1"/>
  <c r="K597" i="1" s="1"/>
  <c r="K596" i="1" s="1"/>
  <c r="K595" i="1" s="1"/>
  <c r="J598" i="1"/>
  <c r="I598" i="1"/>
  <c r="H598" i="1"/>
  <c r="H597" i="1" s="1"/>
  <c r="H596" i="1" s="1"/>
  <c r="H595" i="1" s="1"/>
  <c r="G598" i="1"/>
  <c r="F598" i="1"/>
  <c r="E598" i="1"/>
  <c r="E597" i="1" s="1"/>
  <c r="E596" i="1" s="1"/>
  <c r="E595" i="1" s="1"/>
  <c r="C598" i="1"/>
  <c r="C597" i="1" s="1"/>
  <c r="C596" i="1" s="1"/>
  <c r="R597" i="1"/>
  <c r="R596" i="1" s="1"/>
  <c r="N597" i="1"/>
  <c r="N596" i="1" s="1"/>
  <c r="N595" i="1" s="1"/>
  <c r="L597" i="1"/>
  <c r="L596" i="1" s="1"/>
  <c r="L595" i="1" s="1"/>
  <c r="F597" i="1"/>
  <c r="F596" i="1" s="1"/>
  <c r="F595" i="1" s="1"/>
  <c r="R595" i="1"/>
  <c r="C595" i="1"/>
  <c r="V594" i="1"/>
  <c r="U594" i="1"/>
  <c r="T594" i="1"/>
  <c r="S594" i="1"/>
  <c r="W593" i="1"/>
  <c r="V593" i="1"/>
  <c r="U593" i="1"/>
  <c r="T593" i="1"/>
  <c r="S593" i="1"/>
  <c r="W592" i="1"/>
  <c r="V592" i="1"/>
  <c r="U592" i="1"/>
  <c r="T592" i="1"/>
  <c r="T591" i="1" s="1"/>
  <c r="S592" i="1"/>
  <c r="U591" i="1"/>
  <c r="R591" i="1"/>
  <c r="Q591" i="1"/>
  <c r="Q585" i="1" s="1"/>
  <c r="P591" i="1"/>
  <c r="V591" i="1" s="1"/>
  <c r="O591" i="1"/>
  <c r="N591" i="1"/>
  <c r="M591" i="1"/>
  <c r="L591" i="1"/>
  <c r="K591" i="1"/>
  <c r="J591" i="1"/>
  <c r="J585" i="1" s="1"/>
  <c r="I591" i="1"/>
  <c r="H591" i="1"/>
  <c r="G591" i="1"/>
  <c r="F591" i="1"/>
  <c r="E591" i="1"/>
  <c r="C591" i="1"/>
  <c r="C585" i="1" s="1"/>
  <c r="V590" i="1"/>
  <c r="W590" i="1" s="1"/>
  <c r="U590" i="1"/>
  <c r="T590" i="1"/>
  <c r="S590" i="1"/>
  <c r="W589" i="1"/>
  <c r="V589" i="1"/>
  <c r="U589" i="1"/>
  <c r="T589" i="1"/>
  <c r="S589" i="1"/>
  <c r="V588" i="1"/>
  <c r="W588" i="1" s="1"/>
  <c r="U588" i="1"/>
  <c r="T588" i="1"/>
  <c r="S588" i="1"/>
  <c r="V587" i="1"/>
  <c r="W587" i="1" s="1"/>
  <c r="U587" i="1"/>
  <c r="U586" i="1" s="1"/>
  <c r="U585" i="1" s="1"/>
  <c r="T587" i="1"/>
  <c r="T586" i="1" s="1"/>
  <c r="T585" i="1" s="1"/>
  <c r="S587" i="1"/>
  <c r="S586" i="1"/>
  <c r="R586" i="1"/>
  <c r="R585" i="1" s="1"/>
  <c r="Q586" i="1"/>
  <c r="P586" i="1"/>
  <c r="V586" i="1" s="1"/>
  <c r="O586" i="1"/>
  <c r="N586" i="1"/>
  <c r="N585" i="1" s="1"/>
  <c r="M586" i="1"/>
  <c r="M585" i="1" s="1"/>
  <c r="L586" i="1"/>
  <c r="K586" i="1"/>
  <c r="J586" i="1"/>
  <c r="I586" i="1"/>
  <c r="H586" i="1"/>
  <c r="H585" i="1" s="1"/>
  <c r="G586" i="1"/>
  <c r="G585" i="1" s="1"/>
  <c r="F586" i="1"/>
  <c r="F585" i="1" s="1"/>
  <c r="E586" i="1"/>
  <c r="C586" i="1"/>
  <c r="P585" i="1"/>
  <c r="V585" i="1" s="1"/>
  <c r="O585" i="1"/>
  <c r="L585" i="1"/>
  <c r="K585" i="1"/>
  <c r="I585" i="1"/>
  <c r="E585" i="1"/>
  <c r="W584" i="1"/>
  <c r="V584" i="1"/>
  <c r="V583" i="1"/>
  <c r="U583" i="1"/>
  <c r="S583" i="1"/>
  <c r="O583" i="1"/>
  <c r="N583" i="1"/>
  <c r="H583" i="1"/>
  <c r="G583" i="1"/>
  <c r="F583" i="1"/>
  <c r="E583" i="1"/>
  <c r="C583" i="1"/>
  <c r="V582" i="1"/>
  <c r="U582" i="1"/>
  <c r="T582" i="1"/>
  <c r="T580" i="1" s="1"/>
  <c r="S582" i="1"/>
  <c r="V581" i="1"/>
  <c r="W581" i="1" s="1"/>
  <c r="U581" i="1"/>
  <c r="U580" i="1" s="1"/>
  <c r="T581" i="1"/>
  <c r="S581" i="1"/>
  <c r="S580" i="1" s="1"/>
  <c r="V580" i="1"/>
  <c r="W580" i="1" s="1"/>
  <c r="R580" i="1"/>
  <c r="Q580" i="1"/>
  <c r="P580" i="1"/>
  <c r="O580" i="1"/>
  <c r="N580" i="1"/>
  <c r="M580" i="1"/>
  <c r="L580" i="1"/>
  <c r="L578" i="1" s="1"/>
  <c r="K580" i="1"/>
  <c r="J580" i="1"/>
  <c r="J578" i="1" s="1"/>
  <c r="I580" i="1"/>
  <c r="H580" i="1"/>
  <c r="G580" i="1"/>
  <c r="F580" i="1"/>
  <c r="E580" i="1"/>
  <c r="C580" i="1"/>
  <c r="V579" i="1"/>
  <c r="U579" i="1"/>
  <c r="T579" i="1"/>
  <c r="T578" i="1" s="1"/>
  <c r="S579" i="1"/>
  <c r="U578" i="1"/>
  <c r="R578" i="1"/>
  <c r="Q578" i="1"/>
  <c r="Q563" i="1" s="1"/>
  <c r="P578" i="1"/>
  <c r="O578" i="1"/>
  <c r="N578" i="1"/>
  <c r="M578" i="1"/>
  <c r="V578" i="1" s="1"/>
  <c r="K578" i="1"/>
  <c r="K563" i="1" s="1"/>
  <c r="I578" i="1"/>
  <c r="H578" i="1"/>
  <c r="G578" i="1"/>
  <c r="F578" i="1"/>
  <c r="E578" i="1"/>
  <c r="E563" i="1" s="1"/>
  <c r="C578" i="1"/>
  <c r="V577" i="1"/>
  <c r="U577" i="1"/>
  <c r="T577" i="1"/>
  <c r="S577" i="1"/>
  <c r="W577" i="1" s="1"/>
  <c r="V576" i="1"/>
  <c r="U576" i="1"/>
  <c r="T576" i="1"/>
  <c r="T572" i="1" s="1"/>
  <c r="S576" i="1"/>
  <c r="W576" i="1" s="1"/>
  <c r="V575" i="1"/>
  <c r="U575" i="1"/>
  <c r="T575" i="1"/>
  <c r="S575" i="1"/>
  <c r="W575" i="1" s="1"/>
  <c r="V574" i="1"/>
  <c r="W574" i="1" s="1"/>
  <c r="U574" i="1"/>
  <c r="T574" i="1"/>
  <c r="S574" i="1"/>
  <c r="V573" i="1"/>
  <c r="W573" i="1" s="1"/>
  <c r="U573" i="1"/>
  <c r="T573" i="1"/>
  <c r="S573" i="1"/>
  <c r="S572" i="1" s="1"/>
  <c r="V572" i="1"/>
  <c r="U572" i="1"/>
  <c r="R572" i="1"/>
  <c r="Q572" i="1"/>
  <c r="P572" i="1"/>
  <c r="O572" i="1"/>
  <c r="O563" i="1" s="1"/>
  <c r="N572" i="1"/>
  <c r="M572" i="1"/>
  <c r="L572" i="1"/>
  <c r="K572" i="1"/>
  <c r="J572" i="1"/>
  <c r="J563" i="1" s="1"/>
  <c r="I572" i="1"/>
  <c r="I563" i="1" s="1"/>
  <c r="H572" i="1"/>
  <c r="G572" i="1"/>
  <c r="F572" i="1"/>
  <c r="E572" i="1"/>
  <c r="C572" i="1"/>
  <c r="V571" i="1"/>
  <c r="W571" i="1" s="1"/>
  <c r="U571" i="1"/>
  <c r="T571" i="1"/>
  <c r="S571" i="1"/>
  <c r="V570" i="1"/>
  <c r="W570" i="1" s="1"/>
  <c r="U570" i="1"/>
  <c r="T570" i="1"/>
  <c r="S570" i="1"/>
  <c r="V569" i="1"/>
  <c r="W569" i="1" s="1"/>
  <c r="U569" i="1"/>
  <c r="T569" i="1"/>
  <c r="S569" i="1"/>
  <c r="V568" i="1"/>
  <c r="U568" i="1"/>
  <c r="T568" i="1"/>
  <c r="S568" i="1"/>
  <c r="T567" i="1"/>
  <c r="R567" i="1"/>
  <c r="Q567" i="1"/>
  <c r="P567" i="1"/>
  <c r="O567" i="1"/>
  <c r="N567" i="1"/>
  <c r="M567" i="1"/>
  <c r="V567" i="1" s="1"/>
  <c r="L567" i="1"/>
  <c r="K567" i="1"/>
  <c r="J567" i="1"/>
  <c r="I567" i="1"/>
  <c r="H567" i="1"/>
  <c r="G567" i="1"/>
  <c r="F567" i="1"/>
  <c r="E567" i="1"/>
  <c r="C567" i="1"/>
  <c r="V566" i="1"/>
  <c r="U566" i="1"/>
  <c r="T566" i="1"/>
  <c r="S566" i="1"/>
  <c r="V565" i="1"/>
  <c r="U565" i="1"/>
  <c r="T565" i="1"/>
  <c r="T564" i="1" s="1"/>
  <c r="S565" i="1"/>
  <c r="R564" i="1"/>
  <c r="Q564" i="1"/>
  <c r="P564" i="1"/>
  <c r="V564" i="1" s="1"/>
  <c r="O564" i="1"/>
  <c r="N564" i="1"/>
  <c r="M564" i="1"/>
  <c r="L564" i="1"/>
  <c r="K564" i="1"/>
  <c r="J564" i="1"/>
  <c r="I564" i="1"/>
  <c r="H564" i="1"/>
  <c r="G564" i="1"/>
  <c r="F564" i="1"/>
  <c r="E564" i="1"/>
  <c r="C564" i="1"/>
  <c r="P563" i="1"/>
  <c r="C563" i="1"/>
  <c r="V562" i="1"/>
  <c r="W562" i="1" s="1"/>
  <c r="V561" i="1"/>
  <c r="W561" i="1" s="1"/>
  <c r="V560" i="1"/>
  <c r="U560" i="1"/>
  <c r="S560" i="1"/>
  <c r="O560" i="1"/>
  <c r="N560" i="1"/>
  <c r="H560" i="1"/>
  <c r="G560" i="1"/>
  <c r="F560" i="1"/>
  <c r="E560" i="1"/>
  <c r="C560" i="1"/>
  <c r="V559" i="1"/>
  <c r="U559" i="1"/>
  <c r="T559" i="1"/>
  <c r="T558" i="1" s="1"/>
  <c r="T557" i="1" s="1"/>
  <c r="S559" i="1"/>
  <c r="V558" i="1"/>
  <c r="U558" i="1"/>
  <c r="U557" i="1" s="1"/>
  <c r="R558" i="1"/>
  <c r="R557" i="1" s="1"/>
  <c r="Q558" i="1"/>
  <c r="P558" i="1"/>
  <c r="O558" i="1"/>
  <c r="O557" i="1" s="1"/>
  <c r="N558" i="1"/>
  <c r="L558" i="1"/>
  <c r="K558" i="1"/>
  <c r="K557" i="1" s="1"/>
  <c r="J558" i="1"/>
  <c r="I558" i="1"/>
  <c r="I557" i="1" s="1"/>
  <c r="H558" i="1"/>
  <c r="H557" i="1" s="1"/>
  <c r="G558" i="1"/>
  <c r="G557" i="1" s="1"/>
  <c r="F558" i="1"/>
  <c r="E558" i="1"/>
  <c r="C558" i="1"/>
  <c r="V557" i="1"/>
  <c r="Q557" i="1"/>
  <c r="Q556" i="1" s="1"/>
  <c r="Q555" i="1" s="1"/>
  <c r="P557" i="1"/>
  <c r="P556" i="1" s="1"/>
  <c r="N557" i="1"/>
  <c r="M557" i="1"/>
  <c r="L557" i="1"/>
  <c r="J557" i="1"/>
  <c r="F557" i="1"/>
  <c r="E557" i="1"/>
  <c r="C557" i="1"/>
  <c r="K556" i="1"/>
  <c r="K555" i="1" s="1"/>
  <c r="E556" i="1"/>
  <c r="E555" i="1" s="1"/>
  <c r="U554" i="1"/>
  <c r="U553" i="1" s="1"/>
  <c r="U552" i="1" s="1"/>
  <c r="T554" i="1"/>
  <c r="T553" i="1" s="1"/>
  <c r="T552" i="1" s="1"/>
  <c r="M554" i="1"/>
  <c r="S554" i="1" s="1"/>
  <c r="R553" i="1"/>
  <c r="Q553" i="1"/>
  <c r="P553" i="1"/>
  <c r="P552" i="1" s="1"/>
  <c r="O553" i="1"/>
  <c r="O552" i="1" s="1"/>
  <c r="N553" i="1"/>
  <c r="L553" i="1"/>
  <c r="K553" i="1"/>
  <c r="K552" i="1" s="1"/>
  <c r="J553" i="1"/>
  <c r="J552" i="1" s="1"/>
  <c r="I553" i="1"/>
  <c r="I552" i="1" s="1"/>
  <c r="H553" i="1"/>
  <c r="G553" i="1"/>
  <c r="F553" i="1"/>
  <c r="E553" i="1"/>
  <c r="C553" i="1"/>
  <c r="C552" i="1" s="1"/>
  <c r="R552" i="1"/>
  <c r="Q552" i="1"/>
  <c r="N552" i="1"/>
  <c r="L552" i="1"/>
  <c r="H552" i="1"/>
  <c r="G552" i="1"/>
  <c r="F552" i="1"/>
  <c r="E552" i="1"/>
  <c r="U551" i="1"/>
  <c r="T551" i="1"/>
  <c r="M551" i="1"/>
  <c r="V551" i="1" s="1"/>
  <c r="U550" i="1"/>
  <c r="T550" i="1"/>
  <c r="R550" i="1"/>
  <c r="Q550" i="1"/>
  <c r="P550" i="1"/>
  <c r="O550" i="1"/>
  <c r="N550" i="1"/>
  <c r="L550" i="1"/>
  <c r="K550" i="1"/>
  <c r="J550" i="1"/>
  <c r="I550" i="1"/>
  <c r="H550" i="1"/>
  <c r="G550" i="1"/>
  <c r="F550" i="1"/>
  <c r="E550" i="1"/>
  <c r="C550" i="1"/>
  <c r="U549" i="1"/>
  <c r="T549" i="1"/>
  <c r="M549" i="1"/>
  <c r="S549" i="1" s="1"/>
  <c r="U548" i="1"/>
  <c r="T548" i="1"/>
  <c r="M548" i="1"/>
  <c r="S548" i="1" s="1"/>
  <c r="U547" i="1"/>
  <c r="T547" i="1"/>
  <c r="M547" i="1"/>
  <c r="S547" i="1" s="1"/>
  <c r="U546" i="1"/>
  <c r="T546" i="1"/>
  <c r="M546" i="1"/>
  <c r="S546" i="1" s="1"/>
  <c r="V545" i="1"/>
  <c r="U545" i="1"/>
  <c r="U543" i="1" s="1"/>
  <c r="T545" i="1"/>
  <c r="M545" i="1"/>
  <c r="S545" i="1" s="1"/>
  <c r="V544" i="1"/>
  <c r="U544" i="1"/>
  <c r="T544" i="1"/>
  <c r="M544" i="1"/>
  <c r="S544" i="1" s="1"/>
  <c r="R543" i="1"/>
  <c r="Q543" i="1"/>
  <c r="Q539" i="1" s="1"/>
  <c r="P543" i="1"/>
  <c r="O543" i="1"/>
  <c r="N543" i="1"/>
  <c r="L543" i="1"/>
  <c r="K543" i="1"/>
  <c r="J543" i="1"/>
  <c r="I543" i="1"/>
  <c r="H543" i="1"/>
  <c r="G543" i="1"/>
  <c r="F543" i="1"/>
  <c r="E543" i="1"/>
  <c r="C543" i="1"/>
  <c r="C539" i="1" s="1"/>
  <c r="U542" i="1"/>
  <c r="T542" i="1"/>
  <c r="M542" i="1"/>
  <c r="V541" i="1"/>
  <c r="W541" i="1" s="1"/>
  <c r="U540" i="1"/>
  <c r="T540" i="1"/>
  <c r="R540" i="1"/>
  <c r="Q540" i="1"/>
  <c r="P540" i="1"/>
  <c r="P539" i="1" s="1"/>
  <c r="O540" i="1"/>
  <c r="N540" i="1"/>
  <c r="L540" i="1"/>
  <c r="K540" i="1"/>
  <c r="J540" i="1"/>
  <c r="I540" i="1"/>
  <c r="H540" i="1"/>
  <c r="H539" i="1" s="1"/>
  <c r="G540" i="1"/>
  <c r="F540" i="1"/>
  <c r="E540" i="1"/>
  <c r="E539" i="1" s="1"/>
  <c r="C540" i="1"/>
  <c r="R539" i="1"/>
  <c r="O539" i="1"/>
  <c r="L539" i="1"/>
  <c r="K539" i="1"/>
  <c r="F539" i="1"/>
  <c r="U538" i="1"/>
  <c r="U537" i="1" s="1"/>
  <c r="U536" i="1" s="1"/>
  <c r="T538" i="1"/>
  <c r="M538" i="1"/>
  <c r="T537" i="1"/>
  <c r="R537" i="1"/>
  <c r="R536" i="1" s="1"/>
  <c r="Q537" i="1"/>
  <c r="Q536" i="1" s="1"/>
  <c r="P537" i="1"/>
  <c r="O537" i="1"/>
  <c r="N537" i="1"/>
  <c r="N536" i="1" s="1"/>
  <c r="L537" i="1"/>
  <c r="L536" i="1" s="1"/>
  <c r="K537" i="1"/>
  <c r="K536" i="1" s="1"/>
  <c r="J537" i="1"/>
  <c r="I537" i="1"/>
  <c r="H537" i="1"/>
  <c r="G537" i="1"/>
  <c r="G536" i="1" s="1"/>
  <c r="F537" i="1"/>
  <c r="F536" i="1" s="1"/>
  <c r="E537" i="1"/>
  <c r="E536" i="1" s="1"/>
  <c r="C537" i="1"/>
  <c r="C536" i="1" s="1"/>
  <c r="T536" i="1"/>
  <c r="P536" i="1"/>
  <c r="O536" i="1"/>
  <c r="J536" i="1"/>
  <c r="I536" i="1"/>
  <c r="H536" i="1"/>
  <c r="U535" i="1"/>
  <c r="T535" i="1"/>
  <c r="M535" i="1"/>
  <c r="S535" i="1" s="1"/>
  <c r="U534" i="1"/>
  <c r="T534" i="1"/>
  <c r="M534" i="1"/>
  <c r="S534" i="1" s="1"/>
  <c r="U533" i="1"/>
  <c r="T533" i="1"/>
  <c r="M533" i="1"/>
  <c r="S533" i="1" s="1"/>
  <c r="U532" i="1"/>
  <c r="T532" i="1"/>
  <c r="M532" i="1"/>
  <c r="S532" i="1" s="1"/>
  <c r="U531" i="1"/>
  <c r="T531" i="1"/>
  <c r="M531" i="1"/>
  <c r="S531" i="1" s="1"/>
  <c r="U530" i="1"/>
  <c r="T530" i="1"/>
  <c r="M530" i="1"/>
  <c r="S530" i="1" s="1"/>
  <c r="U529" i="1"/>
  <c r="T529" i="1"/>
  <c r="M529" i="1"/>
  <c r="S529" i="1" s="1"/>
  <c r="U528" i="1"/>
  <c r="U527" i="1" s="1"/>
  <c r="T528" i="1"/>
  <c r="M528" i="1"/>
  <c r="S528" i="1" s="1"/>
  <c r="T527" i="1"/>
  <c r="R527" i="1"/>
  <c r="Q527" i="1"/>
  <c r="P527" i="1"/>
  <c r="O527" i="1"/>
  <c r="N527" i="1"/>
  <c r="L527" i="1"/>
  <c r="K527" i="1"/>
  <c r="J527" i="1"/>
  <c r="I527" i="1"/>
  <c r="H527" i="1"/>
  <c r="G527" i="1"/>
  <c r="F527" i="1"/>
  <c r="E527" i="1"/>
  <c r="C527" i="1"/>
  <c r="U526" i="1"/>
  <c r="T526" i="1"/>
  <c r="M526" i="1"/>
  <c r="V526" i="1" s="1"/>
  <c r="U525" i="1"/>
  <c r="T525" i="1"/>
  <c r="M525" i="1"/>
  <c r="U524" i="1"/>
  <c r="T524" i="1"/>
  <c r="M524" i="1"/>
  <c r="U523" i="1"/>
  <c r="T523" i="1"/>
  <c r="M523" i="1"/>
  <c r="U522" i="1"/>
  <c r="U521" i="1" s="1"/>
  <c r="T522" i="1"/>
  <c r="T521" i="1" s="1"/>
  <c r="S522" i="1"/>
  <c r="M522" i="1"/>
  <c r="V522" i="1" s="1"/>
  <c r="W522" i="1" s="1"/>
  <c r="R521" i="1"/>
  <c r="Q521" i="1"/>
  <c r="P521" i="1"/>
  <c r="O521" i="1"/>
  <c r="N521" i="1"/>
  <c r="L521" i="1"/>
  <c r="K521" i="1"/>
  <c r="J521" i="1"/>
  <c r="I521" i="1"/>
  <c r="H521" i="1"/>
  <c r="G521" i="1"/>
  <c r="F521" i="1"/>
  <c r="E521" i="1"/>
  <c r="C521" i="1"/>
  <c r="V520" i="1"/>
  <c r="W520" i="1" s="1"/>
  <c r="V519" i="1"/>
  <c r="U519" i="1"/>
  <c r="U517" i="1" s="1"/>
  <c r="T519" i="1"/>
  <c r="M519" i="1"/>
  <c r="S519" i="1" s="1"/>
  <c r="U518" i="1"/>
  <c r="T518" i="1"/>
  <c r="M518" i="1"/>
  <c r="S518" i="1" s="1"/>
  <c r="T517" i="1"/>
  <c r="R517" i="1"/>
  <c r="Q517" i="1"/>
  <c r="P517" i="1"/>
  <c r="O517" i="1"/>
  <c r="N517" i="1"/>
  <c r="L517" i="1"/>
  <c r="K517" i="1"/>
  <c r="J517" i="1"/>
  <c r="J516" i="1" s="1"/>
  <c r="I517" i="1"/>
  <c r="I516" i="1" s="1"/>
  <c r="H517" i="1"/>
  <c r="G517" i="1"/>
  <c r="F517" i="1"/>
  <c r="E517" i="1"/>
  <c r="C517" i="1"/>
  <c r="C516" i="1" s="1"/>
  <c r="H516" i="1"/>
  <c r="G516" i="1"/>
  <c r="V513" i="1"/>
  <c r="U513" i="1"/>
  <c r="U512" i="1" s="1"/>
  <c r="T513" i="1"/>
  <c r="T512" i="1" s="1"/>
  <c r="S513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C512" i="1"/>
  <c r="V511" i="1"/>
  <c r="W511" i="1" s="1"/>
  <c r="V510" i="1"/>
  <c r="U510" i="1"/>
  <c r="S510" i="1"/>
  <c r="O510" i="1"/>
  <c r="N510" i="1"/>
  <c r="H510" i="1"/>
  <c r="G510" i="1"/>
  <c r="F510" i="1"/>
  <c r="E510" i="1"/>
  <c r="C510" i="1"/>
  <c r="V509" i="1"/>
  <c r="W509" i="1" s="1"/>
  <c r="V508" i="1"/>
  <c r="U508" i="1"/>
  <c r="U507" i="1" s="1"/>
  <c r="T508" i="1"/>
  <c r="T507" i="1" s="1"/>
  <c r="S508" i="1"/>
  <c r="S507" i="1" s="1"/>
  <c r="R507" i="1"/>
  <c r="Q507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C507" i="1"/>
  <c r="C501" i="1" s="1"/>
  <c r="V506" i="1"/>
  <c r="U506" i="1"/>
  <c r="T506" i="1"/>
  <c r="S506" i="1"/>
  <c r="V505" i="1"/>
  <c r="U505" i="1"/>
  <c r="T505" i="1"/>
  <c r="M505" i="1"/>
  <c r="U504" i="1"/>
  <c r="T504" i="1"/>
  <c r="M504" i="1"/>
  <c r="S504" i="1" s="1"/>
  <c r="V503" i="1"/>
  <c r="U503" i="1"/>
  <c r="T503" i="1"/>
  <c r="T502" i="1" s="1"/>
  <c r="S503" i="1"/>
  <c r="R502" i="1"/>
  <c r="Q502" i="1"/>
  <c r="P502" i="1"/>
  <c r="O502" i="1"/>
  <c r="O501" i="1" s="1"/>
  <c r="N502" i="1"/>
  <c r="L502" i="1"/>
  <c r="K502" i="1"/>
  <c r="J502" i="1"/>
  <c r="I502" i="1"/>
  <c r="H502" i="1"/>
  <c r="G502" i="1"/>
  <c r="G501" i="1" s="1"/>
  <c r="F502" i="1"/>
  <c r="E502" i="1"/>
  <c r="C502" i="1"/>
  <c r="R501" i="1"/>
  <c r="F501" i="1"/>
  <c r="V500" i="1"/>
  <c r="U500" i="1"/>
  <c r="T500" i="1"/>
  <c r="S500" i="1"/>
  <c r="V499" i="1"/>
  <c r="U499" i="1"/>
  <c r="T499" i="1"/>
  <c r="S499" i="1"/>
  <c r="V498" i="1"/>
  <c r="U498" i="1"/>
  <c r="T498" i="1"/>
  <c r="S498" i="1"/>
  <c r="W498" i="1" s="1"/>
  <c r="V497" i="1"/>
  <c r="U497" i="1"/>
  <c r="T497" i="1"/>
  <c r="S497" i="1"/>
  <c r="V496" i="1"/>
  <c r="T496" i="1"/>
  <c r="R496" i="1"/>
  <c r="Q496" i="1"/>
  <c r="P496" i="1"/>
  <c r="O496" i="1"/>
  <c r="N496" i="1"/>
  <c r="M496" i="1"/>
  <c r="L496" i="1"/>
  <c r="K496" i="1"/>
  <c r="J496" i="1"/>
  <c r="I496" i="1"/>
  <c r="I488" i="1" s="1"/>
  <c r="H496" i="1"/>
  <c r="G496" i="1"/>
  <c r="F496" i="1"/>
  <c r="E496" i="1"/>
  <c r="C496" i="1"/>
  <c r="V495" i="1"/>
  <c r="W495" i="1" s="1"/>
  <c r="V494" i="1"/>
  <c r="W494" i="1" s="1"/>
  <c r="V493" i="1"/>
  <c r="W493" i="1" s="1"/>
  <c r="V492" i="1"/>
  <c r="U492" i="1"/>
  <c r="S492" i="1"/>
  <c r="W492" i="1" s="1"/>
  <c r="O492" i="1"/>
  <c r="N492" i="1"/>
  <c r="H492" i="1"/>
  <c r="G492" i="1"/>
  <c r="F492" i="1"/>
  <c r="E492" i="1"/>
  <c r="C492" i="1"/>
  <c r="V491" i="1"/>
  <c r="W491" i="1" s="1"/>
  <c r="U491" i="1"/>
  <c r="U489" i="1" s="1"/>
  <c r="T491" i="1"/>
  <c r="S491" i="1"/>
  <c r="V490" i="1"/>
  <c r="W490" i="1" s="1"/>
  <c r="T489" i="1"/>
  <c r="S489" i="1"/>
  <c r="R489" i="1"/>
  <c r="R488" i="1" s="1"/>
  <c r="R487" i="1" s="1"/>
  <c r="R486" i="1" s="1"/>
  <c r="Q489" i="1"/>
  <c r="Q488" i="1" s="1"/>
  <c r="P489" i="1"/>
  <c r="P488" i="1" s="1"/>
  <c r="O489" i="1"/>
  <c r="N489" i="1"/>
  <c r="M489" i="1"/>
  <c r="L489" i="1"/>
  <c r="K489" i="1"/>
  <c r="K488" i="1" s="1"/>
  <c r="J489" i="1"/>
  <c r="J488" i="1" s="1"/>
  <c r="I489" i="1"/>
  <c r="H489" i="1"/>
  <c r="G489" i="1"/>
  <c r="F489" i="1"/>
  <c r="F488" i="1" s="1"/>
  <c r="F487" i="1" s="1"/>
  <c r="F486" i="1" s="1"/>
  <c r="E489" i="1"/>
  <c r="E488" i="1" s="1"/>
  <c r="C489" i="1"/>
  <c r="C488" i="1" s="1"/>
  <c r="M488" i="1"/>
  <c r="L488" i="1"/>
  <c r="G488" i="1"/>
  <c r="V485" i="1"/>
  <c r="W485" i="1" s="1"/>
  <c r="V484" i="1"/>
  <c r="U484" i="1"/>
  <c r="S484" i="1"/>
  <c r="O484" i="1"/>
  <c r="N484" i="1"/>
  <c r="H484" i="1"/>
  <c r="G484" i="1"/>
  <c r="F484" i="1"/>
  <c r="E484" i="1"/>
  <c r="C484" i="1"/>
  <c r="U483" i="1"/>
  <c r="T483" i="1"/>
  <c r="T482" i="1" s="1"/>
  <c r="M483" i="1"/>
  <c r="V483" i="1" s="1"/>
  <c r="U482" i="1"/>
  <c r="R482" i="1"/>
  <c r="Q482" i="1"/>
  <c r="P482" i="1"/>
  <c r="O482" i="1"/>
  <c r="N482" i="1"/>
  <c r="L482" i="1"/>
  <c r="K482" i="1"/>
  <c r="J482" i="1"/>
  <c r="I482" i="1"/>
  <c r="H482" i="1"/>
  <c r="G482" i="1"/>
  <c r="G474" i="1" s="1"/>
  <c r="F482" i="1"/>
  <c r="E482" i="1"/>
  <c r="C482" i="1"/>
  <c r="V481" i="1"/>
  <c r="W481" i="1" s="1"/>
  <c r="V480" i="1"/>
  <c r="W480" i="1" s="1"/>
  <c r="U480" i="1"/>
  <c r="S480" i="1"/>
  <c r="O480" i="1"/>
  <c r="N480" i="1"/>
  <c r="H480" i="1"/>
  <c r="G480" i="1"/>
  <c r="F480" i="1"/>
  <c r="E480" i="1"/>
  <c r="C480" i="1"/>
  <c r="V479" i="1"/>
  <c r="W479" i="1" s="1"/>
  <c r="U478" i="1"/>
  <c r="T478" i="1"/>
  <c r="M478" i="1"/>
  <c r="V478" i="1" s="1"/>
  <c r="U477" i="1"/>
  <c r="T477" i="1"/>
  <c r="M477" i="1"/>
  <c r="U476" i="1"/>
  <c r="U475" i="1" s="1"/>
  <c r="U474" i="1" s="1"/>
  <c r="T476" i="1"/>
  <c r="T475" i="1" s="1"/>
  <c r="T474" i="1" s="1"/>
  <c r="M476" i="1"/>
  <c r="V476" i="1" s="1"/>
  <c r="W476" i="1" s="1"/>
  <c r="R475" i="1"/>
  <c r="R474" i="1" s="1"/>
  <c r="Q475" i="1"/>
  <c r="Q474" i="1" s="1"/>
  <c r="P475" i="1"/>
  <c r="O475" i="1"/>
  <c r="N475" i="1"/>
  <c r="L475" i="1"/>
  <c r="L474" i="1" s="1"/>
  <c r="K475" i="1"/>
  <c r="K474" i="1" s="1"/>
  <c r="J475" i="1"/>
  <c r="I475" i="1"/>
  <c r="H475" i="1"/>
  <c r="H474" i="1" s="1"/>
  <c r="G475" i="1"/>
  <c r="F475" i="1"/>
  <c r="F474" i="1" s="1"/>
  <c r="E475" i="1"/>
  <c r="E474" i="1" s="1"/>
  <c r="C475" i="1"/>
  <c r="P474" i="1"/>
  <c r="O474" i="1"/>
  <c r="N474" i="1"/>
  <c r="J474" i="1"/>
  <c r="C474" i="1"/>
  <c r="V473" i="1"/>
  <c r="W473" i="1" s="1"/>
  <c r="U473" i="1"/>
  <c r="U472" i="1" s="1"/>
  <c r="U471" i="1" s="1"/>
  <c r="T473" i="1"/>
  <c r="T472" i="1" s="1"/>
  <c r="T471" i="1" s="1"/>
  <c r="S472" i="1"/>
  <c r="R472" i="1"/>
  <c r="Q472" i="1"/>
  <c r="P472" i="1"/>
  <c r="O472" i="1"/>
  <c r="N472" i="1"/>
  <c r="N471" i="1" s="1"/>
  <c r="M472" i="1"/>
  <c r="L472" i="1"/>
  <c r="L471" i="1" s="1"/>
  <c r="K472" i="1"/>
  <c r="J472" i="1"/>
  <c r="I472" i="1"/>
  <c r="H472" i="1"/>
  <c r="H471" i="1" s="1"/>
  <c r="G472" i="1"/>
  <c r="G471" i="1" s="1"/>
  <c r="F472" i="1"/>
  <c r="E472" i="1"/>
  <c r="C472" i="1"/>
  <c r="C471" i="1" s="1"/>
  <c r="R471" i="1"/>
  <c r="Q471" i="1"/>
  <c r="P471" i="1"/>
  <c r="O471" i="1"/>
  <c r="K471" i="1"/>
  <c r="J471" i="1"/>
  <c r="I471" i="1"/>
  <c r="F471" i="1"/>
  <c r="E471" i="1"/>
  <c r="V470" i="1"/>
  <c r="W470" i="1" s="1"/>
  <c r="U470" i="1"/>
  <c r="T470" i="1"/>
  <c r="U469" i="1"/>
  <c r="T469" i="1"/>
  <c r="S469" i="1"/>
  <c r="R469" i="1"/>
  <c r="Q469" i="1"/>
  <c r="P469" i="1"/>
  <c r="V469" i="1" s="1"/>
  <c r="O469" i="1"/>
  <c r="N469" i="1"/>
  <c r="M469" i="1"/>
  <c r="L469" i="1"/>
  <c r="K469" i="1"/>
  <c r="J469" i="1"/>
  <c r="I469" i="1"/>
  <c r="H469" i="1"/>
  <c r="G469" i="1"/>
  <c r="F469" i="1"/>
  <c r="E469" i="1"/>
  <c r="C469" i="1"/>
  <c r="U468" i="1"/>
  <c r="T468" i="1"/>
  <c r="M468" i="1"/>
  <c r="V468" i="1" s="1"/>
  <c r="W468" i="1" s="1"/>
  <c r="U467" i="1"/>
  <c r="T467" i="1"/>
  <c r="M467" i="1"/>
  <c r="V467" i="1" s="1"/>
  <c r="W467" i="1" s="1"/>
  <c r="V466" i="1"/>
  <c r="W466" i="1" s="1"/>
  <c r="U466" i="1"/>
  <c r="T466" i="1"/>
  <c r="M466" i="1"/>
  <c r="U465" i="1"/>
  <c r="T465" i="1"/>
  <c r="M465" i="1"/>
  <c r="V465" i="1" s="1"/>
  <c r="W465" i="1" s="1"/>
  <c r="U464" i="1"/>
  <c r="T464" i="1"/>
  <c r="M464" i="1"/>
  <c r="V464" i="1" s="1"/>
  <c r="U463" i="1"/>
  <c r="T463" i="1"/>
  <c r="M463" i="1"/>
  <c r="V463" i="1" s="1"/>
  <c r="W463" i="1" s="1"/>
  <c r="R462" i="1"/>
  <c r="Q462" i="1"/>
  <c r="P462" i="1"/>
  <c r="O462" i="1"/>
  <c r="N462" i="1"/>
  <c r="L462" i="1"/>
  <c r="K462" i="1"/>
  <c r="J462" i="1"/>
  <c r="I462" i="1"/>
  <c r="H462" i="1"/>
  <c r="G462" i="1"/>
  <c r="F462" i="1"/>
  <c r="E462" i="1"/>
  <c r="C462" i="1"/>
  <c r="M461" i="1"/>
  <c r="V461" i="1" s="1"/>
  <c r="W461" i="1" s="1"/>
  <c r="M460" i="1"/>
  <c r="V460" i="1" s="1"/>
  <c r="W460" i="1" s="1"/>
  <c r="M459" i="1"/>
  <c r="V459" i="1" s="1"/>
  <c r="W459" i="1" s="1"/>
  <c r="U458" i="1"/>
  <c r="S458" i="1"/>
  <c r="O458" i="1"/>
  <c r="N458" i="1"/>
  <c r="M458" i="1"/>
  <c r="V458" i="1" s="1"/>
  <c r="W458" i="1" s="1"/>
  <c r="L458" i="1"/>
  <c r="K458" i="1"/>
  <c r="J458" i="1"/>
  <c r="I458" i="1"/>
  <c r="H458" i="1"/>
  <c r="G458" i="1"/>
  <c r="F458" i="1"/>
  <c r="E458" i="1"/>
  <c r="C458" i="1"/>
  <c r="U457" i="1"/>
  <c r="T457" i="1"/>
  <c r="T455" i="1" s="1"/>
  <c r="M457" i="1"/>
  <c r="V457" i="1" s="1"/>
  <c r="W457" i="1" s="1"/>
  <c r="U456" i="1"/>
  <c r="T456" i="1"/>
  <c r="M456" i="1"/>
  <c r="S455" i="1"/>
  <c r="R455" i="1"/>
  <c r="Q455" i="1"/>
  <c r="P455" i="1"/>
  <c r="O455" i="1"/>
  <c r="O454" i="1" s="1"/>
  <c r="N455" i="1"/>
  <c r="N454" i="1" s="1"/>
  <c r="N453" i="1" s="1"/>
  <c r="N452" i="1" s="1"/>
  <c r="L455" i="1"/>
  <c r="K455" i="1"/>
  <c r="K454" i="1" s="1"/>
  <c r="K453" i="1" s="1"/>
  <c r="K452" i="1" s="1"/>
  <c r="J455" i="1"/>
  <c r="I455" i="1"/>
  <c r="H455" i="1"/>
  <c r="G455" i="1"/>
  <c r="F455" i="1"/>
  <c r="E455" i="1"/>
  <c r="C455" i="1"/>
  <c r="P454" i="1"/>
  <c r="J454" i="1"/>
  <c r="I454" i="1"/>
  <c r="C454" i="1"/>
  <c r="W451" i="1"/>
  <c r="V451" i="1"/>
  <c r="U451" i="1"/>
  <c r="T451" i="1"/>
  <c r="T450" i="1" s="1"/>
  <c r="T449" i="1" s="1"/>
  <c r="M451" i="1"/>
  <c r="S451" i="1" s="1"/>
  <c r="S450" i="1" s="1"/>
  <c r="U450" i="1"/>
  <c r="U449" i="1" s="1"/>
  <c r="R450" i="1"/>
  <c r="Q450" i="1"/>
  <c r="Q449" i="1" s="1"/>
  <c r="P450" i="1"/>
  <c r="P449" i="1" s="1"/>
  <c r="O450" i="1"/>
  <c r="O449" i="1" s="1"/>
  <c r="N450" i="1"/>
  <c r="L450" i="1"/>
  <c r="K450" i="1"/>
  <c r="J450" i="1"/>
  <c r="J449" i="1" s="1"/>
  <c r="I450" i="1"/>
  <c r="I449" i="1" s="1"/>
  <c r="H450" i="1"/>
  <c r="G450" i="1"/>
  <c r="F450" i="1"/>
  <c r="E450" i="1"/>
  <c r="C450" i="1"/>
  <c r="C449" i="1" s="1"/>
  <c r="R449" i="1"/>
  <c r="N449" i="1"/>
  <c r="L449" i="1"/>
  <c r="K449" i="1"/>
  <c r="H449" i="1"/>
  <c r="G449" i="1"/>
  <c r="F449" i="1"/>
  <c r="E449" i="1"/>
  <c r="U448" i="1"/>
  <c r="U447" i="1" s="1"/>
  <c r="T448" i="1"/>
  <c r="M448" i="1"/>
  <c r="V448" i="1" s="1"/>
  <c r="T447" i="1"/>
  <c r="R447" i="1"/>
  <c r="Q447" i="1"/>
  <c r="P447" i="1"/>
  <c r="O447" i="1"/>
  <c r="N447" i="1"/>
  <c r="L447" i="1"/>
  <c r="K447" i="1"/>
  <c r="J447" i="1"/>
  <c r="J429" i="1" s="1"/>
  <c r="J420" i="1" s="1"/>
  <c r="J419" i="1" s="1"/>
  <c r="I447" i="1"/>
  <c r="I429" i="1" s="1"/>
  <c r="H447" i="1"/>
  <c r="G447" i="1"/>
  <c r="F447" i="1"/>
  <c r="E447" i="1"/>
  <c r="C447" i="1"/>
  <c r="V446" i="1"/>
  <c r="W446" i="1" s="1"/>
  <c r="U446" i="1"/>
  <c r="U445" i="1" s="1"/>
  <c r="T446" i="1"/>
  <c r="M446" i="1"/>
  <c r="S446" i="1" s="1"/>
  <c r="T445" i="1"/>
  <c r="S445" i="1"/>
  <c r="R445" i="1"/>
  <c r="Q445" i="1"/>
  <c r="P445" i="1"/>
  <c r="V445" i="1" s="1"/>
  <c r="O445" i="1"/>
  <c r="N445" i="1"/>
  <c r="M445" i="1"/>
  <c r="L445" i="1"/>
  <c r="K445" i="1"/>
  <c r="J445" i="1"/>
  <c r="I445" i="1"/>
  <c r="H445" i="1"/>
  <c r="G445" i="1"/>
  <c r="F445" i="1"/>
  <c r="E445" i="1"/>
  <c r="C445" i="1"/>
  <c r="V444" i="1"/>
  <c r="U444" i="1"/>
  <c r="T444" i="1"/>
  <c r="M444" i="1"/>
  <c r="S444" i="1" s="1"/>
  <c r="U443" i="1"/>
  <c r="T443" i="1"/>
  <c r="M443" i="1"/>
  <c r="W442" i="1"/>
  <c r="V442" i="1"/>
  <c r="U442" i="1"/>
  <c r="T442" i="1"/>
  <c r="M442" i="1"/>
  <c r="S442" i="1" s="1"/>
  <c r="V441" i="1"/>
  <c r="W441" i="1" s="1"/>
  <c r="V440" i="1"/>
  <c r="W440" i="1" s="1"/>
  <c r="U439" i="1"/>
  <c r="T439" i="1"/>
  <c r="R439" i="1"/>
  <c r="Q439" i="1"/>
  <c r="P439" i="1"/>
  <c r="O439" i="1"/>
  <c r="N439" i="1"/>
  <c r="L439" i="1"/>
  <c r="K439" i="1"/>
  <c r="J439" i="1"/>
  <c r="I439" i="1"/>
  <c r="H439" i="1"/>
  <c r="G439" i="1"/>
  <c r="F439" i="1"/>
  <c r="E439" i="1"/>
  <c r="C439" i="1"/>
  <c r="W438" i="1"/>
  <c r="V438" i="1"/>
  <c r="W437" i="1"/>
  <c r="V437" i="1"/>
  <c r="V436" i="1"/>
  <c r="W436" i="1" s="1"/>
  <c r="V435" i="1"/>
  <c r="W435" i="1" s="1"/>
  <c r="V434" i="1"/>
  <c r="W434" i="1" s="1"/>
  <c r="V433" i="1"/>
  <c r="U433" i="1"/>
  <c r="S433" i="1"/>
  <c r="O433" i="1"/>
  <c r="N433" i="1"/>
  <c r="H433" i="1"/>
  <c r="G433" i="1"/>
  <c r="F433" i="1"/>
  <c r="E433" i="1"/>
  <c r="C433" i="1"/>
  <c r="U432" i="1"/>
  <c r="T432" i="1"/>
  <c r="T430" i="1" s="1"/>
  <c r="M432" i="1"/>
  <c r="V432" i="1" s="1"/>
  <c r="U431" i="1"/>
  <c r="T431" i="1"/>
  <c r="S431" i="1"/>
  <c r="M431" i="1"/>
  <c r="V431" i="1" s="1"/>
  <c r="R430" i="1"/>
  <c r="R429" i="1" s="1"/>
  <c r="Q430" i="1"/>
  <c r="Q429" i="1" s="1"/>
  <c r="Q420" i="1" s="1"/>
  <c r="Q419" i="1" s="1"/>
  <c r="P430" i="1"/>
  <c r="O430" i="1"/>
  <c r="O429" i="1" s="1"/>
  <c r="N430" i="1"/>
  <c r="N429" i="1" s="1"/>
  <c r="M430" i="1"/>
  <c r="L430" i="1"/>
  <c r="L429" i="1" s="1"/>
  <c r="K430" i="1"/>
  <c r="J430" i="1"/>
  <c r="I430" i="1"/>
  <c r="H430" i="1"/>
  <c r="G430" i="1"/>
  <c r="G429" i="1" s="1"/>
  <c r="F430" i="1"/>
  <c r="F429" i="1" s="1"/>
  <c r="E430" i="1"/>
  <c r="E429" i="1" s="1"/>
  <c r="C430" i="1"/>
  <c r="P429" i="1"/>
  <c r="P420" i="1" s="1"/>
  <c r="P419" i="1" s="1"/>
  <c r="K429" i="1"/>
  <c r="C429" i="1"/>
  <c r="V428" i="1"/>
  <c r="W428" i="1" s="1"/>
  <c r="W427" i="1"/>
  <c r="V427" i="1"/>
  <c r="V426" i="1"/>
  <c r="W426" i="1" s="1"/>
  <c r="V425" i="1"/>
  <c r="W425" i="1" s="1"/>
  <c r="U425" i="1"/>
  <c r="S425" i="1"/>
  <c r="O425" i="1"/>
  <c r="N425" i="1"/>
  <c r="H425" i="1"/>
  <c r="G425" i="1"/>
  <c r="F425" i="1"/>
  <c r="E425" i="1"/>
  <c r="C425" i="1"/>
  <c r="W424" i="1"/>
  <c r="V424" i="1"/>
  <c r="U423" i="1"/>
  <c r="U422" i="1" s="1"/>
  <c r="U421" i="1" s="1"/>
  <c r="T423" i="1"/>
  <c r="S423" i="1"/>
  <c r="M423" i="1"/>
  <c r="V423" i="1" s="1"/>
  <c r="T422" i="1"/>
  <c r="T421" i="1" s="1"/>
  <c r="R422" i="1"/>
  <c r="R421" i="1" s="1"/>
  <c r="R420" i="1" s="1"/>
  <c r="R419" i="1" s="1"/>
  <c r="Q422" i="1"/>
  <c r="Q421" i="1" s="1"/>
  <c r="P422" i="1"/>
  <c r="O422" i="1"/>
  <c r="N422" i="1"/>
  <c r="L422" i="1"/>
  <c r="L421" i="1" s="1"/>
  <c r="K422" i="1"/>
  <c r="K421" i="1" s="1"/>
  <c r="J422" i="1"/>
  <c r="I422" i="1"/>
  <c r="H422" i="1"/>
  <c r="G422" i="1"/>
  <c r="G421" i="1" s="1"/>
  <c r="F422" i="1"/>
  <c r="F421" i="1" s="1"/>
  <c r="F420" i="1" s="1"/>
  <c r="F419" i="1" s="1"/>
  <c r="E422" i="1"/>
  <c r="E421" i="1" s="1"/>
  <c r="C422" i="1"/>
  <c r="P421" i="1"/>
  <c r="O421" i="1"/>
  <c r="N421" i="1"/>
  <c r="J421" i="1"/>
  <c r="I421" i="1"/>
  <c r="H421" i="1"/>
  <c r="C421" i="1"/>
  <c r="L420" i="1"/>
  <c r="C420" i="1"/>
  <c r="C419" i="1" s="1"/>
  <c r="L419" i="1"/>
  <c r="V418" i="1"/>
  <c r="U418" i="1"/>
  <c r="T418" i="1"/>
  <c r="S418" i="1"/>
  <c r="V417" i="1"/>
  <c r="U417" i="1"/>
  <c r="T417" i="1"/>
  <c r="S417" i="1"/>
  <c r="V416" i="1"/>
  <c r="U416" i="1"/>
  <c r="T416" i="1"/>
  <c r="S416" i="1"/>
  <c r="W415" i="1"/>
  <c r="V415" i="1"/>
  <c r="U414" i="1"/>
  <c r="U413" i="1" s="1"/>
  <c r="T414" i="1"/>
  <c r="T413" i="1" s="1"/>
  <c r="R414" i="1"/>
  <c r="R413" i="1" s="1"/>
  <c r="Q414" i="1"/>
  <c r="P414" i="1"/>
  <c r="V414" i="1" s="1"/>
  <c r="O414" i="1"/>
  <c r="N414" i="1"/>
  <c r="N413" i="1" s="1"/>
  <c r="M414" i="1"/>
  <c r="M413" i="1" s="1"/>
  <c r="L414" i="1"/>
  <c r="L413" i="1" s="1"/>
  <c r="K414" i="1"/>
  <c r="J414" i="1"/>
  <c r="I414" i="1"/>
  <c r="I413" i="1" s="1"/>
  <c r="H414" i="1"/>
  <c r="G414" i="1"/>
  <c r="G413" i="1" s="1"/>
  <c r="F414" i="1"/>
  <c r="F413" i="1" s="1"/>
  <c r="E414" i="1"/>
  <c r="C414" i="1"/>
  <c r="V413" i="1"/>
  <c r="Q413" i="1"/>
  <c r="P413" i="1"/>
  <c r="O413" i="1"/>
  <c r="K413" i="1"/>
  <c r="J413" i="1"/>
  <c r="E413" i="1"/>
  <c r="C413" i="1"/>
  <c r="V412" i="1"/>
  <c r="W412" i="1" s="1"/>
  <c r="V411" i="1"/>
  <c r="U411" i="1"/>
  <c r="S411" i="1"/>
  <c r="W411" i="1" s="1"/>
  <c r="O411" i="1"/>
  <c r="N411" i="1"/>
  <c r="H411" i="1"/>
  <c r="G411" i="1"/>
  <c r="F411" i="1"/>
  <c r="E411" i="1"/>
  <c r="C411" i="1"/>
  <c r="V410" i="1"/>
  <c r="U410" i="1"/>
  <c r="U409" i="1" s="1"/>
  <c r="T410" i="1"/>
  <c r="T409" i="1" s="1"/>
  <c r="S410" i="1"/>
  <c r="V409" i="1"/>
  <c r="R409" i="1"/>
  <c r="Q409" i="1"/>
  <c r="P409" i="1"/>
  <c r="O409" i="1"/>
  <c r="N409" i="1"/>
  <c r="M409" i="1"/>
  <c r="L409" i="1"/>
  <c r="L396" i="1" s="1"/>
  <c r="K409" i="1"/>
  <c r="J409" i="1"/>
  <c r="I409" i="1"/>
  <c r="H409" i="1"/>
  <c r="G409" i="1"/>
  <c r="F409" i="1"/>
  <c r="E409" i="1"/>
  <c r="C409" i="1"/>
  <c r="V408" i="1"/>
  <c r="U408" i="1"/>
  <c r="T408" i="1"/>
  <c r="S408" i="1"/>
  <c r="W408" i="1" s="1"/>
  <c r="V407" i="1"/>
  <c r="U407" i="1"/>
  <c r="T407" i="1"/>
  <c r="S407" i="1"/>
  <c r="W407" i="1" s="1"/>
  <c r="V406" i="1"/>
  <c r="W406" i="1" s="1"/>
  <c r="U406" i="1"/>
  <c r="T406" i="1"/>
  <c r="T405" i="1" s="1"/>
  <c r="S406" i="1"/>
  <c r="V405" i="1"/>
  <c r="U405" i="1"/>
  <c r="R405" i="1"/>
  <c r="R396" i="1" s="1"/>
  <c r="Q405" i="1"/>
  <c r="P405" i="1"/>
  <c r="O405" i="1"/>
  <c r="N405" i="1"/>
  <c r="M405" i="1"/>
  <c r="L405" i="1"/>
  <c r="K405" i="1"/>
  <c r="K395" i="1" s="1"/>
  <c r="K394" i="1" s="1"/>
  <c r="J405" i="1"/>
  <c r="J395" i="1" s="1"/>
  <c r="J394" i="1" s="1"/>
  <c r="I405" i="1"/>
  <c r="H405" i="1"/>
  <c r="G405" i="1"/>
  <c r="F405" i="1"/>
  <c r="E405" i="1"/>
  <c r="E395" i="1" s="1"/>
  <c r="E394" i="1" s="1"/>
  <c r="C405" i="1"/>
  <c r="V404" i="1"/>
  <c r="U404" i="1"/>
  <c r="T404" i="1"/>
  <c r="S404" i="1"/>
  <c r="W404" i="1" s="1"/>
  <c r="V403" i="1"/>
  <c r="W403" i="1" s="1"/>
  <c r="S403" i="1"/>
  <c r="V402" i="1"/>
  <c r="S402" i="1"/>
  <c r="V401" i="1"/>
  <c r="W401" i="1" s="1"/>
  <c r="U401" i="1"/>
  <c r="T401" i="1"/>
  <c r="S401" i="1"/>
  <c r="V400" i="1"/>
  <c r="W400" i="1" s="1"/>
  <c r="U400" i="1"/>
  <c r="T400" i="1"/>
  <c r="S400" i="1"/>
  <c r="V399" i="1"/>
  <c r="U399" i="1"/>
  <c r="T399" i="1"/>
  <c r="R399" i="1"/>
  <c r="Q399" i="1"/>
  <c r="P399" i="1"/>
  <c r="O399" i="1"/>
  <c r="N399" i="1"/>
  <c r="N396" i="1" s="1"/>
  <c r="M399" i="1"/>
  <c r="L399" i="1"/>
  <c r="K399" i="1"/>
  <c r="J399" i="1"/>
  <c r="I399" i="1"/>
  <c r="H399" i="1"/>
  <c r="G399" i="1"/>
  <c r="F399" i="1"/>
  <c r="E399" i="1"/>
  <c r="C399" i="1"/>
  <c r="V398" i="1"/>
  <c r="U398" i="1"/>
  <c r="T398" i="1"/>
  <c r="S398" i="1"/>
  <c r="S397" i="1" s="1"/>
  <c r="V397" i="1"/>
  <c r="U397" i="1"/>
  <c r="U396" i="1" s="1"/>
  <c r="T397" i="1"/>
  <c r="R397" i="1"/>
  <c r="Q397" i="1"/>
  <c r="P397" i="1"/>
  <c r="P396" i="1" s="1"/>
  <c r="O397" i="1"/>
  <c r="O396" i="1" s="1"/>
  <c r="N397" i="1"/>
  <c r="M397" i="1"/>
  <c r="L397" i="1"/>
  <c r="K397" i="1"/>
  <c r="J397" i="1"/>
  <c r="I397" i="1"/>
  <c r="I396" i="1" s="1"/>
  <c r="H397" i="1"/>
  <c r="G397" i="1"/>
  <c r="F397" i="1"/>
  <c r="E397" i="1"/>
  <c r="C397" i="1"/>
  <c r="C396" i="1" s="1"/>
  <c r="M396" i="1"/>
  <c r="H396" i="1"/>
  <c r="G396" i="1"/>
  <c r="U395" i="1"/>
  <c r="U394" i="1" s="1"/>
  <c r="M395" i="1"/>
  <c r="V395" i="1" s="1"/>
  <c r="R394" i="1"/>
  <c r="Q394" i="1"/>
  <c r="P394" i="1"/>
  <c r="V394" i="1" s="1"/>
  <c r="M394" i="1"/>
  <c r="V393" i="1"/>
  <c r="W393" i="1" s="1"/>
  <c r="U393" i="1"/>
  <c r="T393" i="1"/>
  <c r="S393" i="1"/>
  <c r="U392" i="1"/>
  <c r="U391" i="1" s="1"/>
  <c r="U390" i="1" s="1"/>
  <c r="T392" i="1"/>
  <c r="T391" i="1" s="1"/>
  <c r="T390" i="1" s="1"/>
  <c r="S392" i="1"/>
  <c r="R392" i="1"/>
  <c r="R391" i="1" s="1"/>
  <c r="R390" i="1" s="1"/>
  <c r="Q392" i="1"/>
  <c r="P392" i="1"/>
  <c r="P391" i="1" s="1"/>
  <c r="O392" i="1"/>
  <c r="O391" i="1" s="1"/>
  <c r="O390" i="1" s="1"/>
  <c r="N392" i="1"/>
  <c r="N391" i="1" s="1"/>
  <c r="N390" i="1" s="1"/>
  <c r="M392" i="1"/>
  <c r="M391" i="1" s="1"/>
  <c r="L392" i="1"/>
  <c r="K392" i="1"/>
  <c r="J392" i="1"/>
  <c r="J391" i="1" s="1"/>
  <c r="J390" i="1" s="1"/>
  <c r="I392" i="1"/>
  <c r="I391" i="1" s="1"/>
  <c r="I390" i="1" s="1"/>
  <c r="H392" i="1"/>
  <c r="H391" i="1" s="1"/>
  <c r="H390" i="1" s="1"/>
  <c r="G392" i="1"/>
  <c r="G391" i="1" s="1"/>
  <c r="F392" i="1"/>
  <c r="F391" i="1" s="1"/>
  <c r="F390" i="1" s="1"/>
  <c r="E392" i="1"/>
  <c r="C392" i="1"/>
  <c r="Q391" i="1"/>
  <c r="Q390" i="1" s="1"/>
  <c r="L391" i="1"/>
  <c r="K391" i="1"/>
  <c r="K390" i="1" s="1"/>
  <c r="E391" i="1"/>
  <c r="E390" i="1" s="1"/>
  <c r="C391" i="1"/>
  <c r="C390" i="1" s="1"/>
  <c r="M390" i="1"/>
  <c r="L390" i="1"/>
  <c r="G390" i="1"/>
  <c r="V389" i="1"/>
  <c r="U389" i="1"/>
  <c r="T389" i="1"/>
  <c r="S389" i="1"/>
  <c r="U388" i="1"/>
  <c r="T388" i="1"/>
  <c r="S388" i="1"/>
  <c r="M388" i="1"/>
  <c r="V388" i="1" s="1"/>
  <c r="U387" i="1"/>
  <c r="T387" i="1"/>
  <c r="R387" i="1"/>
  <c r="Q387" i="1"/>
  <c r="P387" i="1"/>
  <c r="V387" i="1" s="1"/>
  <c r="O387" i="1"/>
  <c r="N387" i="1"/>
  <c r="M387" i="1"/>
  <c r="L387" i="1"/>
  <c r="K387" i="1"/>
  <c r="J387" i="1"/>
  <c r="I387" i="1"/>
  <c r="H387" i="1"/>
  <c r="G387" i="1"/>
  <c r="G371" i="1" s="1"/>
  <c r="G367" i="1" s="1"/>
  <c r="F387" i="1"/>
  <c r="E387" i="1"/>
  <c r="C387" i="1"/>
  <c r="V386" i="1"/>
  <c r="U386" i="1"/>
  <c r="T386" i="1"/>
  <c r="T385" i="1" s="1"/>
  <c r="M386" i="1"/>
  <c r="S386" i="1" s="1"/>
  <c r="U385" i="1"/>
  <c r="R385" i="1"/>
  <c r="Q385" i="1"/>
  <c r="P385" i="1"/>
  <c r="O385" i="1"/>
  <c r="N385" i="1"/>
  <c r="L385" i="1"/>
  <c r="K385" i="1"/>
  <c r="J385" i="1"/>
  <c r="I385" i="1"/>
  <c r="H385" i="1"/>
  <c r="G385" i="1"/>
  <c r="F385" i="1"/>
  <c r="E385" i="1"/>
  <c r="C385" i="1"/>
  <c r="U384" i="1"/>
  <c r="U378" i="1" s="1"/>
  <c r="T384" i="1"/>
  <c r="M384" i="1"/>
  <c r="V384" i="1" s="1"/>
  <c r="V383" i="1"/>
  <c r="U383" i="1"/>
  <c r="T383" i="1"/>
  <c r="S383" i="1"/>
  <c r="W383" i="1" s="1"/>
  <c r="U382" i="1"/>
  <c r="T382" i="1"/>
  <c r="M382" i="1"/>
  <c r="V381" i="1"/>
  <c r="U381" i="1"/>
  <c r="T381" i="1"/>
  <c r="M381" i="1"/>
  <c r="S381" i="1" s="1"/>
  <c r="U380" i="1"/>
  <c r="T380" i="1"/>
  <c r="M380" i="1"/>
  <c r="V379" i="1"/>
  <c r="W379" i="1" s="1"/>
  <c r="U379" i="1"/>
  <c r="T379" i="1"/>
  <c r="S379" i="1"/>
  <c r="R378" i="1"/>
  <c r="Q378" i="1"/>
  <c r="P378" i="1"/>
  <c r="O378" i="1"/>
  <c r="N378" i="1"/>
  <c r="L378" i="1"/>
  <c r="K378" i="1"/>
  <c r="J378" i="1"/>
  <c r="I378" i="1"/>
  <c r="H378" i="1"/>
  <c r="G378" i="1"/>
  <c r="F378" i="1"/>
  <c r="E378" i="1"/>
  <c r="C378" i="1"/>
  <c r="U377" i="1"/>
  <c r="T377" i="1"/>
  <c r="M377" i="1"/>
  <c r="M376" i="1"/>
  <c r="V376" i="1" s="1"/>
  <c r="W376" i="1" s="1"/>
  <c r="U375" i="1"/>
  <c r="T375" i="1"/>
  <c r="M375" i="1"/>
  <c r="S375" i="1" s="1"/>
  <c r="R374" i="1"/>
  <c r="Q374" i="1"/>
  <c r="P374" i="1"/>
  <c r="O374" i="1"/>
  <c r="N374" i="1"/>
  <c r="N371" i="1" s="1"/>
  <c r="L374" i="1"/>
  <c r="K374" i="1"/>
  <c r="J374" i="1"/>
  <c r="I374" i="1"/>
  <c r="H374" i="1"/>
  <c r="G374" i="1"/>
  <c r="F374" i="1"/>
  <c r="E374" i="1"/>
  <c r="C374" i="1"/>
  <c r="V373" i="1"/>
  <c r="W373" i="1" s="1"/>
  <c r="U373" i="1"/>
  <c r="T373" i="1"/>
  <c r="T372" i="1" s="1"/>
  <c r="M373" i="1"/>
  <c r="S373" i="1" s="1"/>
  <c r="S372" i="1" s="1"/>
  <c r="U372" i="1"/>
  <c r="R372" i="1"/>
  <c r="Q372" i="1"/>
  <c r="P372" i="1"/>
  <c r="P371" i="1" s="1"/>
  <c r="O372" i="1"/>
  <c r="N372" i="1"/>
  <c r="L372" i="1"/>
  <c r="K372" i="1"/>
  <c r="J372" i="1"/>
  <c r="I372" i="1"/>
  <c r="H372" i="1"/>
  <c r="G372" i="1"/>
  <c r="F372" i="1"/>
  <c r="E372" i="1"/>
  <c r="E371" i="1" s="1"/>
  <c r="C372" i="1"/>
  <c r="R371" i="1"/>
  <c r="L371" i="1"/>
  <c r="D371" i="1"/>
  <c r="W370" i="1"/>
  <c r="V370" i="1"/>
  <c r="U370" i="1"/>
  <c r="T370" i="1"/>
  <c r="M370" i="1"/>
  <c r="S370" i="1" s="1"/>
  <c r="S369" i="1" s="1"/>
  <c r="U369" i="1"/>
  <c r="U368" i="1" s="1"/>
  <c r="T369" i="1"/>
  <c r="T368" i="1" s="1"/>
  <c r="R369" i="1"/>
  <c r="Q369" i="1"/>
  <c r="P369" i="1"/>
  <c r="P368" i="1" s="1"/>
  <c r="O369" i="1"/>
  <c r="O368" i="1" s="1"/>
  <c r="N369" i="1"/>
  <c r="N368" i="1" s="1"/>
  <c r="L369" i="1"/>
  <c r="K369" i="1"/>
  <c r="J369" i="1"/>
  <c r="J368" i="1" s="1"/>
  <c r="I369" i="1"/>
  <c r="I368" i="1" s="1"/>
  <c r="H369" i="1"/>
  <c r="H368" i="1" s="1"/>
  <c r="G369" i="1"/>
  <c r="F369" i="1"/>
  <c r="E369" i="1"/>
  <c r="C369" i="1"/>
  <c r="C368" i="1" s="1"/>
  <c r="R368" i="1"/>
  <c r="Q368" i="1"/>
  <c r="L368" i="1"/>
  <c r="K368" i="1"/>
  <c r="G368" i="1"/>
  <c r="F368" i="1"/>
  <c r="E368" i="1"/>
  <c r="V365" i="1"/>
  <c r="W365" i="1" s="1"/>
  <c r="V364" i="1"/>
  <c r="W364" i="1" s="1"/>
  <c r="V363" i="1"/>
  <c r="W363" i="1" s="1"/>
  <c r="W362" i="1"/>
  <c r="V362" i="1"/>
  <c r="U362" i="1"/>
  <c r="S362" i="1"/>
  <c r="O362" i="1"/>
  <c r="N362" i="1"/>
  <c r="H362" i="1"/>
  <c r="G362" i="1"/>
  <c r="F362" i="1"/>
  <c r="E362" i="1"/>
  <c r="C362" i="1"/>
  <c r="V361" i="1"/>
  <c r="W361" i="1" s="1"/>
  <c r="V360" i="1"/>
  <c r="U360" i="1"/>
  <c r="S360" i="1"/>
  <c r="O360" i="1"/>
  <c r="N360" i="1"/>
  <c r="N354" i="1" s="1"/>
  <c r="N353" i="1" s="1"/>
  <c r="H360" i="1"/>
  <c r="G360" i="1"/>
  <c r="F360" i="1"/>
  <c r="E360" i="1"/>
  <c r="C360" i="1"/>
  <c r="W359" i="1"/>
  <c r="V359" i="1"/>
  <c r="V358" i="1"/>
  <c r="U358" i="1"/>
  <c r="U354" i="1" s="1"/>
  <c r="S358" i="1"/>
  <c r="O358" i="1"/>
  <c r="O354" i="1" s="1"/>
  <c r="O353" i="1" s="1"/>
  <c r="N358" i="1"/>
  <c r="H358" i="1"/>
  <c r="G358" i="1"/>
  <c r="F358" i="1"/>
  <c r="E358" i="1"/>
  <c r="E354" i="1" s="1"/>
  <c r="C358" i="1"/>
  <c r="C354" i="1" s="1"/>
  <c r="C353" i="1" s="1"/>
  <c r="W357" i="1"/>
  <c r="V357" i="1"/>
  <c r="V356" i="1"/>
  <c r="W356" i="1" s="1"/>
  <c r="V355" i="1"/>
  <c r="W355" i="1" s="1"/>
  <c r="U355" i="1"/>
  <c r="S355" i="1"/>
  <c r="O355" i="1"/>
  <c r="N355" i="1"/>
  <c r="H355" i="1"/>
  <c r="H354" i="1" s="1"/>
  <c r="H353" i="1" s="1"/>
  <c r="G355" i="1"/>
  <c r="G354" i="1" s="1"/>
  <c r="G353" i="1" s="1"/>
  <c r="F355" i="1"/>
  <c r="E355" i="1"/>
  <c r="C355" i="1"/>
  <c r="V354" i="1"/>
  <c r="F354" i="1"/>
  <c r="V353" i="1"/>
  <c r="U353" i="1"/>
  <c r="F353" i="1"/>
  <c r="E353" i="1"/>
  <c r="U352" i="1"/>
  <c r="U351" i="1" s="1"/>
  <c r="U347" i="1" s="1"/>
  <c r="T352" i="1"/>
  <c r="T351" i="1" s="1"/>
  <c r="S352" i="1"/>
  <c r="N352" i="1"/>
  <c r="M352" i="1"/>
  <c r="V352" i="1" s="1"/>
  <c r="S351" i="1"/>
  <c r="W351" i="1" s="1"/>
  <c r="R351" i="1"/>
  <c r="Q351" i="1"/>
  <c r="P351" i="1"/>
  <c r="V351" i="1" s="1"/>
  <c r="O351" i="1"/>
  <c r="O347" i="1" s="1"/>
  <c r="N351" i="1"/>
  <c r="N347" i="1" s="1"/>
  <c r="M351" i="1"/>
  <c r="L351" i="1"/>
  <c r="K351" i="1"/>
  <c r="J351" i="1"/>
  <c r="I351" i="1"/>
  <c r="H351" i="1"/>
  <c r="G351" i="1"/>
  <c r="G347" i="1" s="1"/>
  <c r="F351" i="1"/>
  <c r="E351" i="1"/>
  <c r="C351" i="1"/>
  <c r="V350" i="1"/>
  <c r="W350" i="1" s="1"/>
  <c r="U350" i="1"/>
  <c r="T350" i="1"/>
  <c r="T348" i="1" s="1"/>
  <c r="T347" i="1" s="1"/>
  <c r="N350" i="1"/>
  <c r="N348" i="1" s="1"/>
  <c r="M350" i="1"/>
  <c r="S350" i="1" s="1"/>
  <c r="U349" i="1"/>
  <c r="T349" i="1"/>
  <c r="M349" i="1"/>
  <c r="M348" i="1" s="1"/>
  <c r="U348" i="1"/>
  <c r="R348" i="1"/>
  <c r="R347" i="1" s="1"/>
  <c r="Q348" i="1"/>
  <c r="Q347" i="1" s="1"/>
  <c r="P348" i="1"/>
  <c r="O348" i="1"/>
  <c r="L348" i="1"/>
  <c r="K348" i="1"/>
  <c r="K347" i="1" s="1"/>
  <c r="J348" i="1"/>
  <c r="J347" i="1" s="1"/>
  <c r="I348" i="1"/>
  <c r="H348" i="1"/>
  <c r="G348" i="1"/>
  <c r="F348" i="1"/>
  <c r="F347" i="1" s="1"/>
  <c r="E348" i="1"/>
  <c r="E347" i="1" s="1"/>
  <c r="C348" i="1"/>
  <c r="C347" i="1" s="1"/>
  <c r="M347" i="1"/>
  <c r="L347" i="1"/>
  <c r="I347" i="1"/>
  <c r="H347" i="1"/>
  <c r="V346" i="1"/>
  <c r="U346" i="1"/>
  <c r="U345" i="1" s="1"/>
  <c r="U344" i="1" s="1"/>
  <c r="T346" i="1"/>
  <c r="T345" i="1" s="1"/>
  <c r="T344" i="1" s="1"/>
  <c r="M346" i="1"/>
  <c r="S346" i="1" s="1"/>
  <c r="R345" i="1"/>
  <c r="Q345" i="1"/>
  <c r="P345" i="1"/>
  <c r="P344" i="1" s="1"/>
  <c r="O345" i="1"/>
  <c r="O344" i="1" s="1"/>
  <c r="N345" i="1"/>
  <c r="N344" i="1" s="1"/>
  <c r="L345" i="1"/>
  <c r="K345" i="1"/>
  <c r="K344" i="1" s="1"/>
  <c r="J345" i="1"/>
  <c r="J344" i="1" s="1"/>
  <c r="I345" i="1"/>
  <c r="I344" i="1" s="1"/>
  <c r="H345" i="1"/>
  <c r="H344" i="1" s="1"/>
  <c r="G345" i="1"/>
  <c r="G344" i="1" s="1"/>
  <c r="G335" i="1" s="1"/>
  <c r="G334" i="1" s="1"/>
  <c r="F345" i="1"/>
  <c r="E345" i="1"/>
  <c r="C345" i="1"/>
  <c r="C344" i="1" s="1"/>
  <c r="R344" i="1"/>
  <c r="Q344" i="1"/>
  <c r="L344" i="1"/>
  <c r="F344" i="1"/>
  <c r="E344" i="1"/>
  <c r="V343" i="1"/>
  <c r="U343" i="1"/>
  <c r="S343" i="1"/>
  <c r="N343" i="1"/>
  <c r="T343" i="1" s="1"/>
  <c r="M343" i="1"/>
  <c r="U342" i="1"/>
  <c r="U340" i="1" s="1"/>
  <c r="T342" i="1"/>
  <c r="O342" i="1"/>
  <c r="O340" i="1" s="1"/>
  <c r="N342" i="1"/>
  <c r="H342" i="1"/>
  <c r="U341" i="1"/>
  <c r="T341" i="1"/>
  <c r="S341" i="1"/>
  <c r="M341" i="1"/>
  <c r="R340" i="1"/>
  <c r="Q340" i="1"/>
  <c r="P340" i="1"/>
  <c r="L340" i="1"/>
  <c r="L336" i="1" s="1"/>
  <c r="L335" i="1" s="1"/>
  <c r="L334" i="1" s="1"/>
  <c r="K340" i="1"/>
  <c r="K336" i="1" s="1"/>
  <c r="J340" i="1"/>
  <c r="I340" i="1"/>
  <c r="G340" i="1"/>
  <c r="F340" i="1"/>
  <c r="F336" i="1" s="1"/>
  <c r="F335" i="1" s="1"/>
  <c r="F334" i="1" s="1"/>
  <c r="E340" i="1"/>
  <c r="E336" i="1" s="1"/>
  <c r="E335" i="1" s="1"/>
  <c r="E334" i="1" s="1"/>
  <c r="C340" i="1"/>
  <c r="C336" i="1" s="1"/>
  <c r="U339" i="1"/>
  <c r="T339" i="1"/>
  <c r="S339" i="1"/>
  <c r="M339" i="1"/>
  <c r="V339" i="1" s="1"/>
  <c r="V338" i="1"/>
  <c r="U338" i="1"/>
  <c r="S338" i="1"/>
  <c r="N338" i="1"/>
  <c r="T338" i="1" s="1"/>
  <c r="T337" i="1" s="1"/>
  <c r="M338" i="1"/>
  <c r="V337" i="1"/>
  <c r="U337" i="1"/>
  <c r="R337" i="1"/>
  <c r="Q337" i="1"/>
  <c r="P337" i="1"/>
  <c r="O337" i="1"/>
  <c r="O336" i="1" s="1"/>
  <c r="N337" i="1"/>
  <c r="M337" i="1"/>
  <c r="L337" i="1"/>
  <c r="K337" i="1"/>
  <c r="J337" i="1"/>
  <c r="I337" i="1"/>
  <c r="I336" i="1" s="1"/>
  <c r="I335" i="1" s="1"/>
  <c r="I334" i="1" s="1"/>
  <c r="H337" i="1"/>
  <c r="G337" i="1"/>
  <c r="G336" i="1" s="1"/>
  <c r="F337" i="1"/>
  <c r="E337" i="1"/>
  <c r="C337" i="1"/>
  <c r="R336" i="1"/>
  <c r="Q336" i="1"/>
  <c r="P336" i="1"/>
  <c r="J336" i="1"/>
  <c r="J335" i="1" s="1"/>
  <c r="J334" i="1" s="1"/>
  <c r="R335" i="1"/>
  <c r="R334" i="1" s="1"/>
  <c r="V333" i="1"/>
  <c r="W333" i="1" s="1"/>
  <c r="V332" i="1"/>
  <c r="U332" i="1"/>
  <c r="S332" i="1"/>
  <c r="O332" i="1"/>
  <c r="N332" i="1"/>
  <c r="H332" i="1"/>
  <c r="G332" i="1"/>
  <c r="F332" i="1"/>
  <c r="E332" i="1"/>
  <c r="C332" i="1"/>
  <c r="V331" i="1"/>
  <c r="W331" i="1" s="1"/>
  <c r="V330" i="1"/>
  <c r="U330" i="1"/>
  <c r="S330" i="1"/>
  <c r="O330" i="1"/>
  <c r="N330" i="1"/>
  <c r="H330" i="1"/>
  <c r="G330" i="1"/>
  <c r="F330" i="1"/>
  <c r="E330" i="1"/>
  <c r="C330" i="1"/>
  <c r="V329" i="1"/>
  <c r="W329" i="1" s="1"/>
  <c r="V328" i="1"/>
  <c r="U328" i="1"/>
  <c r="S328" i="1"/>
  <c r="O328" i="1"/>
  <c r="N328" i="1"/>
  <c r="H328" i="1"/>
  <c r="G328" i="1"/>
  <c r="F328" i="1"/>
  <c r="E328" i="1"/>
  <c r="C328" i="1"/>
  <c r="V327" i="1"/>
  <c r="W327" i="1" s="1"/>
  <c r="V326" i="1"/>
  <c r="W326" i="1" s="1"/>
  <c r="W325" i="1"/>
  <c r="V325" i="1"/>
  <c r="U325" i="1"/>
  <c r="S325" i="1"/>
  <c r="O325" i="1"/>
  <c r="N325" i="1"/>
  <c r="H325" i="1"/>
  <c r="G325" i="1"/>
  <c r="F325" i="1"/>
  <c r="E325" i="1"/>
  <c r="C325" i="1"/>
  <c r="W324" i="1"/>
  <c r="V324" i="1"/>
  <c r="V323" i="1"/>
  <c r="W323" i="1" s="1"/>
  <c r="V322" i="1"/>
  <c r="W322" i="1" s="1"/>
  <c r="V321" i="1"/>
  <c r="W321" i="1" s="1"/>
  <c r="W320" i="1"/>
  <c r="V320" i="1"/>
  <c r="V319" i="1"/>
  <c r="U319" i="1"/>
  <c r="U312" i="1" s="1"/>
  <c r="S319" i="1"/>
  <c r="O319" i="1"/>
  <c r="N319" i="1"/>
  <c r="H319" i="1"/>
  <c r="G319" i="1"/>
  <c r="F319" i="1"/>
  <c r="F312" i="1" s="1"/>
  <c r="F311" i="1" s="1"/>
  <c r="E319" i="1"/>
  <c r="C319" i="1"/>
  <c r="V318" i="1"/>
  <c r="W318" i="1" s="1"/>
  <c r="V317" i="1"/>
  <c r="W317" i="1" s="1"/>
  <c r="W316" i="1"/>
  <c r="V316" i="1"/>
  <c r="U316" i="1"/>
  <c r="S316" i="1"/>
  <c r="O316" i="1"/>
  <c r="N316" i="1"/>
  <c r="H316" i="1"/>
  <c r="H312" i="1" s="1"/>
  <c r="H311" i="1" s="1"/>
  <c r="G316" i="1"/>
  <c r="F316" i="1"/>
  <c r="E316" i="1"/>
  <c r="C316" i="1"/>
  <c r="V315" i="1"/>
  <c r="W315" i="1" s="1"/>
  <c r="W314" i="1"/>
  <c r="V314" i="1"/>
  <c r="V313" i="1"/>
  <c r="U313" i="1"/>
  <c r="S313" i="1"/>
  <c r="W313" i="1" s="1"/>
  <c r="O313" i="1"/>
  <c r="O312" i="1" s="1"/>
  <c r="O311" i="1" s="1"/>
  <c r="N313" i="1"/>
  <c r="H313" i="1"/>
  <c r="G313" i="1"/>
  <c r="F313" i="1"/>
  <c r="E313" i="1"/>
  <c r="C313" i="1"/>
  <c r="V312" i="1"/>
  <c r="N312" i="1"/>
  <c r="N311" i="1" s="1"/>
  <c r="V311" i="1"/>
  <c r="U311" i="1"/>
  <c r="W310" i="1"/>
  <c r="V310" i="1"/>
  <c r="V309" i="1"/>
  <c r="W309" i="1" s="1"/>
  <c r="V308" i="1"/>
  <c r="W308" i="1" s="1"/>
  <c r="U308" i="1"/>
  <c r="U299" i="1" s="1"/>
  <c r="U298" i="1" s="1"/>
  <c r="S308" i="1"/>
  <c r="O308" i="1"/>
  <c r="N308" i="1"/>
  <c r="H308" i="1"/>
  <c r="G308" i="1"/>
  <c r="F308" i="1"/>
  <c r="E308" i="1"/>
  <c r="C308" i="1"/>
  <c r="V307" i="1"/>
  <c r="W307" i="1" s="1"/>
  <c r="V306" i="1"/>
  <c r="W306" i="1" s="1"/>
  <c r="U306" i="1"/>
  <c r="S306" i="1"/>
  <c r="O306" i="1"/>
  <c r="N306" i="1"/>
  <c r="H306" i="1"/>
  <c r="H299" i="1" s="1"/>
  <c r="H298" i="1" s="1"/>
  <c r="G306" i="1"/>
  <c r="F306" i="1"/>
  <c r="E306" i="1"/>
  <c r="C306" i="1"/>
  <c r="V305" i="1"/>
  <c r="W305" i="1" s="1"/>
  <c r="W304" i="1"/>
  <c r="V304" i="1"/>
  <c r="V303" i="1"/>
  <c r="U303" i="1"/>
  <c r="S303" i="1"/>
  <c r="W303" i="1" s="1"/>
  <c r="O303" i="1"/>
  <c r="O299" i="1" s="1"/>
  <c r="O298" i="1" s="1"/>
  <c r="N303" i="1"/>
  <c r="H303" i="1"/>
  <c r="G303" i="1"/>
  <c r="F303" i="1"/>
  <c r="E303" i="1"/>
  <c r="C303" i="1"/>
  <c r="C299" i="1" s="1"/>
  <c r="C298" i="1" s="1"/>
  <c r="V302" i="1"/>
  <c r="W302" i="1" s="1"/>
  <c r="V301" i="1"/>
  <c r="W301" i="1" s="1"/>
  <c r="W300" i="1"/>
  <c r="V300" i="1"/>
  <c r="U300" i="1"/>
  <c r="S300" i="1"/>
  <c r="O300" i="1"/>
  <c r="N300" i="1"/>
  <c r="N299" i="1" s="1"/>
  <c r="N298" i="1" s="1"/>
  <c r="H300" i="1"/>
  <c r="G300" i="1"/>
  <c r="F300" i="1"/>
  <c r="E300" i="1"/>
  <c r="E299" i="1" s="1"/>
  <c r="C300" i="1"/>
  <c r="V299" i="1"/>
  <c r="G299" i="1"/>
  <c r="G298" i="1" s="1"/>
  <c r="F299" i="1"/>
  <c r="F298" i="1" s="1"/>
  <c r="V298" i="1"/>
  <c r="E298" i="1"/>
  <c r="V297" i="1"/>
  <c r="W297" i="1" s="1"/>
  <c r="V296" i="1"/>
  <c r="W296" i="1" s="1"/>
  <c r="V295" i="1"/>
  <c r="W295" i="1" s="1"/>
  <c r="U295" i="1"/>
  <c r="S295" i="1"/>
  <c r="O295" i="1"/>
  <c r="N295" i="1"/>
  <c r="H295" i="1"/>
  <c r="G295" i="1"/>
  <c r="F295" i="1"/>
  <c r="E295" i="1"/>
  <c r="C295" i="1"/>
  <c r="U294" i="1"/>
  <c r="U293" i="1" s="1"/>
  <c r="U292" i="1" s="1"/>
  <c r="T294" i="1"/>
  <c r="T293" i="1" s="1"/>
  <c r="M294" i="1"/>
  <c r="V294" i="1" s="1"/>
  <c r="R293" i="1"/>
  <c r="Q293" i="1"/>
  <c r="Q292" i="1" s="1"/>
  <c r="Q283" i="1" s="1"/>
  <c r="Q282" i="1" s="1"/>
  <c r="P293" i="1"/>
  <c r="P292" i="1" s="1"/>
  <c r="O293" i="1"/>
  <c r="O292" i="1" s="1"/>
  <c r="N293" i="1"/>
  <c r="N292" i="1" s="1"/>
  <c r="L293" i="1"/>
  <c r="L292" i="1" s="1"/>
  <c r="K293" i="1"/>
  <c r="K292" i="1" s="1"/>
  <c r="J293" i="1"/>
  <c r="J292" i="1" s="1"/>
  <c r="I293" i="1"/>
  <c r="H293" i="1"/>
  <c r="G293" i="1"/>
  <c r="F293" i="1"/>
  <c r="E293" i="1"/>
  <c r="E292" i="1" s="1"/>
  <c r="C293" i="1"/>
  <c r="C292" i="1" s="1"/>
  <c r="T292" i="1"/>
  <c r="R292" i="1"/>
  <c r="I292" i="1"/>
  <c r="H292" i="1"/>
  <c r="G292" i="1"/>
  <c r="F292" i="1"/>
  <c r="U291" i="1"/>
  <c r="T291" i="1"/>
  <c r="M291" i="1"/>
  <c r="V291" i="1" s="1"/>
  <c r="V290" i="1"/>
  <c r="U290" i="1"/>
  <c r="U289" i="1" s="1"/>
  <c r="U288" i="1" s="1"/>
  <c r="U283" i="1" s="1"/>
  <c r="U282" i="1" s="1"/>
  <c r="T290" i="1"/>
  <c r="M290" i="1"/>
  <c r="S290" i="1" s="1"/>
  <c r="T289" i="1"/>
  <c r="T288" i="1" s="1"/>
  <c r="T283" i="1" s="1"/>
  <c r="T282" i="1" s="1"/>
  <c r="R289" i="1"/>
  <c r="R288" i="1" s="1"/>
  <c r="Q289" i="1"/>
  <c r="P289" i="1"/>
  <c r="O289" i="1"/>
  <c r="O288" i="1" s="1"/>
  <c r="N289" i="1"/>
  <c r="N288" i="1" s="1"/>
  <c r="L289" i="1"/>
  <c r="K289" i="1"/>
  <c r="J289" i="1"/>
  <c r="I289" i="1"/>
  <c r="I288" i="1" s="1"/>
  <c r="I283" i="1" s="1"/>
  <c r="I282" i="1" s="1"/>
  <c r="H289" i="1"/>
  <c r="H288" i="1" s="1"/>
  <c r="G289" i="1"/>
  <c r="G288" i="1" s="1"/>
  <c r="F289" i="1"/>
  <c r="F288" i="1" s="1"/>
  <c r="F283" i="1" s="1"/>
  <c r="F282" i="1" s="1"/>
  <c r="E289" i="1"/>
  <c r="C289" i="1"/>
  <c r="C288" i="1" s="1"/>
  <c r="C283" i="1" s="1"/>
  <c r="C282" i="1" s="1"/>
  <c r="Q288" i="1"/>
  <c r="P288" i="1"/>
  <c r="L288" i="1"/>
  <c r="K288" i="1"/>
  <c r="J288" i="1"/>
  <c r="E288" i="1"/>
  <c r="V287" i="1"/>
  <c r="W287" i="1" s="1"/>
  <c r="V286" i="1"/>
  <c r="W286" i="1" s="1"/>
  <c r="V285" i="1"/>
  <c r="W285" i="1" s="1"/>
  <c r="V284" i="1"/>
  <c r="U284" i="1"/>
  <c r="S284" i="1"/>
  <c r="O284" i="1"/>
  <c r="N284" i="1"/>
  <c r="H284" i="1"/>
  <c r="G284" i="1"/>
  <c r="F284" i="1"/>
  <c r="E284" i="1"/>
  <c r="C284" i="1"/>
  <c r="K283" i="1"/>
  <c r="K282" i="1" s="1"/>
  <c r="E283" i="1"/>
  <c r="E282" i="1" s="1"/>
  <c r="V281" i="1"/>
  <c r="U281" i="1"/>
  <c r="U280" i="1" s="1"/>
  <c r="T281" i="1"/>
  <c r="T280" i="1" s="1"/>
  <c r="S281" i="1"/>
  <c r="S280" i="1" s="1"/>
  <c r="M281" i="1"/>
  <c r="V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C280" i="1"/>
  <c r="U279" i="1"/>
  <c r="U278" i="1" s="1"/>
  <c r="T279" i="1"/>
  <c r="T278" i="1" s="1"/>
  <c r="S279" i="1"/>
  <c r="W279" i="1" s="1"/>
  <c r="M279" i="1"/>
  <c r="V279" i="1" s="1"/>
  <c r="C279" i="1"/>
  <c r="C278" i="1" s="1"/>
  <c r="R278" i="1"/>
  <c r="Q278" i="1"/>
  <c r="P278" i="1"/>
  <c r="O278" i="1"/>
  <c r="N278" i="1"/>
  <c r="L278" i="1"/>
  <c r="K278" i="1"/>
  <c r="J278" i="1"/>
  <c r="I278" i="1"/>
  <c r="H278" i="1"/>
  <c r="G278" i="1"/>
  <c r="F278" i="1"/>
  <c r="E278" i="1"/>
  <c r="V277" i="1"/>
  <c r="U277" i="1"/>
  <c r="T277" i="1"/>
  <c r="M277" i="1"/>
  <c r="S277" i="1" s="1"/>
  <c r="V276" i="1"/>
  <c r="U276" i="1"/>
  <c r="S276" i="1"/>
  <c r="W276" i="1" s="1"/>
  <c r="U275" i="1"/>
  <c r="P275" i="1"/>
  <c r="M275" i="1"/>
  <c r="V274" i="1"/>
  <c r="U274" i="1"/>
  <c r="T274" i="1"/>
  <c r="S274" i="1"/>
  <c r="U273" i="1"/>
  <c r="T273" i="1"/>
  <c r="S273" i="1"/>
  <c r="N273" i="1"/>
  <c r="N272" i="1" s="1"/>
  <c r="N271" i="1" s="1"/>
  <c r="H273" i="1"/>
  <c r="M273" i="1" s="1"/>
  <c r="R272" i="1"/>
  <c r="Q272" i="1"/>
  <c r="O272" i="1"/>
  <c r="O271" i="1" s="1"/>
  <c r="L272" i="1"/>
  <c r="K272" i="1"/>
  <c r="J272" i="1"/>
  <c r="I272" i="1"/>
  <c r="I271" i="1" s="1"/>
  <c r="H272" i="1"/>
  <c r="H271" i="1" s="1"/>
  <c r="G272" i="1"/>
  <c r="G271" i="1" s="1"/>
  <c r="F272" i="1"/>
  <c r="F271" i="1" s="1"/>
  <c r="E272" i="1"/>
  <c r="C272" i="1"/>
  <c r="C271" i="1" s="1"/>
  <c r="Q271" i="1"/>
  <c r="L271" i="1"/>
  <c r="K271" i="1"/>
  <c r="J271" i="1"/>
  <c r="E271" i="1"/>
  <c r="V270" i="1"/>
  <c r="W270" i="1" s="1"/>
  <c r="V269" i="1"/>
  <c r="U269" i="1"/>
  <c r="S269" i="1"/>
  <c r="O269" i="1"/>
  <c r="N269" i="1"/>
  <c r="H269" i="1"/>
  <c r="G269" i="1"/>
  <c r="F269" i="1"/>
  <c r="E269" i="1"/>
  <c r="C269" i="1"/>
  <c r="V268" i="1"/>
  <c r="U268" i="1"/>
  <c r="U267" i="1" s="1"/>
  <c r="U266" i="1" s="1"/>
  <c r="T268" i="1"/>
  <c r="T267" i="1" s="1"/>
  <c r="T266" i="1" s="1"/>
  <c r="N268" i="1"/>
  <c r="N267" i="1" s="1"/>
  <c r="N266" i="1" s="1"/>
  <c r="M268" i="1"/>
  <c r="S268" i="1" s="1"/>
  <c r="R267" i="1"/>
  <c r="Q267" i="1"/>
  <c r="Q266" i="1" s="1"/>
  <c r="Q253" i="1" s="1"/>
  <c r="Q252" i="1" s="1"/>
  <c r="P267" i="1"/>
  <c r="P266" i="1" s="1"/>
  <c r="O267" i="1"/>
  <c r="O266" i="1" s="1"/>
  <c r="M267" i="1"/>
  <c r="M266" i="1" s="1"/>
  <c r="L267" i="1"/>
  <c r="K267" i="1"/>
  <c r="K266" i="1" s="1"/>
  <c r="J267" i="1"/>
  <c r="J266" i="1" s="1"/>
  <c r="I267" i="1"/>
  <c r="I266" i="1" s="1"/>
  <c r="H267" i="1"/>
  <c r="H266" i="1" s="1"/>
  <c r="G267" i="1"/>
  <c r="F267" i="1"/>
  <c r="E267" i="1"/>
  <c r="E266" i="1" s="1"/>
  <c r="C267" i="1"/>
  <c r="C266" i="1" s="1"/>
  <c r="AI266" i="1"/>
  <c r="AI268" i="1" s="1"/>
  <c r="R266" i="1"/>
  <c r="L266" i="1"/>
  <c r="G266" i="1"/>
  <c r="F266" i="1"/>
  <c r="V265" i="1"/>
  <c r="U265" i="1"/>
  <c r="T265" i="1"/>
  <c r="M265" i="1"/>
  <c r="S265" i="1" s="1"/>
  <c r="U264" i="1"/>
  <c r="T264" i="1"/>
  <c r="R264" i="1"/>
  <c r="Q264" i="1"/>
  <c r="P264" i="1"/>
  <c r="O264" i="1"/>
  <c r="O254" i="1" s="1"/>
  <c r="O253" i="1" s="1"/>
  <c r="O252" i="1" s="1"/>
  <c r="N264" i="1"/>
  <c r="L264" i="1"/>
  <c r="K264" i="1"/>
  <c r="J264" i="1"/>
  <c r="I264" i="1"/>
  <c r="H264" i="1"/>
  <c r="G264" i="1"/>
  <c r="F264" i="1"/>
  <c r="E264" i="1"/>
  <c r="C264" i="1"/>
  <c r="W263" i="1"/>
  <c r="V263" i="1"/>
  <c r="U262" i="1"/>
  <c r="T262" i="1"/>
  <c r="S262" i="1"/>
  <c r="W262" i="1" s="1"/>
  <c r="M262" i="1"/>
  <c r="V262" i="1" s="1"/>
  <c r="U261" i="1"/>
  <c r="T261" i="1"/>
  <c r="S261" i="1"/>
  <c r="R261" i="1"/>
  <c r="Q261" i="1"/>
  <c r="P261" i="1"/>
  <c r="O261" i="1"/>
  <c r="N261" i="1"/>
  <c r="M261" i="1"/>
  <c r="V261" i="1" s="1"/>
  <c r="L261" i="1"/>
  <c r="K261" i="1"/>
  <c r="J261" i="1"/>
  <c r="I261" i="1"/>
  <c r="H261" i="1"/>
  <c r="G261" i="1"/>
  <c r="F261" i="1"/>
  <c r="F254" i="1" s="1"/>
  <c r="F253" i="1" s="1"/>
  <c r="F252" i="1" s="1"/>
  <c r="E261" i="1"/>
  <c r="C261" i="1"/>
  <c r="U260" i="1"/>
  <c r="U255" i="1" s="1"/>
  <c r="U254" i="1" s="1"/>
  <c r="T260" i="1"/>
  <c r="T255" i="1" s="1"/>
  <c r="T254" i="1" s="1"/>
  <c r="R260" i="1"/>
  <c r="R255" i="1" s="1"/>
  <c r="R254" i="1" s="1"/>
  <c r="Q260" i="1"/>
  <c r="P260" i="1"/>
  <c r="N260" i="1"/>
  <c r="M260" i="1"/>
  <c r="U259" i="1"/>
  <c r="T259" i="1"/>
  <c r="M259" i="1"/>
  <c r="V259" i="1" s="1"/>
  <c r="V258" i="1"/>
  <c r="U258" i="1"/>
  <c r="S258" i="1"/>
  <c r="W258" i="1" s="1"/>
  <c r="U257" i="1"/>
  <c r="T257" i="1"/>
  <c r="N257" i="1"/>
  <c r="M257" i="1"/>
  <c r="S257" i="1" s="1"/>
  <c r="W256" i="1"/>
  <c r="V256" i="1"/>
  <c r="Q255" i="1"/>
  <c r="O255" i="1"/>
  <c r="N255" i="1"/>
  <c r="L255" i="1"/>
  <c r="K255" i="1"/>
  <c r="K254" i="1" s="1"/>
  <c r="J255" i="1"/>
  <c r="I255" i="1"/>
  <c r="H255" i="1"/>
  <c r="G255" i="1"/>
  <c r="F255" i="1"/>
  <c r="E255" i="1"/>
  <c r="C255" i="1"/>
  <c r="Q254" i="1"/>
  <c r="J254" i="1"/>
  <c r="J253" i="1" s="1"/>
  <c r="J252" i="1" s="1"/>
  <c r="I254" i="1"/>
  <c r="E254" i="1"/>
  <c r="E253" i="1" s="1"/>
  <c r="E252" i="1" s="1"/>
  <c r="C254" i="1"/>
  <c r="P251" i="1"/>
  <c r="T251" i="1" s="1"/>
  <c r="T250" i="1" s="1"/>
  <c r="T249" i="1" s="1"/>
  <c r="O251" i="1"/>
  <c r="U251" i="1" s="1"/>
  <c r="U250" i="1" s="1"/>
  <c r="U249" i="1" s="1"/>
  <c r="N251" i="1"/>
  <c r="N250" i="1" s="1"/>
  <c r="N249" i="1" s="1"/>
  <c r="M251" i="1"/>
  <c r="M250" i="1" s="1"/>
  <c r="G251" i="1"/>
  <c r="F251" i="1"/>
  <c r="C251" i="1"/>
  <c r="R250" i="1"/>
  <c r="R249" i="1" s="1"/>
  <c r="Q250" i="1"/>
  <c r="P250" i="1"/>
  <c r="V250" i="1" s="1"/>
  <c r="O250" i="1"/>
  <c r="O249" i="1" s="1"/>
  <c r="L250" i="1"/>
  <c r="K250" i="1"/>
  <c r="K249" i="1" s="1"/>
  <c r="K235" i="1" s="1"/>
  <c r="K234" i="1" s="1"/>
  <c r="J250" i="1"/>
  <c r="J249" i="1" s="1"/>
  <c r="I250" i="1"/>
  <c r="I249" i="1" s="1"/>
  <c r="H250" i="1"/>
  <c r="H249" i="1" s="1"/>
  <c r="G250" i="1"/>
  <c r="G249" i="1" s="1"/>
  <c r="F250" i="1"/>
  <c r="F249" i="1" s="1"/>
  <c r="E250" i="1"/>
  <c r="C250" i="1"/>
  <c r="C249" i="1" s="1"/>
  <c r="Q249" i="1"/>
  <c r="M249" i="1"/>
  <c r="L249" i="1"/>
  <c r="L235" i="1" s="1"/>
  <c r="L234" i="1" s="1"/>
  <c r="E249" i="1"/>
  <c r="V248" i="1"/>
  <c r="W248" i="1" s="1"/>
  <c r="V247" i="1"/>
  <c r="W247" i="1" s="1"/>
  <c r="U247" i="1"/>
  <c r="S247" i="1"/>
  <c r="O247" i="1"/>
  <c r="N247" i="1"/>
  <c r="H247" i="1"/>
  <c r="G247" i="1"/>
  <c r="F247" i="1"/>
  <c r="E247" i="1"/>
  <c r="C247" i="1"/>
  <c r="V246" i="1"/>
  <c r="W246" i="1" s="1"/>
  <c r="V245" i="1"/>
  <c r="W245" i="1" s="1"/>
  <c r="V244" i="1"/>
  <c r="W244" i="1" s="1"/>
  <c r="U243" i="1"/>
  <c r="U242" i="1" s="1"/>
  <c r="T243" i="1"/>
  <c r="T242" i="1" s="1"/>
  <c r="H243" i="1"/>
  <c r="H242" i="1" s="1"/>
  <c r="G243" i="1"/>
  <c r="G242" i="1" s="1"/>
  <c r="F243" i="1"/>
  <c r="F242" i="1" s="1"/>
  <c r="C243" i="1"/>
  <c r="R242" i="1"/>
  <c r="Q242" i="1"/>
  <c r="P242" i="1"/>
  <c r="O242" i="1"/>
  <c r="N242" i="1"/>
  <c r="L242" i="1"/>
  <c r="K242" i="1"/>
  <c r="J242" i="1"/>
  <c r="J239" i="1" s="1"/>
  <c r="I242" i="1"/>
  <c r="E242" i="1"/>
  <c r="C242" i="1"/>
  <c r="U241" i="1"/>
  <c r="T241" i="1"/>
  <c r="M241" i="1"/>
  <c r="U240" i="1"/>
  <c r="U239" i="1" s="1"/>
  <c r="T240" i="1"/>
  <c r="R240" i="1"/>
  <c r="Q240" i="1"/>
  <c r="Q239" i="1" s="1"/>
  <c r="Q235" i="1" s="1"/>
  <c r="Q234" i="1" s="1"/>
  <c r="P240" i="1"/>
  <c r="O240" i="1"/>
  <c r="O239" i="1" s="1"/>
  <c r="N240" i="1"/>
  <c r="N239" i="1" s="1"/>
  <c r="L240" i="1"/>
  <c r="K240" i="1"/>
  <c r="J240" i="1"/>
  <c r="I240" i="1"/>
  <c r="I239" i="1" s="1"/>
  <c r="H240" i="1"/>
  <c r="H239" i="1" s="1"/>
  <c r="G240" i="1"/>
  <c r="F240" i="1"/>
  <c r="E240" i="1"/>
  <c r="C240" i="1"/>
  <c r="T239" i="1"/>
  <c r="L239" i="1"/>
  <c r="K239" i="1"/>
  <c r="E239" i="1"/>
  <c r="C239" i="1"/>
  <c r="U238" i="1"/>
  <c r="U237" i="1" s="1"/>
  <c r="U236" i="1" s="1"/>
  <c r="U235" i="1" s="1"/>
  <c r="U234" i="1" s="1"/>
  <c r="T238" i="1"/>
  <c r="T237" i="1" s="1"/>
  <c r="T236" i="1" s="1"/>
  <c r="T235" i="1" s="1"/>
  <c r="T234" i="1" s="1"/>
  <c r="M238" i="1"/>
  <c r="V238" i="1" s="1"/>
  <c r="R237" i="1"/>
  <c r="R236" i="1" s="1"/>
  <c r="Q237" i="1"/>
  <c r="Q236" i="1" s="1"/>
  <c r="P237" i="1"/>
  <c r="O237" i="1"/>
  <c r="O236" i="1" s="1"/>
  <c r="N237" i="1"/>
  <c r="L237" i="1"/>
  <c r="K237" i="1"/>
  <c r="J237" i="1"/>
  <c r="I237" i="1"/>
  <c r="I236" i="1" s="1"/>
  <c r="I235" i="1" s="1"/>
  <c r="I234" i="1" s="1"/>
  <c r="H237" i="1"/>
  <c r="G237" i="1"/>
  <c r="G236" i="1" s="1"/>
  <c r="F237" i="1"/>
  <c r="E237" i="1"/>
  <c r="E236" i="1" s="1"/>
  <c r="C237" i="1"/>
  <c r="C236" i="1" s="1"/>
  <c r="N236" i="1"/>
  <c r="N235" i="1" s="1"/>
  <c r="N234" i="1" s="1"/>
  <c r="L236" i="1"/>
  <c r="K236" i="1"/>
  <c r="J236" i="1"/>
  <c r="J235" i="1" s="1"/>
  <c r="J234" i="1" s="1"/>
  <c r="H236" i="1"/>
  <c r="H235" i="1" s="1"/>
  <c r="H234" i="1" s="1"/>
  <c r="F236" i="1"/>
  <c r="U233" i="1"/>
  <c r="S233" i="1"/>
  <c r="S232" i="1" s="1"/>
  <c r="U232" i="1"/>
  <c r="U231" i="1" s="1"/>
  <c r="R232" i="1"/>
  <c r="R231" i="1" s="1"/>
  <c r="Q232" i="1"/>
  <c r="Q231" i="1" s="1"/>
  <c r="P232" i="1"/>
  <c r="P231" i="1" s="1"/>
  <c r="V231" i="1" s="1"/>
  <c r="O232" i="1"/>
  <c r="O231" i="1" s="1"/>
  <c r="N232" i="1"/>
  <c r="M232" i="1"/>
  <c r="L232" i="1"/>
  <c r="K232" i="1"/>
  <c r="J232" i="1"/>
  <c r="J231" i="1" s="1"/>
  <c r="I232" i="1"/>
  <c r="I231" i="1" s="1"/>
  <c r="H232" i="1"/>
  <c r="G232" i="1"/>
  <c r="G231" i="1" s="1"/>
  <c r="F232" i="1"/>
  <c r="F231" i="1" s="1"/>
  <c r="E232" i="1"/>
  <c r="E231" i="1" s="1"/>
  <c r="C232" i="1"/>
  <c r="C231" i="1" s="1"/>
  <c r="N231" i="1"/>
  <c r="M231" i="1"/>
  <c r="L231" i="1"/>
  <c r="K231" i="1"/>
  <c r="H231" i="1"/>
  <c r="V230" i="1"/>
  <c r="U230" i="1"/>
  <c r="T230" i="1"/>
  <c r="S230" i="1"/>
  <c r="U229" i="1"/>
  <c r="U227" i="1" s="1"/>
  <c r="U226" i="1" s="1"/>
  <c r="T229" i="1"/>
  <c r="T227" i="1" s="1"/>
  <c r="T226" i="1" s="1"/>
  <c r="S229" i="1"/>
  <c r="V229" i="1"/>
  <c r="V228" i="1"/>
  <c r="W228" i="1" s="1"/>
  <c r="R227" i="1"/>
  <c r="Q227" i="1"/>
  <c r="Q226" i="1" s="1"/>
  <c r="P227" i="1"/>
  <c r="P226" i="1" s="1"/>
  <c r="O227" i="1"/>
  <c r="O226" i="1" s="1"/>
  <c r="N227" i="1"/>
  <c r="M227" i="1"/>
  <c r="L227" i="1"/>
  <c r="K227" i="1"/>
  <c r="J227" i="1"/>
  <c r="J226" i="1" s="1"/>
  <c r="I227" i="1"/>
  <c r="I226" i="1" s="1"/>
  <c r="H227" i="1"/>
  <c r="H226" i="1" s="1"/>
  <c r="G227" i="1"/>
  <c r="G226" i="1" s="1"/>
  <c r="F227" i="1"/>
  <c r="E227" i="1"/>
  <c r="E226" i="1" s="1"/>
  <c r="C227" i="1"/>
  <c r="C226" i="1" s="1"/>
  <c r="R226" i="1"/>
  <c r="N226" i="1"/>
  <c r="M226" i="1"/>
  <c r="L226" i="1"/>
  <c r="K226" i="1"/>
  <c r="F226" i="1"/>
  <c r="V225" i="1"/>
  <c r="U225" i="1"/>
  <c r="U224" i="1" s="1"/>
  <c r="U223" i="1" s="1"/>
  <c r="T225" i="1"/>
  <c r="S225" i="1"/>
  <c r="S224" i="1" s="1"/>
  <c r="T224" i="1"/>
  <c r="T223" i="1" s="1"/>
  <c r="R224" i="1"/>
  <c r="R223" i="1" s="1"/>
  <c r="Q224" i="1"/>
  <c r="Q223" i="1" s="1"/>
  <c r="P224" i="1"/>
  <c r="O224" i="1"/>
  <c r="O223" i="1" s="1"/>
  <c r="N224" i="1"/>
  <c r="N223" i="1" s="1"/>
  <c r="M224" i="1"/>
  <c r="M223" i="1" s="1"/>
  <c r="L224" i="1"/>
  <c r="K224" i="1"/>
  <c r="J224" i="1"/>
  <c r="I224" i="1"/>
  <c r="H224" i="1"/>
  <c r="H223" i="1" s="1"/>
  <c r="P223" i="1"/>
  <c r="V223" i="1" s="1"/>
  <c r="L223" i="1"/>
  <c r="K223" i="1"/>
  <c r="K210" i="1" s="1"/>
  <c r="K209" i="1" s="1"/>
  <c r="J223" i="1"/>
  <c r="I223" i="1"/>
  <c r="V222" i="1"/>
  <c r="U222" i="1"/>
  <c r="T222" i="1"/>
  <c r="S222" i="1"/>
  <c r="W222" i="1" s="1"/>
  <c r="V221" i="1"/>
  <c r="U221" i="1"/>
  <c r="T221" i="1"/>
  <c r="U220" i="1"/>
  <c r="V219" i="1"/>
  <c r="U219" i="1"/>
  <c r="P219" i="1"/>
  <c r="T219" i="1" s="1"/>
  <c r="U218" i="1"/>
  <c r="V217" i="1"/>
  <c r="U217" i="1"/>
  <c r="T217" i="1"/>
  <c r="R216" i="1"/>
  <c r="Q216" i="1"/>
  <c r="Q211" i="1" s="1"/>
  <c r="O216" i="1"/>
  <c r="N216" i="1"/>
  <c r="M216" i="1"/>
  <c r="L216" i="1"/>
  <c r="K216" i="1"/>
  <c r="J216" i="1"/>
  <c r="I216" i="1"/>
  <c r="H216" i="1"/>
  <c r="U215" i="1"/>
  <c r="S215" i="1"/>
  <c r="V215" i="1"/>
  <c r="U214" i="1"/>
  <c r="T214" i="1"/>
  <c r="S214" i="1"/>
  <c r="V214" i="1"/>
  <c r="U213" i="1"/>
  <c r="S213" i="1"/>
  <c r="V213" i="1"/>
  <c r="U212" i="1"/>
  <c r="R212" i="1"/>
  <c r="Q212" i="1"/>
  <c r="O212" i="1"/>
  <c r="N212" i="1"/>
  <c r="M212" i="1"/>
  <c r="M211" i="1" s="1"/>
  <c r="L212" i="1"/>
  <c r="L211" i="1" s="1"/>
  <c r="L210" i="1" s="1"/>
  <c r="L209" i="1" s="1"/>
  <c r="K212" i="1"/>
  <c r="K211" i="1" s="1"/>
  <c r="J212" i="1"/>
  <c r="J211" i="1" s="1"/>
  <c r="I212" i="1"/>
  <c r="H212" i="1"/>
  <c r="H211" i="1" s="1"/>
  <c r="H210" i="1" s="1"/>
  <c r="O211" i="1"/>
  <c r="N211" i="1"/>
  <c r="I211" i="1"/>
  <c r="H209" i="1"/>
  <c r="V208" i="1"/>
  <c r="U208" i="1"/>
  <c r="U207" i="1" s="1"/>
  <c r="U206" i="1" s="1"/>
  <c r="U205" i="1" s="1"/>
  <c r="U204" i="1" s="1"/>
  <c r="T208" i="1"/>
  <c r="S208" i="1"/>
  <c r="T207" i="1"/>
  <c r="T206" i="1" s="1"/>
  <c r="T205" i="1" s="1"/>
  <c r="T204" i="1" s="1"/>
  <c r="S207" i="1"/>
  <c r="R207" i="1"/>
  <c r="Q207" i="1"/>
  <c r="P207" i="1"/>
  <c r="O207" i="1"/>
  <c r="N207" i="1"/>
  <c r="N206" i="1" s="1"/>
  <c r="N205" i="1" s="1"/>
  <c r="M207" i="1"/>
  <c r="M206" i="1" s="1"/>
  <c r="M205" i="1" s="1"/>
  <c r="M204" i="1" s="1"/>
  <c r="L207" i="1"/>
  <c r="L206" i="1" s="1"/>
  <c r="L205" i="1" s="1"/>
  <c r="L204" i="1" s="1"/>
  <c r="K207" i="1"/>
  <c r="K206" i="1" s="1"/>
  <c r="K205" i="1" s="1"/>
  <c r="K204" i="1" s="1"/>
  <c r="J207" i="1"/>
  <c r="I207" i="1"/>
  <c r="I206" i="1" s="1"/>
  <c r="I205" i="1" s="1"/>
  <c r="H207" i="1"/>
  <c r="H206" i="1" s="1"/>
  <c r="H205" i="1" s="1"/>
  <c r="H204" i="1" s="1"/>
  <c r="G207" i="1"/>
  <c r="G206" i="1" s="1"/>
  <c r="G205" i="1" s="1"/>
  <c r="G204" i="1" s="1"/>
  <c r="F207" i="1"/>
  <c r="E207" i="1"/>
  <c r="C207" i="1"/>
  <c r="R206" i="1"/>
  <c r="Q206" i="1"/>
  <c r="Q205" i="1" s="1"/>
  <c r="Q204" i="1" s="1"/>
  <c r="P206" i="1"/>
  <c r="P205" i="1" s="1"/>
  <c r="O206" i="1"/>
  <c r="O205" i="1" s="1"/>
  <c r="O204" i="1" s="1"/>
  <c r="J206" i="1"/>
  <c r="J205" i="1" s="1"/>
  <c r="J204" i="1" s="1"/>
  <c r="F206" i="1"/>
  <c r="F205" i="1" s="1"/>
  <c r="F204" i="1" s="1"/>
  <c r="E206" i="1"/>
  <c r="E205" i="1" s="1"/>
  <c r="E204" i="1" s="1"/>
  <c r="C206" i="1"/>
  <c r="C205" i="1" s="1"/>
  <c r="C204" i="1" s="1"/>
  <c r="R205" i="1"/>
  <c r="R204" i="1" s="1"/>
  <c r="N204" i="1"/>
  <c r="I204" i="1"/>
  <c r="V203" i="1"/>
  <c r="T203" i="1"/>
  <c r="S203" i="1"/>
  <c r="W203" i="1" s="1"/>
  <c r="U202" i="1"/>
  <c r="U201" i="1" s="1"/>
  <c r="T202" i="1"/>
  <c r="T201" i="1" s="1"/>
  <c r="S202" i="1"/>
  <c r="R202" i="1"/>
  <c r="Q202" i="1"/>
  <c r="P202" i="1"/>
  <c r="O202" i="1"/>
  <c r="N202" i="1"/>
  <c r="N201" i="1" s="1"/>
  <c r="M202" i="1"/>
  <c r="M201" i="1" s="1"/>
  <c r="V201" i="1" s="1"/>
  <c r="L202" i="1"/>
  <c r="L201" i="1" s="1"/>
  <c r="K202" i="1"/>
  <c r="K201" i="1" s="1"/>
  <c r="J202" i="1"/>
  <c r="I202" i="1"/>
  <c r="I201" i="1" s="1"/>
  <c r="H202" i="1"/>
  <c r="H201" i="1" s="1"/>
  <c r="G202" i="1"/>
  <c r="G201" i="1" s="1"/>
  <c r="F202" i="1"/>
  <c r="E202" i="1"/>
  <c r="C202" i="1"/>
  <c r="R201" i="1"/>
  <c r="Q201" i="1"/>
  <c r="P201" i="1"/>
  <c r="O201" i="1"/>
  <c r="J201" i="1"/>
  <c r="F201" i="1"/>
  <c r="E201" i="1"/>
  <c r="C201" i="1"/>
  <c r="U200" i="1"/>
  <c r="T200" i="1"/>
  <c r="T197" i="1" s="1"/>
  <c r="M200" i="1"/>
  <c r="H200" i="1"/>
  <c r="U199" i="1"/>
  <c r="T199" i="1"/>
  <c r="M199" i="1"/>
  <c r="V199" i="1" s="1"/>
  <c r="U198" i="1"/>
  <c r="T198" i="1"/>
  <c r="S198" i="1"/>
  <c r="M198" i="1"/>
  <c r="V198" i="1" s="1"/>
  <c r="U197" i="1"/>
  <c r="R197" i="1"/>
  <c r="Q197" i="1"/>
  <c r="P197" i="1"/>
  <c r="P194" i="1" s="1"/>
  <c r="O197" i="1"/>
  <c r="N197" i="1"/>
  <c r="L197" i="1"/>
  <c r="K197" i="1"/>
  <c r="J197" i="1"/>
  <c r="I197" i="1"/>
  <c r="H197" i="1"/>
  <c r="G197" i="1"/>
  <c r="F197" i="1"/>
  <c r="E197" i="1"/>
  <c r="C197" i="1"/>
  <c r="V196" i="1"/>
  <c r="T196" i="1"/>
  <c r="T195" i="1" s="1"/>
  <c r="S196" i="1"/>
  <c r="W196" i="1" s="1"/>
  <c r="U195" i="1"/>
  <c r="S195" i="1"/>
  <c r="R195" i="1"/>
  <c r="Q195" i="1"/>
  <c r="P195" i="1"/>
  <c r="O195" i="1"/>
  <c r="N195" i="1"/>
  <c r="M195" i="1"/>
  <c r="L195" i="1"/>
  <c r="L194" i="1" s="1"/>
  <c r="K195" i="1"/>
  <c r="K194" i="1" s="1"/>
  <c r="J195" i="1"/>
  <c r="J194" i="1" s="1"/>
  <c r="I195" i="1"/>
  <c r="H195" i="1"/>
  <c r="G195" i="1"/>
  <c r="G194" i="1" s="1"/>
  <c r="F195" i="1"/>
  <c r="E195" i="1"/>
  <c r="C195" i="1"/>
  <c r="U194" i="1"/>
  <c r="Q194" i="1"/>
  <c r="O194" i="1"/>
  <c r="N194" i="1"/>
  <c r="I194" i="1"/>
  <c r="E194" i="1"/>
  <c r="C194" i="1"/>
  <c r="V193" i="1"/>
  <c r="W193" i="1" s="1"/>
  <c r="U193" i="1"/>
  <c r="O193" i="1"/>
  <c r="N193" i="1"/>
  <c r="M193" i="1"/>
  <c r="S193" i="1" s="1"/>
  <c r="S192" i="1" s="1"/>
  <c r="E193" i="1"/>
  <c r="E192" i="1" s="1"/>
  <c r="E191" i="1" s="1"/>
  <c r="C193" i="1"/>
  <c r="C192" i="1" s="1"/>
  <c r="C191" i="1" s="1"/>
  <c r="U192" i="1"/>
  <c r="U191" i="1" s="1"/>
  <c r="R192" i="1"/>
  <c r="Q192" i="1"/>
  <c r="P192" i="1"/>
  <c r="O192" i="1"/>
  <c r="O191" i="1" s="1"/>
  <c r="L192" i="1"/>
  <c r="L191" i="1" s="1"/>
  <c r="K192" i="1"/>
  <c r="K191" i="1" s="1"/>
  <c r="J192" i="1"/>
  <c r="J191" i="1" s="1"/>
  <c r="I192" i="1"/>
  <c r="I191" i="1" s="1"/>
  <c r="H192" i="1"/>
  <c r="H191" i="1" s="1"/>
  <c r="G192" i="1"/>
  <c r="G191" i="1" s="1"/>
  <c r="F192" i="1"/>
  <c r="R191" i="1"/>
  <c r="Q191" i="1"/>
  <c r="P191" i="1"/>
  <c r="F191" i="1"/>
  <c r="V190" i="1"/>
  <c r="W190" i="1" s="1"/>
  <c r="V189" i="1"/>
  <c r="W189" i="1" s="1"/>
  <c r="W188" i="1"/>
  <c r="V188" i="1"/>
  <c r="U188" i="1"/>
  <c r="S188" i="1"/>
  <c r="O188" i="1"/>
  <c r="N188" i="1"/>
  <c r="H188" i="1"/>
  <c r="G188" i="1"/>
  <c r="F188" i="1"/>
  <c r="E188" i="1"/>
  <c r="C188" i="1"/>
  <c r="V187" i="1"/>
  <c r="W187" i="1" s="1"/>
  <c r="W186" i="1"/>
  <c r="V186" i="1"/>
  <c r="V185" i="1"/>
  <c r="W185" i="1" s="1"/>
  <c r="V184" i="1"/>
  <c r="W184" i="1" s="1"/>
  <c r="V183" i="1"/>
  <c r="W183" i="1" s="1"/>
  <c r="U183" i="1"/>
  <c r="S183" i="1"/>
  <c r="O183" i="1"/>
  <c r="N183" i="1"/>
  <c r="H183" i="1"/>
  <c r="G183" i="1"/>
  <c r="F183" i="1"/>
  <c r="E183" i="1"/>
  <c r="C183" i="1"/>
  <c r="V182" i="1"/>
  <c r="U182" i="1"/>
  <c r="T182" i="1"/>
  <c r="M182" i="1"/>
  <c r="S182" i="1" s="1"/>
  <c r="V181" i="1"/>
  <c r="U181" i="1"/>
  <c r="S181" i="1"/>
  <c r="W181" i="1" s="1"/>
  <c r="V180" i="1"/>
  <c r="U180" i="1"/>
  <c r="S180" i="1"/>
  <c r="V179" i="1"/>
  <c r="U179" i="1"/>
  <c r="S179" i="1"/>
  <c r="W179" i="1" s="1"/>
  <c r="U178" i="1"/>
  <c r="T178" i="1"/>
  <c r="M178" i="1"/>
  <c r="S178" i="1" s="1"/>
  <c r="V177" i="1"/>
  <c r="U177" i="1"/>
  <c r="U175" i="1" s="1"/>
  <c r="S177" i="1"/>
  <c r="U176" i="1"/>
  <c r="T176" i="1"/>
  <c r="M176" i="1"/>
  <c r="V176" i="1" s="1"/>
  <c r="T175" i="1"/>
  <c r="R175" i="1"/>
  <c r="Q175" i="1"/>
  <c r="P175" i="1"/>
  <c r="O175" i="1"/>
  <c r="N175" i="1"/>
  <c r="L175" i="1"/>
  <c r="K175" i="1"/>
  <c r="J175" i="1"/>
  <c r="I175" i="1"/>
  <c r="H175" i="1"/>
  <c r="G175" i="1"/>
  <c r="F175" i="1"/>
  <c r="E175" i="1"/>
  <c r="C175" i="1"/>
  <c r="V174" i="1"/>
  <c r="U174" i="1"/>
  <c r="U173" i="1" s="1"/>
  <c r="T174" i="1"/>
  <c r="T173" i="1" s="1"/>
  <c r="M174" i="1"/>
  <c r="R173" i="1"/>
  <c r="Q173" i="1"/>
  <c r="P173" i="1"/>
  <c r="O173" i="1"/>
  <c r="N173" i="1"/>
  <c r="L173" i="1"/>
  <c r="K173" i="1"/>
  <c r="K152" i="1" s="1"/>
  <c r="J173" i="1"/>
  <c r="I173" i="1"/>
  <c r="H173" i="1"/>
  <c r="G173" i="1"/>
  <c r="F173" i="1"/>
  <c r="E173" i="1"/>
  <c r="C173" i="1"/>
  <c r="U172" i="1"/>
  <c r="T172" i="1"/>
  <c r="M172" i="1"/>
  <c r="V172" i="1" s="1"/>
  <c r="U171" i="1"/>
  <c r="T171" i="1"/>
  <c r="M171" i="1"/>
  <c r="V171" i="1" s="1"/>
  <c r="U170" i="1"/>
  <c r="T170" i="1"/>
  <c r="M170" i="1"/>
  <c r="V170" i="1" s="1"/>
  <c r="U169" i="1"/>
  <c r="T169" i="1"/>
  <c r="M169" i="1"/>
  <c r="V169" i="1" s="1"/>
  <c r="U168" i="1"/>
  <c r="T168" i="1"/>
  <c r="M168" i="1"/>
  <c r="V168" i="1" s="1"/>
  <c r="U167" i="1"/>
  <c r="T167" i="1"/>
  <c r="M167" i="1"/>
  <c r="V167" i="1" s="1"/>
  <c r="U166" i="1"/>
  <c r="T166" i="1"/>
  <c r="M166" i="1"/>
  <c r="V166" i="1" s="1"/>
  <c r="U165" i="1"/>
  <c r="T165" i="1"/>
  <c r="S165" i="1"/>
  <c r="W165" i="1" s="1"/>
  <c r="M165" i="1"/>
  <c r="V165" i="1" s="1"/>
  <c r="V164" i="1"/>
  <c r="U164" i="1"/>
  <c r="T164" i="1"/>
  <c r="T162" i="1" s="1"/>
  <c r="S164" i="1"/>
  <c r="W164" i="1" s="1"/>
  <c r="W163" i="1"/>
  <c r="V163" i="1"/>
  <c r="R162" i="1"/>
  <c r="Q162" i="1"/>
  <c r="P162" i="1"/>
  <c r="O162" i="1"/>
  <c r="N162" i="1"/>
  <c r="L162" i="1"/>
  <c r="K162" i="1"/>
  <c r="J162" i="1"/>
  <c r="I162" i="1"/>
  <c r="H162" i="1"/>
  <c r="G162" i="1"/>
  <c r="F162" i="1"/>
  <c r="E162" i="1"/>
  <c r="C162" i="1"/>
  <c r="V161" i="1"/>
  <c r="U161" i="1"/>
  <c r="T161" i="1"/>
  <c r="M161" i="1"/>
  <c r="S161" i="1" s="1"/>
  <c r="V160" i="1"/>
  <c r="U160" i="1"/>
  <c r="T160" i="1"/>
  <c r="S160" i="1"/>
  <c r="M160" i="1"/>
  <c r="V159" i="1"/>
  <c r="U159" i="1"/>
  <c r="T159" i="1"/>
  <c r="M159" i="1"/>
  <c r="S159" i="1" s="1"/>
  <c r="W159" i="1" s="1"/>
  <c r="V158" i="1"/>
  <c r="U158" i="1"/>
  <c r="S158" i="1"/>
  <c r="V157" i="1"/>
  <c r="U157" i="1"/>
  <c r="T157" i="1"/>
  <c r="S157" i="1"/>
  <c r="W157" i="1" s="1"/>
  <c r="M157" i="1"/>
  <c r="U156" i="1"/>
  <c r="T156" i="1"/>
  <c r="S156" i="1"/>
  <c r="M156" i="1"/>
  <c r="V156" i="1" s="1"/>
  <c r="T155" i="1"/>
  <c r="R155" i="1"/>
  <c r="Q155" i="1"/>
  <c r="P155" i="1"/>
  <c r="O155" i="1"/>
  <c r="N155" i="1"/>
  <c r="M155" i="1"/>
  <c r="V155" i="1" s="1"/>
  <c r="L155" i="1"/>
  <c r="K155" i="1"/>
  <c r="J155" i="1"/>
  <c r="I155" i="1"/>
  <c r="H155" i="1"/>
  <c r="G155" i="1"/>
  <c r="G152" i="1" s="1"/>
  <c r="F155" i="1"/>
  <c r="E155" i="1"/>
  <c r="C155" i="1"/>
  <c r="V154" i="1"/>
  <c r="U154" i="1"/>
  <c r="T154" i="1"/>
  <c r="T153" i="1" s="1"/>
  <c r="S154" i="1"/>
  <c r="S153" i="1" s="1"/>
  <c r="M154" i="1"/>
  <c r="U153" i="1"/>
  <c r="R153" i="1"/>
  <c r="Q153" i="1"/>
  <c r="P153" i="1"/>
  <c r="O153" i="1"/>
  <c r="N153" i="1"/>
  <c r="N152" i="1" s="1"/>
  <c r="M153" i="1"/>
  <c r="L153" i="1"/>
  <c r="K153" i="1"/>
  <c r="J153" i="1"/>
  <c r="J152" i="1" s="1"/>
  <c r="I153" i="1"/>
  <c r="I152" i="1" s="1"/>
  <c r="H153" i="1"/>
  <c r="G153" i="1"/>
  <c r="F153" i="1"/>
  <c r="E153" i="1"/>
  <c r="C153" i="1"/>
  <c r="C152" i="1" s="1"/>
  <c r="R152" i="1"/>
  <c r="Q152" i="1"/>
  <c r="L152" i="1"/>
  <c r="L151" i="1" s="1"/>
  <c r="L150" i="1" s="1"/>
  <c r="F152" i="1"/>
  <c r="E152" i="1"/>
  <c r="V149" i="1"/>
  <c r="W149" i="1" s="1"/>
  <c r="V148" i="1"/>
  <c r="U148" i="1"/>
  <c r="S148" i="1"/>
  <c r="O148" i="1"/>
  <c r="N148" i="1"/>
  <c r="H148" i="1"/>
  <c r="G148" i="1"/>
  <c r="F148" i="1"/>
  <c r="E148" i="1"/>
  <c r="C148" i="1"/>
  <c r="U147" i="1"/>
  <c r="U146" i="1" s="1"/>
  <c r="T147" i="1"/>
  <c r="T146" i="1" s="1"/>
  <c r="S147" i="1"/>
  <c r="M147" i="1"/>
  <c r="V147" i="1" s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C146" i="1"/>
  <c r="V145" i="1"/>
  <c r="U145" i="1"/>
  <c r="T145" i="1"/>
  <c r="N145" i="1"/>
  <c r="M145" i="1"/>
  <c r="S145" i="1" s="1"/>
  <c r="W145" i="1" s="1"/>
  <c r="V144" i="1"/>
  <c r="U144" i="1"/>
  <c r="U143" i="1" s="1"/>
  <c r="U140" i="1" s="1"/>
  <c r="U137" i="1" s="1"/>
  <c r="U136" i="1" s="1"/>
  <c r="T144" i="1"/>
  <c r="S144" i="1"/>
  <c r="M144" i="1"/>
  <c r="V143" i="1"/>
  <c r="R143" i="1"/>
  <c r="Q143" i="1"/>
  <c r="P143" i="1"/>
  <c r="O143" i="1"/>
  <c r="N143" i="1"/>
  <c r="M143" i="1"/>
  <c r="L143" i="1"/>
  <c r="K143" i="1"/>
  <c r="J143" i="1"/>
  <c r="J140" i="1" s="1"/>
  <c r="I143" i="1"/>
  <c r="H143" i="1"/>
  <c r="G143" i="1"/>
  <c r="F143" i="1"/>
  <c r="E143" i="1"/>
  <c r="C143" i="1"/>
  <c r="U142" i="1"/>
  <c r="U141" i="1" s="1"/>
  <c r="T142" i="1"/>
  <c r="T141" i="1" s="1"/>
  <c r="M142" i="1"/>
  <c r="V142" i="1" s="1"/>
  <c r="R141" i="1"/>
  <c r="R140" i="1" s="1"/>
  <c r="Q141" i="1"/>
  <c r="Q140" i="1" s="1"/>
  <c r="P141" i="1"/>
  <c r="O141" i="1"/>
  <c r="N141" i="1"/>
  <c r="L141" i="1"/>
  <c r="L140" i="1" s="1"/>
  <c r="L137" i="1" s="1"/>
  <c r="L136" i="1" s="1"/>
  <c r="K141" i="1"/>
  <c r="J141" i="1"/>
  <c r="I141" i="1"/>
  <c r="H141" i="1"/>
  <c r="G141" i="1"/>
  <c r="F141" i="1"/>
  <c r="F140" i="1" s="1"/>
  <c r="E141" i="1"/>
  <c r="E140" i="1" s="1"/>
  <c r="E137" i="1" s="1"/>
  <c r="E136" i="1" s="1"/>
  <c r="C141" i="1"/>
  <c r="C140" i="1" s="1"/>
  <c r="N140" i="1"/>
  <c r="N137" i="1" s="1"/>
  <c r="N136" i="1" s="1"/>
  <c r="I140" i="1"/>
  <c r="I137" i="1" s="1"/>
  <c r="I136" i="1" s="1"/>
  <c r="H140" i="1"/>
  <c r="H137" i="1" s="1"/>
  <c r="H136" i="1" s="1"/>
  <c r="G140" i="1"/>
  <c r="G137" i="1" s="1"/>
  <c r="V139" i="1"/>
  <c r="W139" i="1" s="1"/>
  <c r="V138" i="1"/>
  <c r="W138" i="1" s="1"/>
  <c r="U138" i="1"/>
  <c r="S138" i="1"/>
  <c r="O138" i="1"/>
  <c r="N138" i="1"/>
  <c r="H138" i="1"/>
  <c r="G138" i="1"/>
  <c r="F138" i="1"/>
  <c r="E138" i="1"/>
  <c r="C138" i="1"/>
  <c r="R137" i="1"/>
  <c r="R136" i="1" s="1"/>
  <c r="Q137" i="1"/>
  <c r="Q136" i="1" s="1"/>
  <c r="J137" i="1"/>
  <c r="J136" i="1" s="1"/>
  <c r="F137" i="1"/>
  <c r="F136" i="1" s="1"/>
  <c r="C137" i="1"/>
  <c r="C136" i="1" s="1"/>
  <c r="G136" i="1"/>
  <c r="V135" i="1"/>
  <c r="U135" i="1"/>
  <c r="T135" i="1"/>
  <c r="T134" i="1" s="1"/>
  <c r="M135" i="1"/>
  <c r="S135" i="1" s="1"/>
  <c r="U134" i="1"/>
  <c r="R134" i="1"/>
  <c r="Q134" i="1"/>
  <c r="P134" i="1"/>
  <c r="O134" i="1"/>
  <c r="N134" i="1"/>
  <c r="L134" i="1"/>
  <c r="K134" i="1"/>
  <c r="J134" i="1"/>
  <c r="I134" i="1"/>
  <c r="H134" i="1"/>
  <c r="G134" i="1"/>
  <c r="F134" i="1"/>
  <c r="E134" i="1"/>
  <c r="C134" i="1"/>
  <c r="U133" i="1"/>
  <c r="T133" i="1"/>
  <c r="M133" i="1"/>
  <c r="S133" i="1" s="1"/>
  <c r="V132" i="1"/>
  <c r="U132" i="1"/>
  <c r="T132" i="1"/>
  <c r="M132" i="1"/>
  <c r="S132" i="1" s="1"/>
  <c r="U131" i="1"/>
  <c r="T131" i="1"/>
  <c r="M131" i="1"/>
  <c r="S131" i="1" s="1"/>
  <c r="U130" i="1"/>
  <c r="T130" i="1"/>
  <c r="M130" i="1"/>
  <c r="S130" i="1" s="1"/>
  <c r="U129" i="1"/>
  <c r="T129" i="1"/>
  <c r="M129" i="1"/>
  <c r="S129" i="1" s="1"/>
  <c r="U128" i="1"/>
  <c r="T128" i="1"/>
  <c r="M128" i="1"/>
  <c r="V128" i="1" s="1"/>
  <c r="R127" i="1"/>
  <c r="Q127" i="1"/>
  <c r="P127" i="1"/>
  <c r="O127" i="1"/>
  <c r="N127" i="1"/>
  <c r="L127" i="1"/>
  <c r="K127" i="1"/>
  <c r="K116" i="1" s="1"/>
  <c r="K107" i="1" s="1"/>
  <c r="K106" i="1" s="1"/>
  <c r="J127" i="1"/>
  <c r="I127" i="1"/>
  <c r="H127" i="1"/>
  <c r="G127" i="1"/>
  <c r="F127" i="1"/>
  <c r="E127" i="1"/>
  <c r="E116" i="1" s="1"/>
  <c r="E107" i="1" s="1"/>
  <c r="E106" i="1" s="1"/>
  <c r="C127" i="1"/>
  <c r="U126" i="1"/>
  <c r="T126" i="1"/>
  <c r="M126" i="1"/>
  <c r="V126" i="1" s="1"/>
  <c r="U125" i="1"/>
  <c r="T125" i="1"/>
  <c r="S125" i="1"/>
  <c r="W125" i="1" s="1"/>
  <c r="M125" i="1"/>
  <c r="V125" i="1" s="1"/>
  <c r="U124" i="1"/>
  <c r="T124" i="1"/>
  <c r="S124" i="1"/>
  <c r="M124" i="1"/>
  <c r="V124" i="1" s="1"/>
  <c r="U123" i="1"/>
  <c r="T123" i="1"/>
  <c r="M123" i="1"/>
  <c r="V123" i="1" s="1"/>
  <c r="U122" i="1"/>
  <c r="T122" i="1"/>
  <c r="S122" i="1"/>
  <c r="W122" i="1" s="1"/>
  <c r="M122" i="1"/>
  <c r="V122" i="1" s="1"/>
  <c r="R121" i="1"/>
  <c r="Q121" i="1"/>
  <c r="P121" i="1"/>
  <c r="O121" i="1"/>
  <c r="N121" i="1"/>
  <c r="L121" i="1"/>
  <c r="K121" i="1"/>
  <c r="J121" i="1"/>
  <c r="I121" i="1"/>
  <c r="H121" i="1"/>
  <c r="G121" i="1"/>
  <c r="F121" i="1"/>
  <c r="E121" i="1"/>
  <c r="C121" i="1"/>
  <c r="U120" i="1"/>
  <c r="T120" i="1"/>
  <c r="H120" i="1"/>
  <c r="M120" i="1" s="1"/>
  <c r="V119" i="1"/>
  <c r="U119" i="1"/>
  <c r="T119" i="1"/>
  <c r="S119" i="1"/>
  <c r="V118" i="1"/>
  <c r="U118" i="1"/>
  <c r="U117" i="1" s="1"/>
  <c r="T118" i="1"/>
  <c r="M118" i="1"/>
  <c r="S118" i="1" s="1"/>
  <c r="R117" i="1"/>
  <c r="Q117" i="1"/>
  <c r="P117" i="1"/>
  <c r="P116" i="1" s="1"/>
  <c r="O117" i="1"/>
  <c r="N117" i="1"/>
  <c r="L117" i="1"/>
  <c r="K117" i="1"/>
  <c r="J117" i="1"/>
  <c r="I117" i="1"/>
  <c r="H117" i="1"/>
  <c r="H116" i="1" s="1"/>
  <c r="G117" i="1"/>
  <c r="F117" i="1"/>
  <c r="E117" i="1"/>
  <c r="C117" i="1"/>
  <c r="C116" i="1" s="1"/>
  <c r="C107" i="1" s="1"/>
  <c r="C106" i="1" s="1"/>
  <c r="Q116" i="1"/>
  <c r="L116" i="1"/>
  <c r="J116" i="1"/>
  <c r="J107" i="1" s="1"/>
  <c r="J106" i="1" s="1"/>
  <c r="V115" i="1"/>
  <c r="W115" i="1" s="1"/>
  <c r="V114" i="1"/>
  <c r="U114" i="1"/>
  <c r="T114" i="1"/>
  <c r="T112" i="1" s="1"/>
  <c r="T108" i="1" s="1"/>
  <c r="M114" i="1"/>
  <c r="S114" i="1" s="1"/>
  <c r="U113" i="1"/>
  <c r="T113" i="1"/>
  <c r="M113" i="1"/>
  <c r="V113" i="1" s="1"/>
  <c r="U112" i="1"/>
  <c r="R112" i="1"/>
  <c r="Q112" i="1"/>
  <c r="P112" i="1"/>
  <c r="O112" i="1"/>
  <c r="O108" i="1" s="1"/>
  <c r="N112" i="1"/>
  <c r="L112" i="1"/>
  <c r="K112" i="1"/>
  <c r="J112" i="1"/>
  <c r="I112" i="1"/>
  <c r="H112" i="1"/>
  <c r="G112" i="1"/>
  <c r="F112" i="1"/>
  <c r="E112" i="1"/>
  <c r="C112" i="1"/>
  <c r="U111" i="1"/>
  <c r="T111" i="1"/>
  <c r="T109" i="1" s="1"/>
  <c r="M111" i="1"/>
  <c r="S111" i="1" s="1"/>
  <c r="H111" i="1"/>
  <c r="H109" i="1" s="1"/>
  <c r="U110" i="1"/>
  <c r="T110" i="1"/>
  <c r="M110" i="1"/>
  <c r="U109" i="1"/>
  <c r="R109" i="1"/>
  <c r="R108" i="1" s="1"/>
  <c r="Q109" i="1"/>
  <c r="Q108" i="1" s="1"/>
  <c r="P109" i="1"/>
  <c r="O109" i="1"/>
  <c r="N109" i="1"/>
  <c r="L109" i="1"/>
  <c r="L108" i="1" s="1"/>
  <c r="K109" i="1"/>
  <c r="K108" i="1" s="1"/>
  <c r="J109" i="1"/>
  <c r="J108" i="1" s="1"/>
  <c r="I109" i="1"/>
  <c r="G109" i="1"/>
  <c r="F109" i="1"/>
  <c r="F108" i="1" s="1"/>
  <c r="E109" i="1"/>
  <c r="E108" i="1" s="1"/>
  <c r="C109" i="1"/>
  <c r="P108" i="1"/>
  <c r="N108" i="1"/>
  <c r="H108" i="1"/>
  <c r="G108" i="1"/>
  <c r="C108" i="1"/>
  <c r="V105" i="1"/>
  <c r="W105" i="1" s="1"/>
  <c r="V104" i="1"/>
  <c r="U104" i="1"/>
  <c r="S104" i="1"/>
  <c r="O104" i="1"/>
  <c r="N104" i="1"/>
  <c r="H104" i="1"/>
  <c r="G104" i="1"/>
  <c r="F104" i="1"/>
  <c r="E104" i="1"/>
  <c r="C104" i="1"/>
  <c r="U103" i="1"/>
  <c r="U101" i="1" s="1"/>
  <c r="T103" i="1"/>
  <c r="T101" i="1" s="1"/>
  <c r="T100" i="1" s="1"/>
  <c r="S103" i="1"/>
  <c r="N103" i="1"/>
  <c r="N101" i="1" s="1"/>
  <c r="M103" i="1"/>
  <c r="V103" i="1" s="1"/>
  <c r="V102" i="1"/>
  <c r="W102" i="1" s="1"/>
  <c r="R101" i="1"/>
  <c r="R100" i="1" s="1"/>
  <c r="Q101" i="1"/>
  <c r="Q100" i="1" s="1"/>
  <c r="P101" i="1"/>
  <c r="V101" i="1" s="1"/>
  <c r="O101" i="1"/>
  <c r="O100" i="1" s="1"/>
  <c r="M101" i="1"/>
  <c r="L101" i="1"/>
  <c r="L100" i="1" s="1"/>
  <c r="K101" i="1"/>
  <c r="K100" i="1" s="1"/>
  <c r="J101" i="1"/>
  <c r="I101" i="1"/>
  <c r="H101" i="1"/>
  <c r="G101" i="1"/>
  <c r="F101" i="1"/>
  <c r="F100" i="1" s="1"/>
  <c r="E101" i="1"/>
  <c r="E100" i="1" s="1"/>
  <c r="C101" i="1"/>
  <c r="C100" i="1" s="1"/>
  <c r="U100" i="1"/>
  <c r="N100" i="1"/>
  <c r="M100" i="1"/>
  <c r="J100" i="1"/>
  <c r="I100" i="1"/>
  <c r="H100" i="1"/>
  <c r="G100" i="1"/>
  <c r="V99" i="1"/>
  <c r="U99" i="1"/>
  <c r="T99" i="1"/>
  <c r="T98" i="1" s="1"/>
  <c r="S99" i="1"/>
  <c r="S98" i="1" s="1"/>
  <c r="M99" i="1"/>
  <c r="U98" i="1"/>
  <c r="R98" i="1"/>
  <c r="Q98" i="1"/>
  <c r="P98" i="1"/>
  <c r="V98" i="1" s="1"/>
  <c r="O98" i="1"/>
  <c r="N98" i="1"/>
  <c r="M98" i="1"/>
  <c r="L98" i="1"/>
  <c r="K98" i="1"/>
  <c r="J98" i="1"/>
  <c r="I98" i="1"/>
  <c r="H98" i="1"/>
  <c r="G98" i="1"/>
  <c r="F98" i="1"/>
  <c r="E98" i="1"/>
  <c r="C98" i="1"/>
  <c r="U97" i="1"/>
  <c r="U96" i="1" s="1"/>
  <c r="N97" i="1"/>
  <c r="T97" i="1" s="1"/>
  <c r="T96" i="1" s="1"/>
  <c r="M97" i="1"/>
  <c r="V97" i="1" s="1"/>
  <c r="R96" i="1"/>
  <c r="Q96" i="1"/>
  <c r="P96" i="1"/>
  <c r="O96" i="1"/>
  <c r="N96" i="1"/>
  <c r="L96" i="1"/>
  <c r="K96" i="1"/>
  <c r="J96" i="1"/>
  <c r="I96" i="1"/>
  <c r="H96" i="1"/>
  <c r="G96" i="1"/>
  <c r="F96" i="1"/>
  <c r="E96" i="1"/>
  <c r="C96" i="1"/>
  <c r="V95" i="1"/>
  <c r="U95" i="1"/>
  <c r="T95" i="1"/>
  <c r="M95" i="1"/>
  <c r="S95" i="1" s="1"/>
  <c r="U94" i="1"/>
  <c r="T94" i="1"/>
  <c r="M94" i="1"/>
  <c r="V94" i="1" s="1"/>
  <c r="V93" i="1"/>
  <c r="U93" i="1"/>
  <c r="T93" i="1"/>
  <c r="M93" i="1"/>
  <c r="S93" i="1" s="1"/>
  <c r="U92" i="1"/>
  <c r="T92" i="1"/>
  <c r="M92" i="1"/>
  <c r="M90" i="1" s="1"/>
  <c r="V91" i="1"/>
  <c r="U91" i="1"/>
  <c r="T91" i="1"/>
  <c r="N91" i="1"/>
  <c r="N90" i="1" s="1"/>
  <c r="M91" i="1"/>
  <c r="S91" i="1" s="1"/>
  <c r="R90" i="1"/>
  <c r="Q90" i="1"/>
  <c r="Q87" i="1" s="1"/>
  <c r="Q86" i="1" s="1"/>
  <c r="Q85" i="1" s="1"/>
  <c r="P90" i="1"/>
  <c r="V90" i="1" s="1"/>
  <c r="O90" i="1"/>
  <c r="L90" i="1"/>
  <c r="K90" i="1"/>
  <c r="J90" i="1"/>
  <c r="I90" i="1"/>
  <c r="H90" i="1"/>
  <c r="G90" i="1"/>
  <c r="F90" i="1"/>
  <c r="E90" i="1"/>
  <c r="E87" i="1" s="1"/>
  <c r="C90" i="1"/>
  <c r="U89" i="1"/>
  <c r="U88" i="1" s="1"/>
  <c r="N89" i="1"/>
  <c r="M89" i="1"/>
  <c r="M88" i="1" s="1"/>
  <c r="R88" i="1"/>
  <c r="Q88" i="1"/>
  <c r="P88" i="1"/>
  <c r="O88" i="1"/>
  <c r="L88" i="1"/>
  <c r="L87" i="1" s="1"/>
  <c r="L86" i="1" s="1"/>
  <c r="L85" i="1" s="1"/>
  <c r="K88" i="1"/>
  <c r="J88" i="1"/>
  <c r="J87" i="1" s="1"/>
  <c r="J86" i="1" s="1"/>
  <c r="J85" i="1" s="1"/>
  <c r="I88" i="1"/>
  <c r="H88" i="1"/>
  <c r="H87" i="1" s="1"/>
  <c r="H86" i="1" s="1"/>
  <c r="H85" i="1" s="1"/>
  <c r="G88" i="1"/>
  <c r="G87" i="1" s="1"/>
  <c r="G86" i="1" s="1"/>
  <c r="G85" i="1" s="1"/>
  <c r="F88" i="1"/>
  <c r="E88" i="1"/>
  <c r="C88" i="1"/>
  <c r="O87" i="1"/>
  <c r="O86" i="1" s="1"/>
  <c r="O85" i="1" s="1"/>
  <c r="I87" i="1"/>
  <c r="I86" i="1" s="1"/>
  <c r="I85" i="1" s="1"/>
  <c r="C87" i="1"/>
  <c r="C86" i="1" s="1"/>
  <c r="C85" i="1" s="1"/>
  <c r="E86" i="1"/>
  <c r="E85" i="1" s="1"/>
  <c r="U84" i="1"/>
  <c r="U81" i="1" s="1"/>
  <c r="T84" i="1"/>
  <c r="T81" i="1" s="1"/>
  <c r="M84" i="1"/>
  <c r="V84" i="1" s="1"/>
  <c r="V83" i="1"/>
  <c r="W83" i="1" s="1"/>
  <c r="W82" i="1"/>
  <c r="V82" i="1"/>
  <c r="R81" i="1"/>
  <c r="Q81" i="1"/>
  <c r="P81" i="1"/>
  <c r="O81" i="1"/>
  <c r="N81" i="1"/>
  <c r="M81" i="1"/>
  <c r="L81" i="1"/>
  <c r="L78" i="1" s="1"/>
  <c r="K81" i="1"/>
  <c r="J81" i="1"/>
  <c r="I81" i="1"/>
  <c r="H81" i="1"/>
  <c r="G81" i="1"/>
  <c r="F81" i="1"/>
  <c r="E81" i="1"/>
  <c r="C81" i="1"/>
  <c r="V80" i="1"/>
  <c r="U80" i="1"/>
  <c r="T80" i="1"/>
  <c r="T79" i="1" s="1"/>
  <c r="T78" i="1" s="1"/>
  <c r="M80" i="1"/>
  <c r="S80" i="1" s="1"/>
  <c r="U79" i="1"/>
  <c r="R79" i="1"/>
  <c r="R78" i="1" s="1"/>
  <c r="Q79" i="1"/>
  <c r="P79" i="1"/>
  <c r="P78" i="1" s="1"/>
  <c r="O79" i="1"/>
  <c r="O78" i="1" s="1"/>
  <c r="N79" i="1"/>
  <c r="L79" i="1"/>
  <c r="K79" i="1"/>
  <c r="J79" i="1"/>
  <c r="I79" i="1"/>
  <c r="I78" i="1" s="1"/>
  <c r="H79" i="1"/>
  <c r="H78" i="1" s="1"/>
  <c r="G79" i="1"/>
  <c r="F79" i="1"/>
  <c r="F78" i="1" s="1"/>
  <c r="E79" i="1"/>
  <c r="C79" i="1"/>
  <c r="Q78" i="1"/>
  <c r="K78" i="1"/>
  <c r="J78" i="1"/>
  <c r="E78" i="1"/>
  <c r="C78" i="1"/>
  <c r="V77" i="1"/>
  <c r="W77" i="1" s="1"/>
  <c r="V76" i="1"/>
  <c r="U76" i="1"/>
  <c r="T76" i="1"/>
  <c r="T75" i="1" s="1"/>
  <c r="T74" i="1" s="1"/>
  <c r="M76" i="1"/>
  <c r="S76" i="1" s="1"/>
  <c r="U75" i="1"/>
  <c r="U74" i="1" s="1"/>
  <c r="R75" i="1"/>
  <c r="R74" i="1" s="1"/>
  <c r="Q75" i="1"/>
  <c r="P75" i="1"/>
  <c r="P74" i="1" s="1"/>
  <c r="O75" i="1"/>
  <c r="O74" i="1" s="1"/>
  <c r="N75" i="1"/>
  <c r="N74" i="1" s="1"/>
  <c r="L75" i="1"/>
  <c r="K75" i="1"/>
  <c r="J75" i="1"/>
  <c r="I75" i="1"/>
  <c r="I74" i="1" s="1"/>
  <c r="H75" i="1"/>
  <c r="H74" i="1" s="1"/>
  <c r="G75" i="1"/>
  <c r="G74" i="1" s="1"/>
  <c r="F75" i="1"/>
  <c r="F74" i="1" s="1"/>
  <c r="E75" i="1"/>
  <c r="C75" i="1"/>
  <c r="C74" i="1" s="1"/>
  <c r="Q74" i="1"/>
  <c r="L74" i="1"/>
  <c r="K74" i="1"/>
  <c r="J74" i="1"/>
  <c r="E74" i="1"/>
  <c r="U73" i="1"/>
  <c r="T73" i="1"/>
  <c r="T69" i="1" s="1"/>
  <c r="T68" i="1" s="1"/>
  <c r="M73" i="1"/>
  <c r="V73" i="1" s="1"/>
  <c r="U72" i="1"/>
  <c r="T72" i="1"/>
  <c r="M72" i="1"/>
  <c r="V72" i="1" s="1"/>
  <c r="V71" i="1"/>
  <c r="U71" i="1"/>
  <c r="S71" i="1"/>
  <c r="V70" i="1"/>
  <c r="U70" i="1"/>
  <c r="T70" i="1"/>
  <c r="M70" i="1"/>
  <c r="S70" i="1" s="1"/>
  <c r="U69" i="1"/>
  <c r="U68" i="1" s="1"/>
  <c r="R69" i="1"/>
  <c r="R68" i="1" s="1"/>
  <c r="Q69" i="1"/>
  <c r="Q68" i="1" s="1"/>
  <c r="P69" i="1"/>
  <c r="P68" i="1" s="1"/>
  <c r="O69" i="1"/>
  <c r="N69" i="1"/>
  <c r="L69" i="1"/>
  <c r="K69" i="1"/>
  <c r="K68" i="1" s="1"/>
  <c r="J69" i="1"/>
  <c r="J68" i="1" s="1"/>
  <c r="I69" i="1"/>
  <c r="I68" i="1" s="1"/>
  <c r="H69" i="1"/>
  <c r="H68" i="1" s="1"/>
  <c r="G69" i="1"/>
  <c r="F69" i="1"/>
  <c r="F68" i="1" s="1"/>
  <c r="E69" i="1"/>
  <c r="E68" i="1" s="1"/>
  <c r="C69" i="1"/>
  <c r="C68" i="1" s="1"/>
  <c r="O68" i="1"/>
  <c r="N68" i="1"/>
  <c r="L68" i="1"/>
  <c r="G68" i="1"/>
  <c r="U67" i="1"/>
  <c r="T67" i="1"/>
  <c r="M67" i="1"/>
  <c r="S67" i="1" s="1"/>
  <c r="U66" i="1"/>
  <c r="T66" i="1"/>
  <c r="M66" i="1"/>
  <c r="V66" i="1" s="1"/>
  <c r="U65" i="1"/>
  <c r="T65" i="1"/>
  <c r="M65" i="1"/>
  <c r="S65" i="1" s="1"/>
  <c r="U64" i="1"/>
  <c r="T64" i="1"/>
  <c r="M64" i="1"/>
  <c r="V64" i="1" s="1"/>
  <c r="U63" i="1"/>
  <c r="T63" i="1"/>
  <c r="M63" i="1"/>
  <c r="S63" i="1" s="1"/>
  <c r="U62" i="1"/>
  <c r="T62" i="1"/>
  <c r="M62" i="1"/>
  <c r="V62" i="1" s="1"/>
  <c r="U61" i="1"/>
  <c r="T61" i="1"/>
  <c r="M61" i="1"/>
  <c r="S61" i="1" s="1"/>
  <c r="R60" i="1"/>
  <c r="Q60" i="1"/>
  <c r="P60" i="1"/>
  <c r="O60" i="1"/>
  <c r="N60" i="1"/>
  <c r="L60" i="1"/>
  <c r="K60" i="1"/>
  <c r="J60" i="1"/>
  <c r="I60" i="1"/>
  <c r="H60" i="1"/>
  <c r="G60" i="1"/>
  <c r="F60" i="1"/>
  <c r="E60" i="1"/>
  <c r="C60" i="1"/>
  <c r="V59" i="1"/>
  <c r="U59" i="1"/>
  <c r="T59" i="1"/>
  <c r="M59" i="1"/>
  <c r="S59" i="1" s="1"/>
  <c r="S58" i="1" s="1"/>
  <c r="U58" i="1"/>
  <c r="T58" i="1"/>
  <c r="R58" i="1"/>
  <c r="Q58" i="1"/>
  <c r="P58" i="1"/>
  <c r="O58" i="1"/>
  <c r="N58" i="1"/>
  <c r="L58" i="1"/>
  <c r="K58" i="1"/>
  <c r="J58" i="1"/>
  <c r="I58" i="1"/>
  <c r="H58" i="1"/>
  <c r="G58" i="1"/>
  <c r="F58" i="1"/>
  <c r="E58" i="1"/>
  <c r="C58" i="1"/>
  <c r="O57" i="1"/>
  <c r="U57" i="1" s="1"/>
  <c r="N57" i="1"/>
  <c r="T57" i="1" s="1"/>
  <c r="M57" i="1"/>
  <c r="V57" i="1" s="1"/>
  <c r="H57" i="1"/>
  <c r="U56" i="1"/>
  <c r="T56" i="1"/>
  <c r="S56" i="1"/>
  <c r="M56" i="1"/>
  <c r="V56" i="1" s="1"/>
  <c r="W56" i="1" s="1"/>
  <c r="U55" i="1"/>
  <c r="T55" i="1"/>
  <c r="M55" i="1"/>
  <c r="V55" i="1" s="1"/>
  <c r="U54" i="1"/>
  <c r="O54" i="1"/>
  <c r="N54" i="1"/>
  <c r="T54" i="1" s="1"/>
  <c r="H54" i="1"/>
  <c r="H49" i="1" s="1"/>
  <c r="U53" i="1"/>
  <c r="T53" i="1"/>
  <c r="M53" i="1"/>
  <c r="V53" i="1" s="1"/>
  <c r="U52" i="1"/>
  <c r="T52" i="1"/>
  <c r="M52" i="1"/>
  <c r="S52" i="1" s="1"/>
  <c r="T51" i="1"/>
  <c r="O51" i="1"/>
  <c r="U51" i="1" s="1"/>
  <c r="N51" i="1"/>
  <c r="M51" i="1"/>
  <c r="V51" i="1" s="1"/>
  <c r="H51" i="1"/>
  <c r="V50" i="1"/>
  <c r="U50" i="1"/>
  <c r="T50" i="1"/>
  <c r="M50" i="1"/>
  <c r="S50" i="1" s="1"/>
  <c r="R49" i="1"/>
  <c r="Q49" i="1"/>
  <c r="P49" i="1"/>
  <c r="N49" i="1"/>
  <c r="L49" i="1"/>
  <c r="K49" i="1"/>
  <c r="J49" i="1"/>
  <c r="I49" i="1"/>
  <c r="G49" i="1"/>
  <c r="F49" i="1"/>
  <c r="E49" i="1"/>
  <c r="C49" i="1"/>
  <c r="U48" i="1"/>
  <c r="T48" i="1"/>
  <c r="M48" i="1"/>
  <c r="V48" i="1" s="1"/>
  <c r="U47" i="1"/>
  <c r="T47" i="1"/>
  <c r="M47" i="1"/>
  <c r="U46" i="1"/>
  <c r="T46" i="1"/>
  <c r="M46" i="1"/>
  <c r="V46" i="1" s="1"/>
  <c r="O45" i="1"/>
  <c r="U45" i="1" s="1"/>
  <c r="N45" i="1"/>
  <c r="T45" i="1" s="1"/>
  <c r="H45" i="1"/>
  <c r="H42" i="1" s="1"/>
  <c r="U44" i="1"/>
  <c r="T44" i="1"/>
  <c r="N44" i="1"/>
  <c r="N42" i="1" s="1"/>
  <c r="M44" i="1"/>
  <c r="S44" i="1" s="1"/>
  <c r="U43" i="1"/>
  <c r="T43" i="1"/>
  <c r="M43" i="1"/>
  <c r="S43" i="1" s="1"/>
  <c r="R42" i="1"/>
  <c r="Q42" i="1"/>
  <c r="P42" i="1"/>
  <c r="L42" i="1"/>
  <c r="K42" i="1"/>
  <c r="K36" i="1" s="1"/>
  <c r="J42" i="1"/>
  <c r="J36" i="1" s="1"/>
  <c r="I42" i="1"/>
  <c r="G42" i="1"/>
  <c r="F42" i="1"/>
  <c r="E42" i="1"/>
  <c r="C42" i="1"/>
  <c r="U41" i="1"/>
  <c r="N41" i="1"/>
  <c r="T41" i="1" s="1"/>
  <c r="M41" i="1"/>
  <c r="V41" i="1" s="1"/>
  <c r="U40" i="1"/>
  <c r="T40" i="1"/>
  <c r="M40" i="1"/>
  <c r="V40" i="1" s="1"/>
  <c r="U39" i="1"/>
  <c r="U37" i="1" s="1"/>
  <c r="O39" i="1"/>
  <c r="N39" i="1"/>
  <c r="T39" i="1" s="1"/>
  <c r="M39" i="1"/>
  <c r="S39" i="1" s="1"/>
  <c r="H39" i="1"/>
  <c r="H37" i="1" s="1"/>
  <c r="H36" i="1" s="1"/>
  <c r="U38" i="1"/>
  <c r="T38" i="1"/>
  <c r="S38" i="1"/>
  <c r="M38" i="1"/>
  <c r="V38" i="1" s="1"/>
  <c r="R37" i="1"/>
  <c r="Q37" i="1"/>
  <c r="P37" i="1"/>
  <c r="O37" i="1"/>
  <c r="L37" i="1"/>
  <c r="K37" i="1"/>
  <c r="J37" i="1"/>
  <c r="I37" i="1"/>
  <c r="G37" i="1"/>
  <c r="G36" i="1" s="1"/>
  <c r="F37" i="1"/>
  <c r="F36" i="1" s="1"/>
  <c r="E37" i="1"/>
  <c r="C37" i="1"/>
  <c r="L36" i="1"/>
  <c r="I36" i="1"/>
  <c r="P35" i="1"/>
  <c r="O35" i="1"/>
  <c r="U35" i="1" s="1"/>
  <c r="U33" i="1" s="1"/>
  <c r="N35" i="1"/>
  <c r="H35" i="1"/>
  <c r="M35" i="1" s="1"/>
  <c r="M33" i="1" s="1"/>
  <c r="G35" i="1"/>
  <c r="F35" i="1"/>
  <c r="C35" i="1"/>
  <c r="C33" i="1" s="1"/>
  <c r="U34" i="1"/>
  <c r="S34" i="1"/>
  <c r="P34" i="1"/>
  <c r="O34" i="1"/>
  <c r="N34" i="1"/>
  <c r="M34" i="1"/>
  <c r="H34" i="1"/>
  <c r="G34" i="1"/>
  <c r="F34" i="1"/>
  <c r="F33" i="1" s="1"/>
  <c r="E34" i="1"/>
  <c r="E33" i="1" s="1"/>
  <c r="E27" i="1" s="1"/>
  <c r="C34" i="1"/>
  <c r="R33" i="1"/>
  <c r="Q33" i="1"/>
  <c r="N33" i="1"/>
  <c r="L33" i="1"/>
  <c r="K33" i="1"/>
  <c r="J33" i="1"/>
  <c r="I33" i="1"/>
  <c r="H33" i="1"/>
  <c r="G33" i="1"/>
  <c r="P32" i="1"/>
  <c r="O32" i="1"/>
  <c r="O31" i="1" s="1"/>
  <c r="N32" i="1"/>
  <c r="M32" i="1"/>
  <c r="M31" i="1" s="1"/>
  <c r="H32" i="1"/>
  <c r="G32" i="1"/>
  <c r="G31" i="1" s="1"/>
  <c r="G27" i="1" s="1"/>
  <c r="F32" i="1"/>
  <c r="C32" i="1"/>
  <c r="R31" i="1"/>
  <c r="Q31" i="1"/>
  <c r="P31" i="1"/>
  <c r="V31" i="1" s="1"/>
  <c r="L31" i="1"/>
  <c r="K31" i="1"/>
  <c r="K27" i="1" s="1"/>
  <c r="K26" i="1" s="1"/>
  <c r="K25" i="1" s="1"/>
  <c r="J31" i="1"/>
  <c r="I31" i="1"/>
  <c r="H31" i="1"/>
  <c r="F31" i="1"/>
  <c r="F27" i="1" s="1"/>
  <c r="E31" i="1"/>
  <c r="C31" i="1"/>
  <c r="U30" i="1"/>
  <c r="P30" i="1"/>
  <c r="H30" i="1"/>
  <c r="M30" i="1" s="1"/>
  <c r="U29" i="1"/>
  <c r="T29" i="1"/>
  <c r="Q29" i="1"/>
  <c r="Q28" i="1" s="1"/>
  <c r="Q27" i="1" s="1"/>
  <c r="P29" i="1"/>
  <c r="O29" i="1"/>
  <c r="N29" i="1"/>
  <c r="M29" i="1"/>
  <c r="V29" i="1" s="1"/>
  <c r="G29" i="1"/>
  <c r="G28" i="1" s="1"/>
  <c r="F29" i="1"/>
  <c r="F28" i="1" s="1"/>
  <c r="U28" i="1"/>
  <c r="R28" i="1"/>
  <c r="O28" i="1"/>
  <c r="N28" i="1"/>
  <c r="L28" i="1"/>
  <c r="K28" i="1"/>
  <c r="J28" i="1"/>
  <c r="I28" i="1"/>
  <c r="E28" i="1"/>
  <c r="C28" i="1"/>
  <c r="C27" i="1" s="1"/>
  <c r="R27" i="1"/>
  <c r="L27" i="1"/>
  <c r="I27" i="1"/>
  <c r="V24" i="1"/>
  <c r="W24" i="1" s="1"/>
  <c r="V23" i="1"/>
  <c r="U23" i="1"/>
  <c r="U20" i="1" s="1"/>
  <c r="U19" i="1" s="1"/>
  <c r="U18" i="1" s="1"/>
  <c r="S23" i="1"/>
  <c r="W23" i="1" s="1"/>
  <c r="O23" i="1"/>
  <c r="N23" i="1"/>
  <c r="H23" i="1"/>
  <c r="G23" i="1"/>
  <c r="F23" i="1"/>
  <c r="E23" i="1"/>
  <c r="C23" i="1"/>
  <c r="U22" i="1"/>
  <c r="T22" i="1"/>
  <c r="T21" i="1" s="1"/>
  <c r="M22" i="1"/>
  <c r="V22" i="1" s="1"/>
  <c r="U21" i="1"/>
  <c r="R21" i="1"/>
  <c r="R20" i="1" s="1"/>
  <c r="R19" i="1" s="1"/>
  <c r="R18" i="1" s="1"/>
  <c r="Q21" i="1"/>
  <c r="Q20" i="1" s="1"/>
  <c r="Q19" i="1" s="1"/>
  <c r="Q18" i="1" s="1"/>
  <c r="P21" i="1"/>
  <c r="O21" i="1"/>
  <c r="N21" i="1"/>
  <c r="N20" i="1" s="1"/>
  <c r="N19" i="1" s="1"/>
  <c r="N18" i="1" s="1"/>
  <c r="L21" i="1"/>
  <c r="K21" i="1"/>
  <c r="J21" i="1"/>
  <c r="I21" i="1"/>
  <c r="H21" i="1"/>
  <c r="G21" i="1"/>
  <c r="G20" i="1" s="1"/>
  <c r="G19" i="1" s="1"/>
  <c r="G18" i="1" s="1"/>
  <c r="F21" i="1"/>
  <c r="F20" i="1" s="1"/>
  <c r="F19" i="1" s="1"/>
  <c r="F18" i="1" s="1"/>
  <c r="E21" i="1"/>
  <c r="E20" i="1" s="1"/>
  <c r="E19" i="1" s="1"/>
  <c r="E18" i="1" s="1"/>
  <c r="C21" i="1"/>
  <c r="T20" i="1"/>
  <c r="O20" i="1"/>
  <c r="O19" i="1" s="1"/>
  <c r="O18" i="1" s="1"/>
  <c r="L20" i="1"/>
  <c r="L19" i="1" s="1"/>
  <c r="L18" i="1" s="1"/>
  <c r="K20" i="1"/>
  <c r="J20" i="1"/>
  <c r="I20" i="1"/>
  <c r="I19" i="1" s="1"/>
  <c r="I18" i="1" s="1"/>
  <c r="H20" i="1"/>
  <c r="T19" i="1"/>
  <c r="T18" i="1" s="1"/>
  <c r="K19" i="1"/>
  <c r="K18" i="1" s="1"/>
  <c r="J19" i="1"/>
  <c r="J18" i="1" s="1"/>
  <c r="H19" i="1"/>
  <c r="H18" i="1" s="1"/>
  <c r="V17" i="1"/>
  <c r="U17" i="1"/>
  <c r="U16" i="1" s="1"/>
  <c r="U13" i="1" s="1"/>
  <c r="U12" i="1" s="1"/>
  <c r="T17" i="1"/>
  <c r="T16" i="1" s="1"/>
  <c r="M17" i="1"/>
  <c r="S17" i="1" s="1"/>
  <c r="R16" i="1"/>
  <c r="Q16" i="1"/>
  <c r="P16" i="1"/>
  <c r="O16" i="1"/>
  <c r="O13" i="1" s="1"/>
  <c r="N16" i="1"/>
  <c r="L16" i="1"/>
  <c r="L13" i="1" s="1"/>
  <c r="L12" i="1" s="1"/>
  <c r="K16" i="1"/>
  <c r="J16" i="1"/>
  <c r="J13" i="1" s="1"/>
  <c r="J12" i="1" s="1"/>
  <c r="I16" i="1"/>
  <c r="H16" i="1"/>
  <c r="G16" i="1"/>
  <c r="F16" i="1"/>
  <c r="E16" i="1"/>
  <c r="C16" i="1"/>
  <c r="U15" i="1"/>
  <c r="T15" i="1"/>
  <c r="T14" i="1" s="1"/>
  <c r="M15" i="1"/>
  <c r="S15" i="1" s="1"/>
  <c r="U14" i="1"/>
  <c r="R14" i="1"/>
  <c r="Q14" i="1"/>
  <c r="Q13" i="1" s="1"/>
  <c r="Q12" i="1" s="1"/>
  <c r="P14" i="1"/>
  <c r="O14" i="1"/>
  <c r="N14" i="1"/>
  <c r="N13" i="1" s="1"/>
  <c r="N12" i="1" s="1"/>
  <c r="M14" i="1"/>
  <c r="V14" i="1" s="1"/>
  <c r="L14" i="1"/>
  <c r="K14" i="1"/>
  <c r="K13" i="1" s="1"/>
  <c r="J14" i="1"/>
  <c r="I14" i="1"/>
  <c r="I13" i="1" s="1"/>
  <c r="I12" i="1" s="1"/>
  <c r="H14" i="1"/>
  <c r="G14" i="1"/>
  <c r="F14" i="1"/>
  <c r="E14" i="1"/>
  <c r="E13" i="1" s="1"/>
  <c r="E12" i="1" s="1"/>
  <c r="C14" i="1"/>
  <c r="R13" i="1"/>
  <c r="R12" i="1" s="1"/>
  <c r="P13" i="1"/>
  <c r="P12" i="1" s="1"/>
  <c r="H13" i="1"/>
  <c r="H12" i="1" s="1"/>
  <c r="G13" i="1"/>
  <c r="G12" i="1" s="1"/>
  <c r="F13" i="1"/>
  <c r="F12" i="1" s="1"/>
  <c r="C13" i="1"/>
  <c r="C12" i="1" s="1"/>
  <c r="O12" i="1"/>
  <c r="K12" i="1"/>
  <c r="K11" i="1" s="1"/>
  <c r="D10" i="1"/>
  <c r="R840" i="1" l="1"/>
  <c r="R839" i="1" s="1"/>
  <c r="V843" i="1"/>
  <c r="C839" i="1"/>
  <c r="I840" i="1"/>
  <c r="I839" i="1" s="1"/>
  <c r="N966" i="1"/>
  <c r="J946" i="1"/>
  <c r="J945" i="1" s="1"/>
  <c r="T967" i="1"/>
  <c r="T966" i="1" s="1"/>
  <c r="U967" i="1"/>
  <c r="U966" i="1" s="1"/>
  <c r="U946" i="1" s="1"/>
  <c r="U945" i="1" s="1"/>
  <c r="K966" i="1"/>
  <c r="K946" i="1" s="1"/>
  <c r="K945" i="1" s="1"/>
  <c r="S900" i="1"/>
  <c r="S898" i="1" s="1"/>
  <c r="I897" i="1"/>
  <c r="J897" i="1"/>
  <c r="L897" i="1"/>
  <c r="M898" i="1"/>
  <c r="R893" i="1"/>
  <c r="R892" i="1" s="1"/>
  <c r="I873" i="1"/>
  <c r="I872" i="1" s="1"/>
  <c r="K873" i="1"/>
  <c r="K872" i="1" s="1"/>
  <c r="S876" i="1"/>
  <c r="S875" i="1" s="1"/>
  <c r="V880" i="1"/>
  <c r="N877" i="1"/>
  <c r="S882" i="1"/>
  <c r="S881" i="1" s="1"/>
  <c r="V889" i="1"/>
  <c r="W889" i="1" s="1"/>
  <c r="V876" i="1"/>
  <c r="W876" i="1" s="1"/>
  <c r="N873" i="1"/>
  <c r="N872" i="1" s="1"/>
  <c r="O873" i="1"/>
  <c r="O872" i="1" s="1"/>
  <c r="T881" i="1"/>
  <c r="V887" i="1"/>
  <c r="W887" i="1" s="1"/>
  <c r="S891" i="1"/>
  <c r="T878" i="1"/>
  <c r="U881" i="1"/>
  <c r="Q873" i="1"/>
  <c r="Q872" i="1" s="1"/>
  <c r="W880" i="1"/>
  <c r="W884" i="1"/>
  <c r="L840" i="1"/>
  <c r="L839" i="1" s="1"/>
  <c r="S846" i="1"/>
  <c r="S845" i="1" s="1"/>
  <c r="F839" i="1"/>
  <c r="H772" i="1"/>
  <c r="U772" i="1"/>
  <c r="J772" i="1"/>
  <c r="R754" i="1"/>
  <c r="R753" i="1" s="1"/>
  <c r="G754" i="1"/>
  <c r="G753" i="1" s="1"/>
  <c r="H754" i="1"/>
  <c r="H753" i="1" s="1"/>
  <c r="N754" i="1"/>
  <c r="N753" i="1" s="1"/>
  <c r="C754" i="1"/>
  <c r="C753" i="1" s="1"/>
  <c r="Q754" i="1"/>
  <c r="Q753" i="1" s="1"/>
  <c r="I755" i="1"/>
  <c r="E755" i="1"/>
  <c r="E754" i="1" s="1"/>
  <c r="E753" i="1" s="1"/>
  <c r="S762" i="1"/>
  <c r="I754" i="1"/>
  <c r="I753" i="1" s="1"/>
  <c r="S752" i="1"/>
  <c r="N737" i="1"/>
  <c r="V743" i="1"/>
  <c r="W743" i="1" s="1"/>
  <c r="U740" i="1"/>
  <c r="T740" i="1"/>
  <c r="U725" i="1"/>
  <c r="E719" i="1"/>
  <c r="E718" i="1" s="1"/>
  <c r="E717" i="1" s="1"/>
  <c r="R719" i="1"/>
  <c r="R718" i="1" s="1"/>
  <c r="R717" i="1" s="1"/>
  <c r="F719" i="1"/>
  <c r="W728" i="1"/>
  <c r="M715" i="1"/>
  <c r="M714" i="1" s="1"/>
  <c r="V715" i="1"/>
  <c r="K694" i="1"/>
  <c r="K693" i="1" s="1"/>
  <c r="J694" i="1"/>
  <c r="J693" i="1" s="1"/>
  <c r="S716" i="1"/>
  <c r="S715" i="1" s="1"/>
  <c r="T696" i="1"/>
  <c r="T695" i="1" s="1"/>
  <c r="E695" i="1"/>
  <c r="Q694" i="1"/>
  <c r="Q693" i="1" s="1"/>
  <c r="U696" i="1"/>
  <c r="U695" i="1" s="1"/>
  <c r="U694" i="1" s="1"/>
  <c r="U693" i="1" s="1"/>
  <c r="S699" i="1"/>
  <c r="T677" i="1"/>
  <c r="T676" i="1" s="1"/>
  <c r="I677" i="1"/>
  <c r="I676" i="1" s="1"/>
  <c r="U677" i="1"/>
  <c r="U676" i="1" s="1"/>
  <c r="C677" i="1"/>
  <c r="C676" i="1" s="1"/>
  <c r="C674" i="1" s="1"/>
  <c r="C673" i="1" s="1"/>
  <c r="S689" i="1"/>
  <c r="W689" i="1" s="1"/>
  <c r="U663" i="1"/>
  <c r="U662" i="1" s="1"/>
  <c r="T663" i="1"/>
  <c r="T662" i="1" s="1"/>
  <c r="U647" i="1"/>
  <c r="F630" i="1"/>
  <c r="F629" i="1" s="1"/>
  <c r="S642" i="1"/>
  <c r="J631" i="1"/>
  <c r="R631" i="1"/>
  <c r="M641" i="1"/>
  <c r="V641" i="1" s="1"/>
  <c r="Q630" i="1"/>
  <c r="Q629" i="1" s="1"/>
  <c r="U597" i="1"/>
  <c r="U596" i="1" s="1"/>
  <c r="U595" i="1" s="1"/>
  <c r="J597" i="1"/>
  <c r="J596" i="1" s="1"/>
  <c r="J595" i="1" s="1"/>
  <c r="I597" i="1"/>
  <c r="I596" i="1" s="1"/>
  <c r="I595" i="1" s="1"/>
  <c r="T597" i="1"/>
  <c r="T596" i="1" s="1"/>
  <c r="T595" i="1" s="1"/>
  <c r="T624" i="1"/>
  <c r="T623" i="1" s="1"/>
  <c r="T622" i="1" s="1"/>
  <c r="V628" i="1"/>
  <c r="W615" i="1"/>
  <c r="W602" i="1"/>
  <c r="V606" i="1"/>
  <c r="W616" i="1"/>
  <c r="C515" i="1"/>
  <c r="C514" i="1" s="1"/>
  <c r="Q516" i="1"/>
  <c r="V531" i="1"/>
  <c r="I539" i="1"/>
  <c r="S551" i="1"/>
  <c r="E516" i="1"/>
  <c r="R516" i="1"/>
  <c r="V535" i="1"/>
  <c r="W535" i="1" s="1"/>
  <c r="J539" i="1"/>
  <c r="J515" i="1" s="1"/>
  <c r="J514" i="1" s="1"/>
  <c r="F516" i="1"/>
  <c r="F515" i="1" s="1"/>
  <c r="F514" i="1" s="1"/>
  <c r="V528" i="1"/>
  <c r="W528" i="1" s="1"/>
  <c r="G539" i="1"/>
  <c r="G515" i="1" s="1"/>
  <c r="G514" i="1" s="1"/>
  <c r="H515" i="1"/>
  <c r="H514" i="1" s="1"/>
  <c r="T516" i="1"/>
  <c r="S526" i="1"/>
  <c r="V518" i="1"/>
  <c r="V549" i="1"/>
  <c r="V554" i="1"/>
  <c r="K516" i="1"/>
  <c r="K515" i="1" s="1"/>
  <c r="K514" i="1" s="1"/>
  <c r="L516" i="1"/>
  <c r="L515" i="1" s="1"/>
  <c r="L514" i="1" s="1"/>
  <c r="V546" i="1"/>
  <c r="W546" i="1" s="1"/>
  <c r="N516" i="1"/>
  <c r="I474" i="1"/>
  <c r="S483" i="1"/>
  <c r="O453" i="1"/>
  <c r="O452" i="1" s="1"/>
  <c r="U496" i="1"/>
  <c r="W508" i="1"/>
  <c r="P453" i="1"/>
  <c r="S464" i="1"/>
  <c r="S462" i="1" s="1"/>
  <c r="W506" i="1"/>
  <c r="V512" i="1"/>
  <c r="C453" i="1"/>
  <c r="C452" i="1" s="1"/>
  <c r="L454" i="1"/>
  <c r="L453" i="1" s="1"/>
  <c r="L452" i="1" s="1"/>
  <c r="S478" i="1"/>
  <c r="W478" i="1" s="1"/>
  <c r="G487" i="1"/>
  <c r="G486" i="1" s="1"/>
  <c r="L501" i="1"/>
  <c r="W504" i="1"/>
  <c r="E501" i="1"/>
  <c r="Q501" i="1"/>
  <c r="M482" i="1"/>
  <c r="V482" i="1" s="1"/>
  <c r="L487" i="1"/>
  <c r="L486" i="1" s="1"/>
  <c r="N488" i="1"/>
  <c r="O488" i="1"/>
  <c r="O487" i="1" s="1"/>
  <c r="O486" i="1" s="1"/>
  <c r="U502" i="1"/>
  <c r="U501" i="1" s="1"/>
  <c r="G454" i="1"/>
  <c r="V504" i="1"/>
  <c r="H454" i="1"/>
  <c r="H453" i="1" s="1"/>
  <c r="H452" i="1" s="1"/>
  <c r="M455" i="1"/>
  <c r="E454" i="1"/>
  <c r="E453" i="1" s="1"/>
  <c r="E452" i="1" s="1"/>
  <c r="Q454" i="1"/>
  <c r="Q453" i="1" s="1"/>
  <c r="Q452" i="1" s="1"/>
  <c r="M502" i="1"/>
  <c r="W519" i="1"/>
  <c r="H488" i="1"/>
  <c r="I453" i="1"/>
  <c r="I452" i="1" s="1"/>
  <c r="R454" i="1"/>
  <c r="R453" i="1" s="1"/>
  <c r="R452" i="1" s="1"/>
  <c r="W499" i="1"/>
  <c r="J501" i="1"/>
  <c r="J487" i="1" s="1"/>
  <c r="J486" i="1" s="1"/>
  <c r="F454" i="1"/>
  <c r="F453" i="1" s="1"/>
  <c r="F452" i="1" s="1"/>
  <c r="T488" i="1"/>
  <c r="K501" i="1"/>
  <c r="S448" i="1"/>
  <c r="S447" i="1" s="1"/>
  <c r="M447" i="1"/>
  <c r="H429" i="1"/>
  <c r="N420" i="1"/>
  <c r="N419" i="1" s="1"/>
  <c r="E420" i="1"/>
  <c r="E419" i="1" s="1"/>
  <c r="U430" i="1"/>
  <c r="U429" i="1" s="1"/>
  <c r="S432" i="1"/>
  <c r="S430" i="1" s="1"/>
  <c r="K420" i="1"/>
  <c r="K419" i="1" s="1"/>
  <c r="E367" i="1"/>
  <c r="K371" i="1"/>
  <c r="K367" i="1"/>
  <c r="T378" i="1"/>
  <c r="U374" i="1"/>
  <c r="V375" i="1"/>
  <c r="F371" i="1"/>
  <c r="F367" i="1" s="1"/>
  <c r="L367" i="1"/>
  <c r="N367" i="1"/>
  <c r="R367" i="1"/>
  <c r="R366" i="1" s="1"/>
  <c r="T374" i="1"/>
  <c r="T60" i="1"/>
  <c r="P984" i="1"/>
  <c r="V227" i="1"/>
  <c r="U764" i="1"/>
  <c r="P390" i="1"/>
  <c r="V391" i="1"/>
  <c r="V43" i="1"/>
  <c r="V65" i="1"/>
  <c r="E151" i="1"/>
  <c r="E150" i="1" s="1"/>
  <c r="V224" i="1"/>
  <c r="R283" i="1"/>
  <c r="R282" i="1" s="1"/>
  <c r="W433" i="1"/>
  <c r="V548" i="1"/>
  <c r="W548" i="1" s="1"/>
  <c r="F718" i="1"/>
  <c r="F717" i="1" s="1"/>
  <c r="W745" i="1"/>
  <c r="U90" i="1"/>
  <c r="W95" i="1"/>
  <c r="U162" i="1"/>
  <c r="W208" i="1"/>
  <c r="E235" i="1"/>
  <c r="E234" i="1" s="1"/>
  <c r="W469" i="1"/>
  <c r="W531" i="1"/>
  <c r="V534" i="1"/>
  <c r="W534" i="1" s="1"/>
  <c r="M550" i="1"/>
  <c r="V550" i="1" s="1"/>
  <c r="W618" i="1"/>
  <c r="W648" i="1"/>
  <c r="K663" i="1"/>
  <c r="K662" i="1" s="1"/>
  <c r="W699" i="1"/>
  <c r="W710" i="1"/>
  <c r="U49" i="1"/>
  <c r="W124" i="1"/>
  <c r="V130" i="1"/>
  <c r="W130" i="1" s="1"/>
  <c r="V133" i="1"/>
  <c r="W133" i="1" s="1"/>
  <c r="W158" i="1"/>
  <c r="W161" i="1"/>
  <c r="S171" i="1"/>
  <c r="W171" i="1" s="1"/>
  <c r="W182" i="1"/>
  <c r="O335" i="1"/>
  <c r="O334" i="1" s="1"/>
  <c r="W352" i="1"/>
  <c r="V392" i="1"/>
  <c r="W444" i="1"/>
  <c r="W617" i="1"/>
  <c r="W652" i="1"/>
  <c r="W722" i="1"/>
  <c r="W762" i="1"/>
  <c r="W779" i="1"/>
  <c r="T719" i="1"/>
  <c r="U42" i="1"/>
  <c r="S48" i="1"/>
  <c r="W48" i="1" s="1"/>
  <c r="S51" i="1"/>
  <c r="W51" i="1" s="1"/>
  <c r="T127" i="1"/>
  <c r="S168" i="1"/>
  <c r="W168" i="1" s="1"/>
  <c r="Q210" i="1"/>
  <c r="Q209" i="1" s="1"/>
  <c r="V232" i="1"/>
  <c r="U272" i="1"/>
  <c r="U271" i="1" s="1"/>
  <c r="U253" i="1" s="1"/>
  <c r="U252" i="1" s="1"/>
  <c r="W330" i="1"/>
  <c r="W332" i="1"/>
  <c r="W343" i="1"/>
  <c r="W418" i="1"/>
  <c r="W526" i="1"/>
  <c r="W654" i="1"/>
  <c r="Q663" i="1"/>
  <c r="Q662" i="1" s="1"/>
  <c r="U155" i="1"/>
  <c r="V44" i="1"/>
  <c r="V63" i="1"/>
  <c r="U127" i="1"/>
  <c r="G151" i="1"/>
  <c r="G150" i="1" s="1"/>
  <c r="K151" i="1"/>
  <c r="K150" i="1" s="1"/>
  <c r="W484" i="1"/>
  <c r="W666" i="1"/>
  <c r="W700" i="1"/>
  <c r="T152" i="1"/>
  <c r="L630" i="1"/>
  <c r="L629" i="1" s="1"/>
  <c r="S55" i="1"/>
  <c r="W55" i="1" s="1"/>
  <c r="W148" i="1"/>
  <c r="W215" i="1"/>
  <c r="U462" i="1"/>
  <c r="V529" i="1"/>
  <c r="W529" i="1" s="1"/>
  <c r="V532" i="1"/>
  <c r="W532" i="1" s="1"/>
  <c r="T543" i="1"/>
  <c r="T539" i="1" s="1"/>
  <c r="T515" i="1" s="1"/>
  <c r="T514" i="1" s="1"/>
  <c r="U637" i="1"/>
  <c r="E630" i="1"/>
  <c r="E629" i="1" s="1"/>
  <c r="W683" i="1"/>
  <c r="W771" i="1"/>
  <c r="W177" i="1"/>
  <c r="W38" i="1"/>
  <c r="S57" i="1"/>
  <c r="W57" i="1" s="1"/>
  <c r="V67" i="1"/>
  <c r="W71" i="1"/>
  <c r="T117" i="1"/>
  <c r="V131" i="1"/>
  <c r="W131" i="1" s="1"/>
  <c r="W156" i="1"/>
  <c r="S172" i="1"/>
  <c r="W172" i="1" s="1"/>
  <c r="I210" i="1"/>
  <c r="I209" i="1" s="1"/>
  <c r="U336" i="1"/>
  <c r="U335" i="1" s="1"/>
  <c r="U334" i="1" s="1"/>
  <c r="W530" i="1"/>
  <c r="W583" i="1"/>
  <c r="W594" i="1"/>
  <c r="U631" i="1"/>
  <c r="G630" i="1"/>
  <c r="G629" i="1" s="1"/>
  <c r="W746" i="1"/>
  <c r="W777" i="1"/>
  <c r="W132" i="1"/>
  <c r="W147" i="1"/>
  <c r="S169" i="1"/>
  <c r="W169" i="1" s="1"/>
  <c r="T194" i="1"/>
  <c r="V206" i="1"/>
  <c r="C235" i="1"/>
  <c r="C234" i="1" s="1"/>
  <c r="C211" i="1" s="1"/>
  <c r="C210" i="1" s="1"/>
  <c r="W274" i="1"/>
  <c r="L283" i="1"/>
  <c r="L282" i="1" s="1"/>
  <c r="W381" i="1"/>
  <c r="W416" i="1"/>
  <c r="T429" i="1"/>
  <c r="T420" i="1" s="1"/>
  <c r="T419" i="1" s="1"/>
  <c r="W544" i="1"/>
  <c r="V547" i="1"/>
  <c r="W547" i="1" s="1"/>
  <c r="W572" i="1"/>
  <c r="W582" i="1"/>
  <c r="W17" i="1"/>
  <c r="U60" i="1"/>
  <c r="W65" i="1"/>
  <c r="U87" i="1"/>
  <c r="U86" i="1" s="1"/>
  <c r="U85" i="1" s="1"/>
  <c r="W103" i="1"/>
  <c r="S166" i="1"/>
  <c r="W166" i="1" s="1"/>
  <c r="O210" i="1"/>
  <c r="O209" i="1" s="1"/>
  <c r="U216" i="1"/>
  <c r="U211" i="1" s="1"/>
  <c r="W280" i="1"/>
  <c r="W319" i="1"/>
  <c r="W360" i="1"/>
  <c r="V456" i="1"/>
  <c r="W456" i="1" s="1"/>
  <c r="P714" i="1"/>
  <c r="V714" i="1" s="1"/>
  <c r="T42" i="1"/>
  <c r="V61" i="1"/>
  <c r="U121" i="1"/>
  <c r="V129" i="1"/>
  <c r="W129" i="1" s="1"/>
  <c r="I151" i="1"/>
  <c r="I150" i="1" s="1"/>
  <c r="S227" i="1"/>
  <c r="W227" i="1" s="1"/>
  <c r="W284" i="1"/>
  <c r="W445" i="1"/>
  <c r="W500" i="1"/>
  <c r="V530" i="1"/>
  <c r="V533" i="1"/>
  <c r="W533" i="1" s="1"/>
  <c r="W560" i="1"/>
  <c r="W698" i="1"/>
  <c r="W747" i="1"/>
  <c r="W769" i="1"/>
  <c r="E11" i="1"/>
  <c r="Q11" i="1"/>
  <c r="J11" i="1"/>
  <c r="L11" i="1"/>
  <c r="P107" i="1"/>
  <c r="E216" i="1"/>
  <c r="E209" i="1"/>
  <c r="E211" i="1"/>
  <c r="E210" i="1" s="1"/>
  <c r="S14" i="1"/>
  <c r="W15" i="1"/>
  <c r="I11" i="1"/>
  <c r="T13" i="1"/>
  <c r="T12" i="1" s="1"/>
  <c r="U36" i="1"/>
  <c r="W98" i="1"/>
  <c r="C11" i="1"/>
  <c r="F11" i="1"/>
  <c r="G11" i="1"/>
  <c r="V88" i="1"/>
  <c r="H11" i="1"/>
  <c r="F26" i="1"/>
  <c r="F25" i="1" s="1"/>
  <c r="P11" i="1"/>
  <c r="N11" i="1"/>
  <c r="R11" i="1"/>
  <c r="U11" i="1"/>
  <c r="O42" i="1"/>
  <c r="W44" i="1"/>
  <c r="M54" i="1"/>
  <c r="M49" i="1" s="1"/>
  <c r="V49" i="1" s="1"/>
  <c r="S72" i="1"/>
  <c r="W72" i="1" s="1"/>
  <c r="K87" i="1"/>
  <c r="K86" i="1" s="1"/>
  <c r="K85" i="1" s="1"/>
  <c r="W93" i="1"/>
  <c r="W119" i="1"/>
  <c r="S128" i="1"/>
  <c r="M127" i="1"/>
  <c r="V127" i="1" s="1"/>
  <c r="M141" i="1"/>
  <c r="M140" i="1" s="1"/>
  <c r="M137" i="1" s="1"/>
  <c r="M136" i="1" s="1"/>
  <c r="O152" i="1"/>
  <c r="O151" i="1" s="1"/>
  <c r="O150" i="1" s="1"/>
  <c r="W160" i="1"/>
  <c r="H194" i="1"/>
  <c r="W198" i="1"/>
  <c r="R211" i="1"/>
  <c r="R210" i="1" s="1"/>
  <c r="R209" i="1" s="1"/>
  <c r="W230" i="1"/>
  <c r="V15" i="1"/>
  <c r="M37" i="1"/>
  <c r="S41" i="1"/>
  <c r="W41" i="1" s="1"/>
  <c r="W61" i="1"/>
  <c r="G78" i="1"/>
  <c r="G26" i="1" s="1"/>
  <c r="U78" i="1"/>
  <c r="Q107" i="1"/>
  <c r="Q106" i="1" s="1"/>
  <c r="N116" i="1"/>
  <c r="N107" i="1" s="1"/>
  <c r="N106" i="1" s="1"/>
  <c r="C151" i="1"/>
  <c r="C150" i="1" s="1"/>
  <c r="P152" i="1"/>
  <c r="U210" i="1"/>
  <c r="U209" i="1" s="1"/>
  <c r="F396" i="1"/>
  <c r="F395" i="1"/>
  <c r="F394" i="1" s="1"/>
  <c r="L107" i="1"/>
  <c r="L106" i="1" s="1"/>
  <c r="N31" i="1"/>
  <c r="N27" i="1" s="1"/>
  <c r="N26" i="1" s="1"/>
  <c r="T32" i="1"/>
  <c r="T31" i="1" s="1"/>
  <c r="N37" i="1"/>
  <c r="N36" i="1" s="1"/>
  <c r="V47" i="1"/>
  <c r="S47" i="1"/>
  <c r="S79" i="1"/>
  <c r="W80" i="1"/>
  <c r="P87" i="1"/>
  <c r="W114" i="1"/>
  <c r="O116" i="1"/>
  <c r="O107" i="1" s="1"/>
  <c r="O106" i="1" s="1"/>
  <c r="T121" i="1"/>
  <c r="O140" i="1"/>
  <c r="O137" i="1" s="1"/>
  <c r="O136" i="1" s="1"/>
  <c r="M197" i="1"/>
  <c r="V197" i="1" s="1"/>
  <c r="C224" i="1"/>
  <c r="C223" i="1" s="1"/>
  <c r="V226" i="1"/>
  <c r="E224" i="1"/>
  <c r="E223" i="1" s="1"/>
  <c r="V141" i="1"/>
  <c r="V30" i="1"/>
  <c r="T30" i="1"/>
  <c r="T28" i="1" s="1"/>
  <c r="T27" i="1" s="1"/>
  <c r="P28" i="1"/>
  <c r="S35" i="1"/>
  <c r="W35" i="1" s="1"/>
  <c r="P36" i="1"/>
  <c r="S73" i="1"/>
  <c r="W73" i="1" s="1"/>
  <c r="W91" i="1"/>
  <c r="V111" i="1"/>
  <c r="W111" i="1" s="1"/>
  <c r="S120" i="1"/>
  <c r="M117" i="1"/>
  <c r="V146" i="1"/>
  <c r="U152" i="1"/>
  <c r="U151" i="1" s="1"/>
  <c r="U150" i="1" s="1"/>
  <c r="H152" i="1"/>
  <c r="H151" i="1" s="1"/>
  <c r="H150" i="1" s="1"/>
  <c r="V178" i="1"/>
  <c r="W178" i="1" s="1"/>
  <c r="S199" i="1"/>
  <c r="W199" i="1" s="1"/>
  <c r="S212" i="1"/>
  <c r="W213" i="1"/>
  <c r="P216" i="1"/>
  <c r="V216" i="1" s="1"/>
  <c r="V218" i="1"/>
  <c r="T218" i="1"/>
  <c r="S218" i="1"/>
  <c r="W218" i="1" s="1"/>
  <c r="W224" i="1"/>
  <c r="S223" i="1"/>
  <c r="W223" i="1" s="1"/>
  <c r="R26" i="1"/>
  <c r="R25" i="1" s="1"/>
  <c r="V52" i="1"/>
  <c r="W52" i="1" s="1"/>
  <c r="O11" i="1"/>
  <c r="S16" i="1"/>
  <c r="S30" i="1"/>
  <c r="S32" i="1"/>
  <c r="O33" i="1"/>
  <c r="O27" i="1" s="1"/>
  <c r="T35" i="1"/>
  <c r="C36" i="1"/>
  <c r="C26" i="1" s="1"/>
  <c r="C25" i="1" s="1"/>
  <c r="Q36" i="1"/>
  <c r="V39" i="1"/>
  <c r="W39" i="1" s="1"/>
  <c r="T49" i="1"/>
  <c r="S97" i="1"/>
  <c r="R116" i="1"/>
  <c r="R107" i="1" s="1"/>
  <c r="R106" i="1" s="1"/>
  <c r="M121" i="1"/>
  <c r="S123" i="1"/>
  <c r="S126" i="1"/>
  <c r="W126" i="1" s="1"/>
  <c r="V153" i="1"/>
  <c r="W153" i="1" s="1"/>
  <c r="S167" i="1"/>
  <c r="W167" i="1" s="1"/>
  <c r="S170" i="1"/>
  <c r="W170" i="1" s="1"/>
  <c r="M194" i="1"/>
  <c r="V194" i="1" s="1"/>
  <c r="V195" i="1"/>
  <c r="W195" i="1" s="1"/>
  <c r="J210" i="1"/>
  <c r="J209" i="1" s="1"/>
  <c r="S22" i="1"/>
  <c r="H28" i="1"/>
  <c r="H27" i="1" s="1"/>
  <c r="H26" i="1" s="1"/>
  <c r="H25" i="1" s="1"/>
  <c r="U32" i="1"/>
  <c r="U31" i="1" s="1"/>
  <c r="U27" i="1" s="1"/>
  <c r="U26" i="1" s="1"/>
  <c r="P33" i="1"/>
  <c r="V33" i="1" s="1"/>
  <c r="V34" i="1"/>
  <c r="W34" i="1" s="1"/>
  <c r="T34" i="1"/>
  <c r="T33" i="1" s="1"/>
  <c r="V35" i="1"/>
  <c r="E36" i="1"/>
  <c r="E26" i="1" s="1"/>
  <c r="R36" i="1"/>
  <c r="V81" i="1"/>
  <c r="R87" i="1"/>
  <c r="R86" i="1" s="1"/>
  <c r="R85" i="1" s="1"/>
  <c r="T90" i="1"/>
  <c r="U108" i="1"/>
  <c r="F116" i="1"/>
  <c r="F107" i="1" s="1"/>
  <c r="F106" i="1" s="1"/>
  <c r="M162" i="1"/>
  <c r="V162" i="1" s="1"/>
  <c r="S191" i="1"/>
  <c r="K253" i="1"/>
  <c r="K252" i="1" s="1"/>
  <c r="S69" i="1"/>
  <c r="S155" i="1"/>
  <c r="M21" i="1"/>
  <c r="M20" i="1" s="1"/>
  <c r="M19" i="1" s="1"/>
  <c r="M18" i="1" s="1"/>
  <c r="I26" i="1"/>
  <c r="I25" i="1" s="1"/>
  <c r="M28" i="1"/>
  <c r="M27" i="1" s="1"/>
  <c r="V32" i="1"/>
  <c r="S37" i="1"/>
  <c r="W70" i="1"/>
  <c r="N78" i="1"/>
  <c r="F87" i="1"/>
  <c r="F86" i="1" s="1"/>
  <c r="F85" i="1" s="1"/>
  <c r="G116" i="1"/>
  <c r="G107" i="1" s="1"/>
  <c r="G106" i="1" s="1"/>
  <c r="U116" i="1"/>
  <c r="U107" i="1" s="1"/>
  <c r="U106" i="1" s="1"/>
  <c r="V120" i="1"/>
  <c r="S143" i="1"/>
  <c r="W143" i="1" s="1"/>
  <c r="S146" i="1"/>
  <c r="W146" i="1" s="1"/>
  <c r="J151" i="1"/>
  <c r="J150" i="1" s="1"/>
  <c r="T193" i="1"/>
  <c r="T192" i="1" s="1"/>
  <c r="T191" i="1" s="1"/>
  <c r="T151" i="1" s="1"/>
  <c r="T150" i="1" s="1"/>
  <c r="N192" i="1"/>
  <c r="N191" i="1" s="1"/>
  <c r="N151" i="1" s="1"/>
  <c r="N150" i="1" s="1"/>
  <c r="W214" i="1"/>
  <c r="O235" i="1"/>
  <c r="O234" i="1" s="1"/>
  <c r="P239" i="1"/>
  <c r="V275" i="1"/>
  <c r="P272" i="1"/>
  <c r="T275" i="1"/>
  <c r="T272" i="1" s="1"/>
  <c r="T271" i="1" s="1"/>
  <c r="T253" i="1" s="1"/>
  <c r="T252" i="1" s="1"/>
  <c r="S275" i="1"/>
  <c r="K335" i="1"/>
  <c r="K334" i="1" s="1"/>
  <c r="J27" i="1"/>
  <c r="J26" i="1" s="1"/>
  <c r="J25" i="1" s="1"/>
  <c r="S40" i="1"/>
  <c r="W40" i="1" s="1"/>
  <c r="O49" i="1"/>
  <c r="S53" i="1"/>
  <c r="W53" i="1" s="1"/>
  <c r="W59" i="1"/>
  <c r="W63" i="1"/>
  <c r="S75" i="1"/>
  <c r="W76" i="1"/>
  <c r="M96" i="1"/>
  <c r="V96" i="1" s="1"/>
  <c r="I108" i="1"/>
  <c r="V110" i="1"/>
  <c r="S110" i="1"/>
  <c r="M109" i="1"/>
  <c r="H107" i="1"/>
  <c r="H106" i="1" s="1"/>
  <c r="S117" i="1"/>
  <c r="W118" i="1"/>
  <c r="V121" i="1"/>
  <c r="S142" i="1"/>
  <c r="T143" i="1"/>
  <c r="T140" i="1" s="1"/>
  <c r="T137" i="1" s="1"/>
  <c r="T136" i="1" s="1"/>
  <c r="S174" i="1"/>
  <c r="M173" i="1"/>
  <c r="V173" i="1" s="1"/>
  <c r="V200" i="1"/>
  <c r="S200" i="1"/>
  <c r="V205" i="1"/>
  <c r="P204" i="1"/>
  <c r="V204" i="1" s="1"/>
  <c r="M210" i="1"/>
  <c r="M209" i="1" s="1"/>
  <c r="P236" i="1"/>
  <c r="L26" i="1"/>
  <c r="L25" i="1" s="1"/>
  <c r="I116" i="1"/>
  <c r="I107" i="1" s="1"/>
  <c r="I106" i="1" s="1"/>
  <c r="C216" i="1"/>
  <c r="C212" i="1" s="1"/>
  <c r="C209" i="1"/>
  <c r="V89" i="1"/>
  <c r="S89" i="1"/>
  <c r="W104" i="1"/>
  <c r="Q151" i="1"/>
  <c r="Q150" i="1" s="1"/>
  <c r="W180" i="1"/>
  <c r="C20" i="1"/>
  <c r="C19" i="1" s="1"/>
  <c r="C18" i="1" s="1"/>
  <c r="V21" i="1"/>
  <c r="P20" i="1"/>
  <c r="S29" i="1"/>
  <c r="T37" i="1"/>
  <c r="S46" i="1"/>
  <c r="W46" i="1" s="1"/>
  <c r="W67" i="1"/>
  <c r="T89" i="1"/>
  <c r="T88" i="1" s="1"/>
  <c r="N88" i="1"/>
  <c r="N87" i="1" s="1"/>
  <c r="N86" i="1" s="1"/>
  <c r="N85" i="1" s="1"/>
  <c r="S134" i="1"/>
  <c r="W135" i="1"/>
  <c r="K140" i="1"/>
  <c r="K137" i="1" s="1"/>
  <c r="K136" i="1" s="1"/>
  <c r="F194" i="1"/>
  <c r="F151" i="1" s="1"/>
  <c r="F150" i="1" s="1"/>
  <c r="R194" i="1"/>
  <c r="R151" i="1" s="1"/>
  <c r="R150" i="1" s="1"/>
  <c r="N210" i="1"/>
  <c r="N209" i="1" s="1"/>
  <c r="V220" i="1"/>
  <c r="T220" i="1"/>
  <c r="S220" i="1"/>
  <c r="R235" i="1"/>
  <c r="R234" i="1" s="1"/>
  <c r="V202" i="1"/>
  <c r="W202" i="1" s="1"/>
  <c r="V207" i="1"/>
  <c r="W207" i="1" s="1"/>
  <c r="W229" i="1"/>
  <c r="S278" i="1"/>
  <c r="G283" i="1"/>
  <c r="G282" i="1" s="1"/>
  <c r="S399" i="1"/>
  <c r="W402" i="1"/>
  <c r="W423" i="1"/>
  <c r="S422" i="1"/>
  <c r="V524" i="1"/>
  <c r="S524" i="1"/>
  <c r="W524" i="1" s="1"/>
  <c r="M521" i="1"/>
  <c r="V521" i="1" s="1"/>
  <c r="V538" i="1"/>
  <c r="S538" i="1"/>
  <c r="M537" i="1"/>
  <c r="M536" i="1" s="1"/>
  <c r="O556" i="1"/>
  <c r="O555" i="1" s="1"/>
  <c r="S201" i="1"/>
  <c r="W201" i="1" s="1"/>
  <c r="S206" i="1"/>
  <c r="W225" i="1"/>
  <c r="W232" i="1"/>
  <c r="S231" i="1"/>
  <c r="W231" i="1" s="1"/>
  <c r="R239" i="1"/>
  <c r="P249" i="1"/>
  <c r="V249" i="1" s="1"/>
  <c r="C253" i="1"/>
  <c r="C252" i="1" s="1"/>
  <c r="G254" i="1"/>
  <c r="G253" i="1" s="1"/>
  <c r="G252" i="1" s="1"/>
  <c r="M272" i="1"/>
  <c r="V273" i="1"/>
  <c r="W273" i="1" s="1"/>
  <c r="H283" i="1"/>
  <c r="H282" i="1" s="1"/>
  <c r="W290" i="1"/>
  <c r="H340" i="1"/>
  <c r="M342" i="1"/>
  <c r="O371" i="1"/>
  <c r="O367" i="1" s="1"/>
  <c r="H395" i="1"/>
  <c r="H394" i="1" s="1"/>
  <c r="H413" i="1"/>
  <c r="M471" i="1"/>
  <c r="V471" i="1" s="1"/>
  <c r="V472" i="1"/>
  <c r="W472" i="1" s="1"/>
  <c r="Q515" i="1"/>
  <c r="Q514" i="1" s="1"/>
  <c r="M45" i="1"/>
  <c r="S62" i="1"/>
  <c r="W62" i="1" s="1"/>
  <c r="S64" i="1"/>
  <c r="W64" i="1" s="1"/>
  <c r="S66" i="1"/>
  <c r="W66" i="1" s="1"/>
  <c r="S84" i="1"/>
  <c r="S92" i="1"/>
  <c r="S94" i="1"/>
  <c r="W94" i="1" s="1"/>
  <c r="M112" i="1"/>
  <c r="V112" i="1" s="1"/>
  <c r="S113" i="1"/>
  <c r="M175" i="1"/>
  <c r="V175" i="1" s="1"/>
  <c r="S176" i="1"/>
  <c r="M192" i="1"/>
  <c r="F239" i="1"/>
  <c r="F235" i="1" s="1"/>
  <c r="F234" i="1" s="1"/>
  <c r="H254" i="1"/>
  <c r="H253" i="1" s="1"/>
  <c r="H252" i="1" s="1"/>
  <c r="S259" i="1"/>
  <c r="J283" i="1"/>
  <c r="J282" i="1" s="1"/>
  <c r="Q335" i="1"/>
  <c r="Q334" i="1" s="1"/>
  <c r="U420" i="1"/>
  <c r="U419" i="1" s="1"/>
  <c r="E515" i="1"/>
  <c r="E514" i="1" s="1"/>
  <c r="R515" i="1"/>
  <c r="R514" i="1" s="1"/>
  <c r="G239" i="1"/>
  <c r="G235" i="1" s="1"/>
  <c r="G234" i="1" s="1"/>
  <c r="I253" i="1"/>
  <c r="I252" i="1" s="1"/>
  <c r="W261" i="1"/>
  <c r="V266" i="1"/>
  <c r="S272" i="1"/>
  <c r="T395" i="1"/>
  <c r="T394" i="1" s="1"/>
  <c r="T396" i="1"/>
  <c r="M439" i="1"/>
  <c r="V439" i="1" s="1"/>
  <c r="S443" i="1"/>
  <c r="W443" i="1" s="1"/>
  <c r="V443" i="1"/>
  <c r="S512" i="1"/>
  <c r="W512" i="1" s="1"/>
  <c r="W513" i="1"/>
  <c r="S264" i="1"/>
  <c r="W265" i="1"/>
  <c r="V430" i="1"/>
  <c r="M429" i="1"/>
  <c r="V429" i="1" s="1"/>
  <c r="S517" i="1"/>
  <c r="W518" i="1"/>
  <c r="W565" i="1"/>
  <c r="S564" i="1"/>
  <c r="W568" i="1"/>
  <c r="S567" i="1"/>
  <c r="W567" i="1" s="1"/>
  <c r="W43" i="1"/>
  <c r="W50" i="1"/>
  <c r="V92" i="1"/>
  <c r="W99" i="1"/>
  <c r="S101" i="1"/>
  <c r="W144" i="1"/>
  <c r="W154" i="1"/>
  <c r="T213" i="1"/>
  <c r="T215" i="1"/>
  <c r="S238" i="1"/>
  <c r="S241" i="1"/>
  <c r="M240" i="1"/>
  <c r="V240" i="1" s="1"/>
  <c r="S251" i="1"/>
  <c r="P283" i="1"/>
  <c r="C312" i="1"/>
  <c r="C311" i="1" s="1"/>
  <c r="E366" i="1"/>
  <c r="S368" i="1"/>
  <c r="W397" i="1"/>
  <c r="W432" i="1"/>
  <c r="H563" i="1"/>
  <c r="H556" i="1" s="1"/>
  <c r="H555" i="1" s="1"/>
  <c r="T563" i="1"/>
  <c r="V672" i="1"/>
  <c r="S672" i="1"/>
  <c r="M670" i="1"/>
  <c r="M58" i="1"/>
  <c r="V58" i="1" s="1"/>
  <c r="W58" i="1" s="1"/>
  <c r="M69" i="1"/>
  <c r="M68" i="1" s="1"/>
  <c r="V68" i="1" s="1"/>
  <c r="P100" i="1"/>
  <c r="V100" i="1" s="1"/>
  <c r="P140" i="1"/>
  <c r="S217" i="1"/>
  <c r="S219" i="1"/>
  <c r="W219" i="1" s="1"/>
  <c r="S221" i="1"/>
  <c r="W221" i="1" s="1"/>
  <c r="T233" i="1"/>
  <c r="T232" i="1" s="1"/>
  <c r="T231" i="1" s="1"/>
  <c r="M243" i="1"/>
  <c r="L254" i="1"/>
  <c r="L253" i="1" s="1"/>
  <c r="L252" i="1" s="1"/>
  <c r="W277" i="1"/>
  <c r="M278" i="1"/>
  <c r="N283" i="1"/>
  <c r="N282" i="1" s="1"/>
  <c r="E312" i="1"/>
  <c r="E311" i="1" s="1"/>
  <c r="S382" i="1"/>
  <c r="V382" i="1"/>
  <c r="G366" i="1"/>
  <c r="S558" i="1"/>
  <c r="W559" i="1"/>
  <c r="P212" i="1"/>
  <c r="V251" i="1"/>
  <c r="M255" i="1"/>
  <c r="P255" i="1"/>
  <c r="V260" i="1"/>
  <c r="S260" i="1"/>
  <c r="W260" i="1" s="1"/>
  <c r="V267" i="1"/>
  <c r="O283" i="1"/>
  <c r="O282" i="1" s="1"/>
  <c r="L395" i="1"/>
  <c r="L394" i="1" s="1"/>
  <c r="W410" i="1"/>
  <c r="S409" i="1"/>
  <c r="W409" i="1" s="1"/>
  <c r="S471" i="1"/>
  <c r="J556" i="1"/>
  <c r="J555" i="1" s="1"/>
  <c r="I556" i="1"/>
  <c r="I555" i="1" s="1"/>
  <c r="T556" i="1"/>
  <c r="T555" i="1" s="1"/>
  <c r="M16" i="1"/>
  <c r="V16" i="1" s="1"/>
  <c r="M60" i="1"/>
  <c r="V60" i="1" s="1"/>
  <c r="M75" i="1"/>
  <c r="M74" i="1" s="1"/>
  <c r="V74" i="1" s="1"/>
  <c r="M79" i="1"/>
  <c r="M78" i="1" s="1"/>
  <c r="V78" i="1" s="1"/>
  <c r="M134" i="1"/>
  <c r="V134" i="1" s="1"/>
  <c r="V233" i="1"/>
  <c r="W233" i="1" s="1"/>
  <c r="M237" i="1"/>
  <c r="M236" i="1" s="1"/>
  <c r="V241" i="1"/>
  <c r="N254" i="1"/>
  <c r="N253" i="1" s="1"/>
  <c r="N252" i="1" s="1"/>
  <c r="V257" i="1"/>
  <c r="W257" i="1" s="1"/>
  <c r="S267" i="1"/>
  <c r="W268" i="1"/>
  <c r="W269" i="1"/>
  <c r="C335" i="1"/>
  <c r="C334" i="1" s="1"/>
  <c r="M340" i="1"/>
  <c r="V341" i="1"/>
  <c r="W341" i="1" s="1"/>
  <c r="W417" i="1"/>
  <c r="S414" i="1"/>
  <c r="V278" i="1"/>
  <c r="S294" i="1"/>
  <c r="M293" i="1"/>
  <c r="M292" i="1" s="1"/>
  <c r="V292" i="1" s="1"/>
  <c r="N366" i="1"/>
  <c r="W388" i="1"/>
  <c r="S387" i="1"/>
  <c r="W387" i="1" s="1"/>
  <c r="S553" i="1"/>
  <c r="W554" i="1"/>
  <c r="R271" i="1"/>
  <c r="R253" i="1" s="1"/>
  <c r="R252" i="1" s="1"/>
  <c r="S299" i="1"/>
  <c r="H336" i="1"/>
  <c r="H335" i="1" s="1"/>
  <c r="H334" i="1" s="1"/>
  <c r="V377" i="1"/>
  <c r="M374" i="1"/>
  <c r="V374" i="1" s="1"/>
  <c r="S377" i="1"/>
  <c r="S374" i="1" s="1"/>
  <c r="M378" i="1"/>
  <c r="V378" i="1" s="1"/>
  <c r="S380" i="1"/>
  <c r="W380" i="1" s="1"/>
  <c r="V380" i="1"/>
  <c r="W430" i="1"/>
  <c r="S429" i="1"/>
  <c r="K366" i="1"/>
  <c r="C371" i="1"/>
  <c r="C367" i="1" s="1"/>
  <c r="Q371" i="1"/>
  <c r="Q367" i="1" s="1"/>
  <c r="V390" i="1"/>
  <c r="J396" i="1"/>
  <c r="G420" i="1"/>
  <c r="G419" i="1" s="1"/>
  <c r="T462" i="1"/>
  <c r="T454" i="1" s="1"/>
  <c r="T453" i="1" s="1"/>
  <c r="T452" i="1" s="1"/>
  <c r="N501" i="1"/>
  <c r="N487" i="1" s="1"/>
  <c r="I515" i="1"/>
  <c r="I514" i="1" s="1"/>
  <c r="V525" i="1"/>
  <c r="S525" i="1"/>
  <c r="P630" i="1"/>
  <c r="S670" i="1"/>
  <c r="G312" i="1"/>
  <c r="G311" i="1" s="1"/>
  <c r="S337" i="1"/>
  <c r="W338" i="1"/>
  <c r="L366" i="1"/>
  <c r="K396" i="1"/>
  <c r="I395" i="1"/>
  <c r="I394" i="1" s="1"/>
  <c r="H420" i="1"/>
  <c r="H419" i="1" s="1"/>
  <c r="V507" i="1"/>
  <c r="P501" i="1"/>
  <c r="U539" i="1"/>
  <c r="S291" i="1"/>
  <c r="W291" i="1" s="1"/>
  <c r="M336" i="1"/>
  <c r="S349" i="1"/>
  <c r="U371" i="1"/>
  <c r="U367" i="1" s="1"/>
  <c r="H371" i="1"/>
  <c r="H367" i="1" s="1"/>
  <c r="W375" i="1"/>
  <c r="S405" i="1"/>
  <c r="I420" i="1"/>
  <c r="I419" i="1" s="1"/>
  <c r="G453" i="1"/>
  <c r="G452" i="1" s="1"/>
  <c r="S454" i="1"/>
  <c r="M598" i="1"/>
  <c r="V600" i="1"/>
  <c r="S600" i="1"/>
  <c r="W281" i="1"/>
  <c r="W328" i="1"/>
  <c r="N340" i="1"/>
  <c r="N336" i="1" s="1"/>
  <c r="N335" i="1" s="1"/>
  <c r="N334" i="1" s="1"/>
  <c r="V349" i="1"/>
  <c r="P367" i="1"/>
  <c r="I371" i="1"/>
  <c r="I367" i="1" s="1"/>
  <c r="S385" i="1"/>
  <c r="W386" i="1"/>
  <c r="W398" i="1"/>
  <c r="O420" i="1"/>
  <c r="O419" i="1" s="1"/>
  <c r="S439" i="1"/>
  <c r="W439" i="1" s="1"/>
  <c r="V477" i="1"/>
  <c r="S477" i="1"/>
  <c r="U516" i="1"/>
  <c r="W551" i="1"/>
  <c r="S550" i="1"/>
  <c r="W550" i="1" s="1"/>
  <c r="N563" i="1"/>
  <c r="N556" i="1" s="1"/>
  <c r="N555" i="1" s="1"/>
  <c r="P624" i="1"/>
  <c r="V625" i="1"/>
  <c r="W625" i="1" s="1"/>
  <c r="S312" i="1"/>
  <c r="W339" i="1"/>
  <c r="V340" i="1"/>
  <c r="J371" i="1"/>
  <c r="J367" i="1" s="1"/>
  <c r="T371" i="1"/>
  <c r="T367" i="1" s="1"/>
  <c r="C395" i="1"/>
  <c r="C394" i="1" s="1"/>
  <c r="V396" i="1"/>
  <c r="N395" i="1"/>
  <c r="N394" i="1" s="1"/>
  <c r="G395" i="1"/>
  <c r="G394" i="1" s="1"/>
  <c r="V421" i="1"/>
  <c r="M422" i="1"/>
  <c r="M421" i="1" s="1"/>
  <c r="W431" i="1"/>
  <c r="J453" i="1"/>
  <c r="J452" i="1" s="1"/>
  <c r="P516" i="1"/>
  <c r="V537" i="1"/>
  <c r="N632" i="1"/>
  <c r="N631" i="1" s="1"/>
  <c r="T633" i="1"/>
  <c r="T632" i="1" s="1"/>
  <c r="T631" i="1" s="1"/>
  <c r="W642" i="1"/>
  <c r="S641" i="1"/>
  <c r="W641" i="1" s="1"/>
  <c r="T340" i="1"/>
  <c r="T336" i="1" s="1"/>
  <c r="T335" i="1" s="1"/>
  <c r="T334" i="1" s="1"/>
  <c r="W389" i="1"/>
  <c r="E396" i="1"/>
  <c r="Q396" i="1"/>
  <c r="O395" i="1"/>
  <c r="O394" i="1" s="1"/>
  <c r="W483" i="1"/>
  <c r="S482" i="1"/>
  <c r="W482" i="1" s="1"/>
  <c r="H501" i="1"/>
  <c r="H487" i="1" s="1"/>
  <c r="H486" i="1" s="1"/>
  <c r="J630" i="1"/>
  <c r="J629" i="1" s="1"/>
  <c r="M264" i="1"/>
  <c r="V264" i="1" s="1"/>
  <c r="M289" i="1"/>
  <c r="M288" i="1" s="1"/>
  <c r="S345" i="1"/>
  <c r="W346" i="1"/>
  <c r="V348" i="1"/>
  <c r="P347" i="1"/>
  <c r="V347" i="1" s="1"/>
  <c r="S354" i="1"/>
  <c r="W358" i="1"/>
  <c r="S384" i="1"/>
  <c r="W384" i="1" s="1"/>
  <c r="W392" i="1"/>
  <c r="S391" i="1"/>
  <c r="V447" i="1"/>
  <c r="W447" i="1" s="1"/>
  <c r="S449" i="1"/>
  <c r="M462" i="1"/>
  <c r="V462" i="1" s="1"/>
  <c r="W462" i="1" s="1"/>
  <c r="W464" i="1"/>
  <c r="V489" i="1"/>
  <c r="W489" i="1" s="1"/>
  <c r="V523" i="1"/>
  <c r="S523" i="1"/>
  <c r="S521" i="1" s="1"/>
  <c r="S527" i="1"/>
  <c r="W549" i="1"/>
  <c r="M345" i="1"/>
  <c r="M344" i="1" s="1"/>
  <c r="V344" i="1" s="1"/>
  <c r="M385" i="1"/>
  <c r="V385" i="1" s="1"/>
  <c r="U455" i="1"/>
  <c r="U454" i="1" s="1"/>
  <c r="U453" i="1" s="1"/>
  <c r="U452" i="1" s="1"/>
  <c r="M475" i="1"/>
  <c r="M474" i="1" s="1"/>
  <c r="V474" i="1" s="1"/>
  <c r="S543" i="1"/>
  <c r="S712" i="1"/>
  <c r="W713" i="1"/>
  <c r="P452" i="1"/>
  <c r="K487" i="1"/>
  <c r="K486" i="1" s="1"/>
  <c r="T501" i="1"/>
  <c r="T487" i="1" s="1"/>
  <c r="T486" i="1" s="1"/>
  <c r="W507" i="1"/>
  <c r="P555" i="1"/>
  <c r="W579" i="1"/>
  <c r="S578" i="1"/>
  <c r="W578" i="1" s="1"/>
  <c r="V601" i="1"/>
  <c r="S601" i="1"/>
  <c r="I501" i="1"/>
  <c r="I487" i="1" s="1"/>
  <c r="I486" i="1" s="1"/>
  <c r="S502" i="1"/>
  <c r="V542" i="1"/>
  <c r="S542" i="1"/>
  <c r="C556" i="1"/>
  <c r="C555" i="1" s="1"/>
  <c r="M664" i="1"/>
  <c r="V665" i="1"/>
  <c r="M372" i="1"/>
  <c r="V372" i="1" s="1"/>
  <c r="W372" i="1" s="1"/>
  <c r="W448" i="1"/>
  <c r="V455" i="1"/>
  <c r="W455" i="1" s="1"/>
  <c r="U488" i="1"/>
  <c r="W510" i="1"/>
  <c r="M540" i="1"/>
  <c r="W545" i="1"/>
  <c r="W586" i="1"/>
  <c r="W607" i="1"/>
  <c r="S606" i="1"/>
  <c r="M369" i="1"/>
  <c r="C487" i="1"/>
  <c r="C486" i="1" s="1"/>
  <c r="V488" i="1"/>
  <c r="P487" i="1"/>
  <c r="S496" i="1"/>
  <c r="N539" i="1"/>
  <c r="N515" i="1" s="1"/>
  <c r="N514" i="1" s="1"/>
  <c r="V553" i="1"/>
  <c r="V634" i="1"/>
  <c r="S634" i="1"/>
  <c r="M632" i="1"/>
  <c r="E487" i="1"/>
  <c r="E486" i="1" s="1"/>
  <c r="Q487" i="1"/>
  <c r="Q486" i="1" s="1"/>
  <c r="O516" i="1"/>
  <c r="O515" i="1" s="1"/>
  <c r="O514" i="1" s="1"/>
  <c r="V536" i="1"/>
  <c r="S623" i="1"/>
  <c r="R630" i="1"/>
  <c r="R629" i="1" s="1"/>
  <c r="U564" i="1"/>
  <c r="U563" i="1" s="1"/>
  <c r="U556" i="1" s="1"/>
  <c r="U555" i="1" s="1"/>
  <c r="V605" i="1"/>
  <c r="E624" i="1"/>
  <c r="E623" i="1" s="1"/>
  <c r="E622" i="1" s="1"/>
  <c r="Q624" i="1"/>
  <c r="Q623" i="1" s="1"/>
  <c r="Q622" i="1" s="1"/>
  <c r="W798" i="1"/>
  <c r="S505" i="1"/>
  <c r="W505" i="1" s="1"/>
  <c r="M517" i="1"/>
  <c r="M527" i="1"/>
  <c r="V527" i="1" s="1"/>
  <c r="M553" i="1"/>
  <c r="M552" i="1" s="1"/>
  <c r="V552" i="1" s="1"/>
  <c r="L563" i="1"/>
  <c r="L556" i="1" s="1"/>
  <c r="L555" i="1" s="1"/>
  <c r="U567" i="1"/>
  <c r="S612" i="1"/>
  <c r="W614" i="1"/>
  <c r="H631" i="1"/>
  <c r="H630" i="1" s="1"/>
  <c r="H629" i="1" s="1"/>
  <c r="S696" i="1"/>
  <c r="M563" i="1"/>
  <c r="W566" i="1"/>
  <c r="P611" i="1"/>
  <c r="S637" i="1"/>
  <c r="W637" i="1" s="1"/>
  <c r="S687" i="1"/>
  <c r="W715" i="1"/>
  <c r="S714" i="1"/>
  <c r="S838" i="1"/>
  <c r="M837" i="1"/>
  <c r="M836" i="1" s="1"/>
  <c r="M835" i="1" s="1"/>
  <c r="M834" i="1" s="1"/>
  <c r="V838" i="1"/>
  <c r="R663" i="1"/>
  <c r="R662" i="1" s="1"/>
  <c r="M678" i="1"/>
  <c r="V679" i="1"/>
  <c r="W679" i="1" s="1"/>
  <c r="W497" i="1"/>
  <c r="W503" i="1"/>
  <c r="P596" i="1"/>
  <c r="P604" i="1"/>
  <c r="V604" i="1" s="1"/>
  <c r="J624" i="1"/>
  <c r="J623" i="1" s="1"/>
  <c r="J622" i="1" s="1"/>
  <c r="S644" i="1"/>
  <c r="W645" i="1"/>
  <c r="S665" i="1"/>
  <c r="P663" i="1"/>
  <c r="G667" i="1"/>
  <c r="G663" i="1" s="1"/>
  <c r="G662" i="1" s="1"/>
  <c r="G668" i="1"/>
  <c r="N677" i="1"/>
  <c r="N676" i="1" s="1"/>
  <c r="E694" i="1"/>
  <c r="E693" i="1" s="1"/>
  <c r="V707" i="1"/>
  <c r="M706" i="1"/>
  <c r="V706" i="1" s="1"/>
  <c r="S707" i="1"/>
  <c r="Q597" i="1"/>
  <c r="Q596" i="1" s="1"/>
  <c r="Q595" i="1" s="1"/>
  <c r="W628" i="1"/>
  <c r="I646" i="1"/>
  <c r="I630" i="1" s="1"/>
  <c r="I629" i="1" s="1"/>
  <c r="H663" i="1"/>
  <c r="H662" i="1" s="1"/>
  <c r="S704" i="1"/>
  <c r="W704" i="1" s="1"/>
  <c r="U719" i="1"/>
  <c r="M450" i="1"/>
  <c r="M543" i="1"/>
  <c r="V543" i="1" s="1"/>
  <c r="F563" i="1"/>
  <c r="F556" i="1" s="1"/>
  <c r="F555" i="1" s="1"/>
  <c r="R563" i="1"/>
  <c r="R556" i="1" s="1"/>
  <c r="R555" i="1" s="1"/>
  <c r="S591" i="1"/>
  <c r="W591" i="1" s="1"/>
  <c r="U624" i="1"/>
  <c r="U623" i="1" s="1"/>
  <c r="U622" i="1" s="1"/>
  <c r="W671" i="1"/>
  <c r="G563" i="1"/>
  <c r="G556" i="1" s="1"/>
  <c r="G555" i="1" s="1"/>
  <c r="S647" i="1"/>
  <c r="N663" i="1"/>
  <c r="N662" i="1" s="1"/>
  <c r="J663" i="1"/>
  <c r="J662" i="1" s="1"/>
  <c r="T708" i="1"/>
  <c r="T694" i="1" s="1"/>
  <c r="T693" i="1" s="1"/>
  <c r="N647" i="1"/>
  <c r="N646" i="1" s="1"/>
  <c r="T653" i="1"/>
  <c r="T647" i="1" s="1"/>
  <c r="T646" i="1" s="1"/>
  <c r="O663" i="1"/>
  <c r="O662" i="1" s="1"/>
  <c r="S684" i="1"/>
  <c r="W684" i="1" s="1"/>
  <c r="W685" i="1"/>
  <c r="U646" i="1"/>
  <c r="U630" i="1" s="1"/>
  <c r="U629" i="1" s="1"/>
  <c r="W658" i="1"/>
  <c r="S675" i="1"/>
  <c r="M674" i="1"/>
  <c r="J677" i="1"/>
  <c r="J676" i="1" s="1"/>
  <c r="F695" i="1"/>
  <c r="F694" i="1" s="1"/>
  <c r="F693" i="1" s="1"/>
  <c r="R695" i="1"/>
  <c r="R694" i="1" s="1"/>
  <c r="R693" i="1" s="1"/>
  <c r="H737" i="1"/>
  <c r="H718" i="1" s="1"/>
  <c r="H717" i="1" s="1"/>
  <c r="V765" i="1"/>
  <c r="M764" i="1"/>
  <c r="V764" i="1" s="1"/>
  <c r="S765" i="1"/>
  <c r="S667" i="1"/>
  <c r="O677" i="1"/>
  <c r="O676" i="1" s="1"/>
  <c r="V687" i="1"/>
  <c r="C694" i="1"/>
  <c r="C693" i="1" s="1"/>
  <c r="G695" i="1"/>
  <c r="G694" i="1" s="1"/>
  <c r="G693" i="1" s="1"/>
  <c r="S709" i="1"/>
  <c r="W711" i="1"/>
  <c r="G718" i="1"/>
  <c r="G717" i="1" s="1"/>
  <c r="M825" i="1"/>
  <c r="V825" i="1" s="1"/>
  <c r="P677" i="1"/>
  <c r="L678" i="1"/>
  <c r="L677" i="1" s="1"/>
  <c r="L676" i="1" s="1"/>
  <c r="H695" i="1"/>
  <c r="H694" i="1" s="1"/>
  <c r="H693" i="1" s="1"/>
  <c r="M712" i="1"/>
  <c r="V712" i="1" s="1"/>
  <c r="S721" i="1"/>
  <c r="S740" i="1"/>
  <c r="W741" i="1"/>
  <c r="S802" i="1"/>
  <c r="S797" i="1" s="1"/>
  <c r="W803" i="1"/>
  <c r="J719" i="1"/>
  <c r="J718" i="1" s="1"/>
  <c r="J717" i="1" s="1"/>
  <c r="M725" i="1"/>
  <c r="V731" i="1"/>
  <c r="W731" i="1" s="1"/>
  <c r="T840" i="1"/>
  <c r="T839" i="1" s="1"/>
  <c r="S751" i="1"/>
  <c r="W752" i="1"/>
  <c r="S766" i="1"/>
  <c r="V766" i="1"/>
  <c r="V792" i="1"/>
  <c r="P791" i="1"/>
  <c r="O796" i="1"/>
  <c r="O795" i="1" s="1"/>
  <c r="W806" i="1"/>
  <c r="S805" i="1"/>
  <c r="W829" i="1"/>
  <c r="S691" i="1"/>
  <c r="W692" i="1"/>
  <c r="O694" i="1"/>
  <c r="O693" i="1" s="1"/>
  <c r="W697" i="1"/>
  <c r="W703" i="1"/>
  <c r="W716" i="1"/>
  <c r="N718" i="1"/>
  <c r="N717" i="1" s="1"/>
  <c r="L718" i="1"/>
  <c r="L717" i="1" s="1"/>
  <c r="T737" i="1"/>
  <c r="T718" i="1" s="1"/>
  <c r="T717" i="1" s="1"/>
  <c r="V784" i="1"/>
  <c r="S784" i="1"/>
  <c r="M783" i="1"/>
  <c r="V783" i="1" s="1"/>
  <c r="V798" i="1"/>
  <c r="P797" i="1"/>
  <c r="V952" i="1"/>
  <c r="M951" i="1"/>
  <c r="S952" i="1"/>
  <c r="M647" i="1"/>
  <c r="M646" i="1" s="1"/>
  <c r="V646" i="1" s="1"/>
  <c r="M660" i="1"/>
  <c r="O667" i="1"/>
  <c r="V670" i="1"/>
  <c r="L695" i="1"/>
  <c r="L694" i="1" s="1"/>
  <c r="L693" i="1" s="1"/>
  <c r="M720" i="1"/>
  <c r="K737" i="1"/>
  <c r="K718" i="1" s="1"/>
  <c r="K717" i="1" s="1"/>
  <c r="U737" i="1"/>
  <c r="J755" i="1"/>
  <c r="J754" i="1" s="1"/>
  <c r="J753" i="1" s="1"/>
  <c r="W788" i="1"/>
  <c r="V815" i="1"/>
  <c r="M814" i="1"/>
  <c r="S815" i="1"/>
  <c r="M627" i="1"/>
  <c r="M624" i="1" s="1"/>
  <c r="M623" i="1" s="1"/>
  <c r="M622" i="1" s="1"/>
  <c r="M635" i="1"/>
  <c r="V635" i="1" s="1"/>
  <c r="W635" i="1" s="1"/>
  <c r="M644" i="1"/>
  <c r="N660" i="1"/>
  <c r="N659" i="1" s="1"/>
  <c r="W688" i="1"/>
  <c r="M695" i="1"/>
  <c r="V696" i="1"/>
  <c r="W735" i="1"/>
  <c r="S734" i="1"/>
  <c r="W734" i="1" s="1"/>
  <c r="W739" i="1"/>
  <c r="S749" i="1"/>
  <c r="V761" i="1"/>
  <c r="W761" i="1" s="1"/>
  <c r="M760" i="1"/>
  <c r="V760" i="1" s="1"/>
  <c r="T813" i="1"/>
  <c r="T812" i="1" s="1"/>
  <c r="T811" i="1" s="1"/>
  <c r="O812" i="1"/>
  <c r="O811" i="1" s="1"/>
  <c r="P926" i="1"/>
  <c r="V926" i="1" s="1"/>
  <c r="V927" i="1"/>
  <c r="V682" i="1"/>
  <c r="W682" i="1" s="1"/>
  <c r="N695" i="1"/>
  <c r="N694" i="1" s="1"/>
  <c r="N693" i="1" s="1"/>
  <c r="V701" i="1"/>
  <c r="W701" i="1" s="1"/>
  <c r="O719" i="1"/>
  <c r="O718" i="1" s="1"/>
  <c r="O717" i="1" s="1"/>
  <c r="W727" i="1"/>
  <c r="V732" i="1"/>
  <c r="S732" i="1"/>
  <c r="W732" i="1" s="1"/>
  <c r="M738" i="1"/>
  <c r="V776" i="1"/>
  <c r="S776" i="1"/>
  <c r="M775" i="1"/>
  <c r="C719" i="1"/>
  <c r="C718" i="1" s="1"/>
  <c r="C717" i="1" s="1"/>
  <c r="P719" i="1"/>
  <c r="V867" i="1"/>
  <c r="S867" i="1"/>
  <c r="M866" i="1"/>
  <c r="V866" i="1" s="1"/>
  <c r="S870" i="1"/>
  <c r="W870" i="1" s="1"/>
  <c r="W871" i="1"/>
  <c r="Q719" i="1"/>
  <c r="Q718" i="1" s="1"/>
  <c r="Q717" i="1" s="1"/>
  <c r="V725" i="1"/>
  <c r="W736" i="1"/>
  <c r="W793" i="1"/>
  <c r="F797" i="1"/>
  <c r="F796" i="1" s="1"/>
  <c r="F795" i="1" s="1"/>
  <c r="R797" i="1"/>
  <c r="R796" i="1" s="1"/>
  <c r="R795" i="1" s="1"/>
  <c r="S819" i="1"/>
  <c r="W819" i="1" s="1"/>
  <c r="V819" i="1"/>
  <c r="V829" i="1"/>
  <c r="U834" i="1"/>
  <c r="P877" i="1"/>
  <c r="P873" i="1" s="1"/>
  <c r="S957" i="1"/>
  <c r="M691" i="1"/>
  <c r="M740" i="1"/>
  <c r="V740" i="1" s="1"/>
  <c r="W757" i="1"/>
  <c r="S763" i="1"/>
  <c r="W763" i="1" s="1"/>
  <c r="G797" i="1"/>
  <c r="G796" i="1" s="1"/>
  <c r="G795" i="1" s="1"/>
  <c r="T797" i="1"/>
  <c r="T796" i="1" s="1"/>
  <c r="T795" i="1" s="1"/>
  <c r="M802" i="1"/>
  <c r="V802" i="1" s="1"/>
  <c r="V809" i="1"/>
  <c r="N812" i="1"/>
  <c r="N811" i="1" s="1"/>
  <c r="H840" i="1"/>
  <c r="H839" i="1" s="1"/>
  <c r="W845" i="1"/>
  <c r="S844" i="1"/>
  <c r="V879" i="1"/>
  <c r="S879" i="1"/>
  <c r="M878" i="1"/>
  <c r="W882" i="1"/>
  <c r="P893" i="1"/>
  <c r="W972" i="1"/>
  <c r="S971" i="1"/>
  <c r="T772" i="1"/>
  <c r="V788" i="1"/>
  <c r="E796" i="1"/>
  <c r="E795" i="1" s="1"/>
  <c r="U797" i="1"/>
  <c r="U796" i="1" s="1"/>
  <c r="U795" i="1" s="1"/>
  <c r="M832" i="1"/>
  <c r="S833" i="1"/>
  <c r="S850" i="1"/>
  <c r="W850" i="1" s="1"/>
  <c r="T877" i="1"/>
  <c r="T873" i="1" s="1"/>
  <c r="T872" i="1" s="1"/>
  <c r="Q893" i="1"/>
  <c r="Q892" i="1" s="1"/>
  <c r="U840" i="1"/>
  <c r="U839" i="1" s="1"/>
  <c r="W891" i="1"/>
  <c r="S890" i="1"/>
  <c r="W890" i="1" s="1"/>
  <c r="T922" i="1"/>
  <c r="T919" i="1" s="1"/>
  <c r="N919" i="1"/>
  <c r="S874" i="1"/>
  <c r="S897" i="1"/>
  <c r="V768" i="1"/>
  <c r="W768" i="1" s="1"/>
  <c r="S817" i="1"/>
  <c r="V817" i="1"/>
  <c r="F813" i="1"/>
  <c r="F812" i="1" s="1"/>
  <c r="F811" i="1" s="1"/>
  <c r="V833" i="1"/>
  <c r="W843" i="1"/>
  <c r="M862" i="1"/>
  <c r="V864" i="1"/>
  <c r="S864" i="1"/>
  <c r="J877" i="1"/>
  <c r="J873" i="1" s="1"/>
  <c r="J872" i="1" s="1"/>
  <c r="U760" i="1"/>
  <c r="P772" i="1"/>
  <c r="S820" i="1"/>
  <c r="W820" i="1" s="1"/>
  <c r="S826" i="1"/>
  <c r="T858" i="1"/>
  <c r="U877" i="1"/>
  <c r="L893" i="1"/>
  <c r="L892" i="1" s="1"/>
  <c r="U907" i="1"/>
  <c r="M668" i="1"/>
  <c r="V770" i="1"/>
  <c r="W770" i="1" s="1"/>
  <c r="V778" i="1"/>
  <c r="S778" i="1"/>
  <c r="Q796" i="1"/>
  <c r="Q795" i="1" s="1"/>
  <c r="M797" i="1"/>
  <c r="M796" i="1" s="1"/>
  <c r="M795" i="1" s="1"/>
  <c r="U816" i="1"/>
  <c r="U813" i="1" s="1"/>
  <c r="U812" i="1" s="1"/>
  <c r="U811" i="1" s="1"/>
  <c r="S823" i="1"/>
  <c r="W823" i="1" s="1"/>
  <c r="T854" i="1"/>
  <c r="T853" i="1" s="1"/>
  <c r="S936" i="1"/>
  <c r="W936" i="1" s="1"/>
  <c r="W937" i="1"/>
  <c r="Q946" i="1"/>
  <c r="Q945" i="1" s="1"/>
  <c r="T755" i="1"/>
  <c r="W781" i="1"/>
  <c r="V787" i="1"/>
  <c r="P786" i="1"/>
  <c r="U873" i="1"/>
  <c r="U872" i="1" s="1"/>
  <c r="W881" i="1"/>
  <c r="V886" i="1"/>
  <c r="M885" i="1"/>
  <c r="V885" i="1" s="1"/>
  <c r="S886" i="1"/>
  <c r="M874" i="1"/>
  <c r="V875" i="1"/>
  <c r="W875" i="1" s="1"/>
  <c r="T898" i="1"/>
  <c r="K897" i="1"/>
  <c r="K893" i="1" s="1"/>
  <c r="K892" i="1" s="1"/>
  <c r="I946" i="1"/>
  <c r="I945" i="1" s="1"/>
  <c r="W799" i="1"/>
  <c r="L813" i="1"/>
  <c r="L812" i="1" s="1"/>
  <c r="L811" i="1" s="1"/>
  <c r="V826" i="1"/>
  <c r="V862" i="1"/>
  <c r="P858" i="1"/>
  <c r="W810" i="1"/>
  <c r="V844" i="1"/>
  <c r="S901" i="1"/>
  <c r="W901" i="1" s="1"/>
  <c r="U921" i="1"/>
  <c r="U919" i="1" s="1"/>
  <c r="U897" i="1" s="1"/>
  <c r="U893" i="1" s="1"/>
  <c r="U892" i="1" s="1"/>
  <c r="P840" i="1"/>
  <c r="N854" i="1"/>
  <c r="N853" i="1" s="1"/>
  <c r="M856" i="1"/>
  <c r="S857" i="1"/>
  <c r="S888" i="1"/>
  <c r="W888" i="1" s="1"/>
  <c r="W923" i="1"/>
  <c r="P923" i="1"/>
  <c r="V923" i="1" s="1"/>
  <c r="V924" i="1"/>
  <c r="P929" i="1"/>
  <c r="V929" i="1" s="1"/>
  <c r="V930" i="1"/>
  <c r="S948" i="1"/>
  <c r="W949" i="1"/>
  <c r="M957" i="1"/>
  <c r="V959" i="1"/>
  <c r="W959" i="1" s="1"/>
  <c r="V957" i="1"/>
  <c r="S787" i="1"/>
  <c r="S792" i="1"/>
  <c r="W846" i="1"/>
  <c r="W849" i="1"/>
  <c r="H858" i="1"/>
  <c r="H854" i="1" s="1"/>
  <c r="H853" i="1" s="1"/>
  <c r="V907" i="1"/>
  <c r="S930" i="1"/>
  <c r="P966" i="1"/>
  <c r="Q840" i="1"/>
  <c r="Q839" i="1" s="1"/>
  <c r="I893" i="1"/>
  <c r="I892" i="1" s="1"/>
  <c r="H895" i="1"/>
  <c r="H894" i="1" s="1"/>
  <c r="H893" i="1" s="1"/>
  <c r="H892" i="1" s="1"/>
  <c r="M896" i="1"/>
  <c r="N898" i="1"/>
  <c r="N897" i="1" s="1"/>
  <c r="S919" i="1"/>
  <c r="W919" i="1" s="1"/>
  <c r="W920" i="1"/>
  <c r="W924" i="1"/>
  <c r="W926" i="1"/>
  <c r="W927" i="1"/>
  <c r="S940" i="1"/>
  <c r="W940" i="1" s="1"/>
  <c r="L946" i="1"/>
  <c r="L945" i="1" s="1"/>
  <c r="S809" i="1"/>
  <c r="V837" i="1"/>
  <c r="T837" i="1"/>
  <c r="T836" i="1" s="1"/>
  <c r="P836" i="1"/>
  <c r="S837" i="1"/>
  <c r="E839" i="1"/>
  <c r="H877" i="1"/>
  <c r="H873" i="1" s="1"/>
  <c r="H872" i="1" s="1"/>
  <c r="J893" i="1"/>
  <c r="J892" i="1" s="1"/>
  <c r="O897" i="1"/>
  <c r="O893" i="1" s="1"/>
  <c r="O892" i="1" s="1"/>
  <c r="M948" i="1"/>
  <c r="P950" i="1"/>
  <c r="W954" i="1"/>
  <c r="M816" i="1"/>
  <c r="V816" i="1" s="1"/>
  <c r="V869" i="1"/>
  <c r="S869" i="1"/>
  <c r="S907" i="1"/>
  <c r="N946" i="1"/>
  <c r="N945" i="1" s="1"/>
  <c r="T950" i="1"/>
  <c r="T946" i="1" s="1"/>
  <c r="T945" i="1" s="1"/>
  <c r="W964" i="1"/>
  <c r="V874" i="1"/>
  <c r="T907" i="1"/>
  <c r="I950" i="1"/>
  <c r="M859" i="1"/>
  <c r="S860" i="1"/>
  <c r="V941" i="1"/>
  <c r="W941" i="1" s="1"/>
  <c r="S969" i="1"/>
  <c r="W969" i="1" s="1"/>
  <c r="N936" i="1"/>
  <c r="N929" i="1" s="1"/>
  <c r="M842" i="1"/>
  <c r="M841" i="1" s="1"/>
  <c r="M971" i="1"/>
  <c r="T935" i="1"/>
  <c r="T930" i="1" s="1"/>
  <c r="T929" i="1" s="1"/>
  <c r="M967" i="1"/>
  <c r="V967" i="1" s="1"/>
  <c r="M897" i="1" l="1"/>
  <c r="V897" i="1" s="1"/>
  <c r="V898" i="1"/>
  <c r="W898" i="1" s="1"/>
  <c r="N893" i="1"/>
  <c r="N892" i="1" s="1"/>
  <c r="W897" i="1"/>
  <c r="W900" i="1"/>
  <c r="W844" i="1"/>
  <c r="T754" i="1"/>
  <c r="T753" i="1" s="1"/>
  <c r="U755" i="1"/>
  <c r="U754" i="1" s="1"/>
  <c r="U753" i="1" s="1"/>
  <c r="W714" i="1"/>
  <c r="W601" i="1"/>
  <c r="U487" i="1"/>
  <c r="U486" i="1" s="1"/>
  <c r="M501" i="1"/>
  <c r="M487" i="1" s="1"/>
  <c r="M486" i="1" s="1"/>
  <c r="V502" i="1"/>
  <c r="M454" i="1"/>
  <c r="V501" i="1"/>
  <c r="W521" i="1"/>
  <c r="M420" i="1"/>
  <c r="W429" i="1"/>
  <c r="R976" i="1"/>
  <c r="M11" i="5" s="1"/>
  <c r="W382" i="1"/>
  <c r="W47" i="1"/>
  <c r="S226" i="1"/>
  <c r="W226" i="1" s="1"/>
  <c r="T212" i="1"/>
  <c r="W527" i="1"/>
  <c r="W92" i="1"/>
  <c r="M516" i="1"/>
  <c r="W766" i="1"/>
  <c r="M283" i="1"/>
  <c r="M282" i="1" s="1"/>
  <c r="T216" i="1"/>
  <c r="S378" i="1"/>
  <c r="S371" i="1" s="1"/>
  <c r="S367" i="1" s="1"/>
  <c r="T87" i="1"/>
  <c r="T86" i="1" s="1"/>
  <c r="T85" i="1" s="1"/>
  <c r="W275" i="1"/>
  <c r="T116" i="1"/>
  <c r="T107" i="1" s="1"/>
  <c r="T106" i="1" s="1"/>
  <c r="K10" i="1"/>
  <c r="K9" i="1" s="1"/>
  <c r="P694" i="1"/>
  <c r="P693" i="1" s="1"/>
  <c r="H976" i="1"/>
  <c r="H366" i="1"/>
  <c r="W374" i="1"/>
  <c r="G25" i="1"/>
  <c r="G975" i="1"/>
  <c r="U366" i="1"/>
  <c r="C976" i="1"/>
  <c r="C366" i="1"/>
  <c r="C10" i="1" s="1"/>
  <c r="C9" i="1" s="1"/>
  <c r="N25" i="1"/>
  <c r="N975" i="1"/>
  <c r="I10" i="5" s="1"/>
  <c r="E25" i="1"/>
  <c r="E975" i="1"/>
  <c r="G211" i="1"/>
  <c r="G210" i="1" s="1"/>
  <c r="G216" i="1"/>
  <c r="G209" i="1"/>
  <c r="G224" i="1"/>
  <c r="G223" i="1" s="1"/>
  <c r="N486" i="1"/>
  <c r="U25" i="1"/>
  <c r="U975" i="1"/>
  <c r="S622" i="1"/>
  <c r="S344" i="1"/>
  <c r="W344" i="1" s="1"/>
  <c r="V45" i="1"/>
  <c r="S45" i="1"/>
  <c r="M42" i="1"/>
  <c r="V42" i="1" s="1"/>
  <c r="M966" i="1"/>
  <c r="V966" i="1" s="1"/>
  <c r="P872" i="1"/>
  <c r="V948" i="1"/>
  <c r="M947" i="1"/>
  <c r="M855" i="1"/>
  <c r="V856" i="1"/>
  <c r="W805" i="1"/>
  <c r="S804" i="1"/>
  <c r="W804" i="1" s="1"/>
  <c r="P676" i="1"/>
  <c r="S764" i="1"/>
  <c r="W764" i="1" s="1"/>
  <c r="W765" i="1"/>
  <c r="S646" i="1"/>
  <c r="W646" i="1" s="1"/>
  <c r="U718" i="1"/>
  <c r="U717" i="1" s="1"/>
  <c r="W542" i="1"/>
  <c r="S540" i="1"/>
  <c r="W385" i="1"/>
  <c r="P629" i="1"/>
  <c r="W267" i="1"/>
  <c r="S266" i="1"/>
  <c r="W266" i="1" s="1"/>
  <c r="V288" i="1"/>
  <c r="G976" i="1"/>
  <c r="W238" i="1"/>
  <c r="S237" i="1"/>
  <c r="W564" i="1"/>
  <c r="S563" i="1"/>
  <c r="M191" i="1"/>
  <c r="V191" i="1" s="1"/>
  <c r="V192" i="1"/>
  <c r="W192" i="1" s="1"/>
  <c r="S289" i="1"/>
  <c r="V79" i="1"/>
  <c r="P27" i="1"/>
  <c r="V28" i="1"/>
  <c r="V69" i="1"/>
  <c r="W69" i="1" s="1"/>
  <c r="R10" i="1"/>
  <c r="R9" i="1" s="1"/>
  <c r="H975" i="1"/>
  <c r="S13" i="1"/>
  <c r="W14" i="1"/>
  <c r="F209" i="1"/>
  <c r="F211" i="1"/>
  <c r="F210" i="1" s="1"/>
  <c r="F216" i="1"/>
  <c r="M840" i="1"/>
  <c r="M839" i="1" s="1"/>
  <c r="V841" i="1"/>
  <c r="W841" i="1" s="1"/>
  <c r="S967" i="1"/>
  <c r="W967" i="1" s="1"/>
  <c r="V786" i="1"/>
  <c r="P785" i="1"/>
  <c r="V785" i="1" s="1"/>
  <c r="W778" i="1"/>
  <c r="P754" i="1"/>
  <c r="W833" i="1"/>
  <c r="S832" i="1"/>
  <c r="V878" i="1"/>
  <c r="M877" i="1"/>
  <c r="W867" i="1"/>
  <c r="S866" i="1"/>
  <c r="W866" i="1" s="1"/>
  <c r="S725" i="1"/>
  <c r="W725" i="1" s="1"/>
  <c r="W749" i="1"/>
  <c r="S748" i="1"/>
  <c r="W748" i="1" s="1"/>
  <c r="S814" i="1"/>
  <c r="W815" i="1"/>
  <c r="P595" i="1"/>
  <c r="W496" i="1"/>
  <c r="S488" i="1"/>
  <c r="M539" i="1"/>
  <c r="V539" i="1" s="1"/>
  <c r="V540" i="1"/>
  <c r="S390" i="1"/>
  <c r="W390" i="1" s="1"/>
  <c r="W391" i="1"/>
  <c r="V624" i="1"/>
  <c r="W624" i="1" s="1"/>
  <c r="P623" i="1"/>
  <c r="I976" i="1"/>
  <c r="I366" i="1"/>
  <c r="I10" i="1" s="1"/>
  <c r="I9" i="1" s="1"/>
  <c r="W525" i="1"/>
  <c r="K976" i="1"/>
  <c r="O976" i="1"/>
  <c r="J11" i="5" s="1"/>
  <c r="O366" i="1"/>
  <c r="S175" i="1"/>
  <c r="W175" i="1" s="1"/>
  <c r="W176" i="1"/>
  <c r="T36" i="1"/>
  <c r="T26" i="1" s="1"/>
  <c r="S54" i="1"/>
  <c r="V54" i="1"/>
  <c r="R975" i="1"/>
  <c r="W817" i="1"/>
  <c r="S816" i="1"/>
  <c r="W816" i="1" s="1"/>
  <c r="S311" i="1"/>
  <c r="W311" i="1" s="1"/>
  <c r="W312" i="1"/>
  <c r="W399" i="1"/>
  <c r="S396" i="1"/>
  <c r="W396" i="1" s="1"/>
  <c r="F224" i="1"/>
  <c r="F223" i="1" s="1"/>
  <c r="W756" i="1"/>
  <c r="M813" i="1"/>
  <c r="V814" i="1"/>
  <c r="M659" i="1"/>
  <c r="V659" i="1" s="1"/>
  <c r="W659" i="1" s="1"/>
  <c r="V660" i="1"/>
  <c r="W660" i="1" s="1"/>
  <c r="W696" i="1"/>
  <c r="V487" i="1"/>
  <c r="P486" i="1"/>
  <c r="V486" i="1" s="1"/>
  <c r="W502" i="1"/>
  <c r="S501" i="1"/>
  <c r="W501" i="1" s="1"/>
  <c r="T630" i="1"/>
  <c r="T629" i="1" s="1"/>
  <c r="P366" i="1"/>
  <c r="Q976" i="1"/>
  <c r="L11" i="5" s="1"/>
  <c r="Q366" i="1"/>
  <c r="S293" i="1"/>
  <c r="W294" i="1"/>
  <c r="W217" i="1"/>
  <c r="S216" i="1"/>
  <c r="W216" i="1" s="1"/>
  <c r="T211" i="1"/>
  <c r="T210" i="1" s="1"/>
  <c r="T209" i="1" s="1"/>
  <c r="S28" i="1"/>
  <c r="W29" i="1"/>
  <c r="K975" i="1"/>
  <c r="V109" i="1"/>
  <c r="M108" i="1"/>
  <c r="V108" i="1" s="1"/>
  <c r="W191" i="1"/>
  <c r="M116" i="1"/>
  <c r="S60" i="1"/>
  <c r="W60" i="1" s="1"/>
  <c r="Q26" i="1"/>
  <c r="H10" i="1"/>
  <c r="H9" i="1" s="1"/>
  <c r="P839" i="1"/>
  <c r="V839" i="1" s="1"/>
  <c r="V840" i="1"/>
  <c r="T897" i="1"/>
  <c r="T893" i="1" s="1"/>
  <c r="T892" i="1" s="1"/>
  <c r="W874" i="1"/>
  <c r="P718" i="1"/>
  <c r="V791" i="1"/>
  <c r="P790" i="1"/>
  <c r="V790" i="1" s="1"/>
  <c r="M453" i="1"/>
  <c r="V454" i="1"/>
  <c r="N630" i="1"/>
  <c r="N629" i="1" s="1"/>
  <c r="S395" i="1"/>
  <c r="W405" i="1"/>
  <c r="V475" i="1"/>
  <c r="V140" i="1"/>
  <c r="P137" i="1"/>
  <c r="S516" i="1"/>
  <c r="S112" i="1"/>
  <c r="W112" i="1" s="1"/>
  <c r="W113" i="1"/>
  <c r="M271" i="1"/>
  <c r="W538" i="1"/>
  <c r="S537" i="1"/>
  <c r="V20" i="1"/>
  <c r="P19" i="1"/>
  <c r="W200" i="1"/>
  <c r="S109" i="1"/>
  <c r="W110" i="1"/>
  <c r="W120" i="1"/>
  <c r="P86" i="1"/>
  <c r="S162" i="1"/>
  <c r="W162" i="1" s="1"/>
  <c r="O36" i="1"/>
  <c r="O26" i="1" s="1"/>
  <c r="M87" i="1"/>
  <c r="M86" i="1" s="1"/>
  <c r="M85" i="1" s="1"/>
  <c r="C975" i="1"/>
  <c r="W857" i="1"/>
  <c r="S856" i="1"/>
  <c r="M556" i="1"/>
  <c r="V563" i="1"/>
  <c r="W930" i="1"/>
  <c r="S929" i="1"/>
  <c r="W929" i="1" s="1"/>
  <c r="W864" i="1"/>
  <c r="S862" i="1"/>
  <c r="W862" i="1" s="1"/>
  <c r="M690" i="1"/>
  <c r="V690" i="1" s="1"/>
  <c r="V691" i="1"/>
  <c r="S951" i="1"/>
  <c r="W952" i="1"/>
  <c r="V647" i="1"/>
  <c r="W647" i="1" s="1"/>
  <c r="P662" i="1"/>
  <c r="M708" i="1"/>
  <c r="V708" i="1" s="1"/>
  <c r="W378" i="1"/>
  <c r="W299" i="1"/>
  <c r="S298" i="1"/>
  <c r="W298" i="1" s="1"/>
  <c r="W414" i="1"/>
  <c r="S413" i="1"/>
  <c r="W413" i="1" s="1"/>
  <c r="W471" i="1"/>
  <c r="V255" i="1"/>
  <c r="P254" i="1"/>
  <c r="F976" i="1"/>
  <c r="F366" i="1"/>
  <c r="W278" i="1"/>
  <c r="M152" i="1"/>
  <c r="M151" i="1" s="1"/>
  <c r="M150" i="1" s="1"/>
  <c r="AD27" i="1"/>
  <c r="M36" i="1"/>
  <c r="M26" i="1" s="1"/>
  <c r="M25" i="1" s="1"/>
  <c r="N10" i="1"/>
  <c r="N9" i="1" s="1"/>
  <c r="E212" i="1"/>
  <c r="J975" i="1"/>
  <c r="M831" i="1"/>
  <c r="V831" i="1" s="1"/>
  <c r="V832" i="1"/>
  <c r="M667" i="1"/>
  <c r="V667" i="1" s="1"/>
  <c r="V668" i="1"/>
  <c r="W668" i="1" s="1"/>
  <c r="W802" i="1"/>
  <c r="W860" i="1"/>
  <c r="S859" i="1"/>
  <c r="M873" i="1"/>
  <c r="M872" i="1" s="1"/>
  <c r="W957" i="1"/>
  <c r="M772" i="1"/>
  <c r="V772" i="1" s="1"/>
  <c r="V775" i="1"/>
  <c r="V951" i="1"/>
  <c r="M950" i="1"/>
  <c r="V950" i="1" s="1"/>
  <c r="W709" i="1"/>
  <c r="S708" i="1"/>
  <c r="W712" i="1"/>
  <c r="W523" i="1"/>
  <c r="T366" i="1"/>
  <c r="U515" i="1"/>
  <c r="U514" i="1" s="1"/>
  <c r="M254" i="1"/>
  <c r="W101" i="1"/>
  <c r="S100" i="1"/>
  <c r="W100" i="1" s="1"/>
  <c r="S197" i="1"/>
  <c r="W32" i="1"/>
  <c r="S31" i="1"/>
  <c r="W31" i="1" s="1"/>
  <c r="V75" i="1"/>
  <c r="W79" i="1"/>
  <c r="V152" i="1"/>
  <c r="P151" i="1"/>
  <c r="P892" i="1"/>
  <c r="W454" i="1"/>
  <c r="W241" i="1"/>
  <c r="S240" i="1"/>
  <c r="W206" i="1"/>
  <c r="S205" i="1"/>
  <c r="W907" i="1"/>
  <c r="V695" i="1"/>
  <c r="M694" i="1"/>
  <c r="W740" i="1"/>
  <c r="W665" i="1"/>
  <c r="S664" i="1"/>
  <c r="V678" i="1"/>
  <c r="M677" i="1"/>
  <c r="M676" i="1" s="1"/>
  <c r="W687" i="1"/>
  <c r="S686" i="1"/>
  <c r="W686" i="1" s="1"/>
  <c r="W612" i="1"/>
  <c r="S611" i="1"/>
  <c r="M368" i="1"/>
  <c r="V369" i="1"/>
  <c r="W369" i="1" s="1"/>
  <c r="W543" i="1"/>
  <c r="V517" i="1"/>
  <c r="W517" i="1" s="1"/>
  <c r="W477" i="1"/>
  <c r="S475" i="1"/>
  <c r="L976" i="1"/>
  <c r="V422" i="1"/>
  <c r="W422" i="1" s="1"/>
  <c r="E976" i="1"/>
  <c r="W22" i="1"/>
  <c r="S21" i="1"/>
  <c r="W30" i="1"/>
  <c r="S90" i="1"/>
  <c r="W90" i="1" s="1"/>
  <c r="S33" i="1"/>
  <c r="W33" i="1" s="1"/>
  <c r="S878" i="1"/>
  <c r="W879" i="1"/>
  <c r="V859" i="1"/>
  <c r="M858" i="1"/>
  <c r="V858" i="1" s="1"/>
  <c r="W837" i="1"/>
  <c r="S836" i="1"/>
  <c r="S775" i="1"/>
  <c r="W776" i="1"/>
  <c r="W869" i="1"/>
  <c r="V836" i="1"/>
  <c r="P835" i="1"/>
  <c r="V842" i="1"/>
  <c r="W842" i="1" s="1"/>
  <c r="P854" i="1"/>
  <c r="S885" i="1"/>
  <c r="W885" i="1" s="1"/>
  <c r="W886" i="1"/>
  <c r="M755" i="1"/>
  <c r="P796" i="1"/>
  <c r="V797" i="1"/>
  <c r="W797" i="1" s="1"/>
  <c r="M673" i="1"/>
  <c r="V673" i="1" s="1"/>
  <c r="V674" i="1"/>
  <c r="S737" i="1"/>
  <c r="V632" i="1"/>
  <c r="M631" i="1"/>
  <c r="S605" i="1"/>
  <c r="W606" i="1"/>
  <c r="W354" i="1"/>
  <c r="S353" i="1"/>
  <c r="W353" i="1" s="1"/>
  <c r="V516" i="1"/>
  <c r="P515" i="1"/>
  <c r="W553" i="1"/>
  <c r="S552" i="1"/>
  <c r="W552" i="1" s="1"/>
  <c r="V212" i="1"/>
  <c r="W212" i="1" s="1"/>
  <c r="P211" i="1"/>
  <c r="P983" i="1" s="1"/>
  <c r="P985" i="1" s="1"/>
  <c r="S271" i="1"/>
  <c r="W84" i="1"/>
  <c r="S81" i="1"/>
  <c r="W81" i="1" s="1"/>
  <c r="S173" i="1"/>
  <c r="W173" i="1" s="1"/>
  <c r="W174" i="1"/>
  <c r="W155" i="1"/>
  <c r="W123" i="1"/>
  <c r="S121" i="1"/>
  <c r="W121" i="1" s="1"/>
  <c r="W16" i="1"/>
  <c r="T11" i="1"/>
  <c r="P106" i="1"/>
  <c r="E10" i="1"/>
  <c r="E9" i="1" s="1"/>
  <c r="W948" i="1"/>
  <c r="S947" i="1"/>
  <c r="T835" i="1"/>
  <c r="T834" i="1"/>
  <c r="V896" i="1"/>
  <c r="S896" i="1"/>
  <c r="M895" i="1"/>
  <c r="W792" i="1"/>
  <c r="S791" i="1"/>
  <c r="S966" i="1"/>
  <c r="S760" i="1"/>
  <c r="W760" i="1" s="1"/>
  <c r="V720" i="1"/>
  <c r="M719" i="1"/>
  <c r="S690" i="1"/>
  <c r="W690" i="1" s="1"/>
  <c r="W691" i="1"/>
  <c r="S720" i="1"/>
  <c r="W721" i="1"/>
  <c r="S674" i="1"/>
  <c r="W675" i="1"/>
  <c r="W634" i="1"/>
  <c r="S632" i="1"/>
  <c r="M371" i="1"/>
  <c r="V371" i="1" s="1"/>
  <c r="V345" i="1"/>
  <c r="W345" i="1" s="1"/>
  <c r="W600" i="1"/>
  <c r="S348" i="1"/>
  <c r="W349" i="1"/>
  <c r="W337" i="1"/>
  <c r="W672" i="1"/>
  <c r="V283" i="1"/>
  <c r="P282" i="1"/>
  <c r="V282" i="1" s="1"/>
  <c r="S342" i="1"/>
  <c r="V342" i="1"/>
  <c r="S421" i="1"/>
  <c r="W134" i="1"/>
  <c r="W75" i="1"/>
  <c r="S74" i="1"/>
  <c r="W74" i="1" s="1"/>
  <c r="V117" i="1"/>
  <c r="W117" i="1" s="1"/>
  <c r="M13" i="1"/>
  <c r="S49" i="1"/>
  <c r="W49" i="1" s="1"/>
  <c r="S127" i="1"/>
  <c r="W127" i="1" s="1"/>
  <c r="W128" i="1"/>
  <c r="G10" i="1"/>
  <c r="G9" i="1" s="1"/>
  <c r="L10" i="1"/>
  <c r="L9" i="1" s="1"/>
  <c r="F975" i="1"/>
  <c r="W787" i="1"/>
  <c r="S786" i="1"/>
  <c r="V877" i="1"/>
  <c r="M643" i="1"/>
  <c r="V643" i="1" s="1"/>
  <c r="V644" i="1"/>
  <c r="S840" i="1"/>
  <c r="W751" i="1"/>
  <c r="S750" i="1"/>
  <c r="W750" i="1" s="1"/>
  <c r="W707" i="1"/>
  <c r="S706" i="1"/>
  <c r="W706" i="1" s="1"/>
  <c r="W644" i="1"/>
  <c r="S643" i="1"/>
  <c r="W643" i="1" s="1"/>
  <c r="P610" i="1"/>
  <c r="V611" i="1"/>
  <c r="S598" i="1"/>
  <c r="M335" i="1"/>
  <c r="M334" i="1" s="1"/>
  <c r="V336" i="1"/>
  <c r="V289" i="1"/>
  <c r="W558" i="1"/>
  <c r="S557" i="1"/>
  <c r="W251" i="1"/>
  <c r="S250" i="1"/>
  <c r="W259" i="1"/>
  <c r="S255" i="1"/>
  <c r="W220" i="1"/>
  <c r="V237" i="1"/>
  <c r="S141" i="1"/>
  <c r="W142" i="1"/>
  <c r="V272" i="1"/>
  <c r="W272" i="1" s="1"/>
  <c r="P271" i="1"/>
  <c r="V271" i="1" s="1"/>
  <c r="S68" i="1"/>
  <c r="W68" i="1" s="1"/>
  <c r="I975" i="1"/>
  <c r="L975" i="1"/>
  <c r="M515" i="1"/>
  <c r="M514" i="1" s="1"/>
  <c r="J976" i="1"/>
  <c r="J366" i="1"/>
  <c r="J10" i="1" s="1"/>
  <c r="J9" i="1" s="1"/>
  <c r="P946" i="1"/>
  <c r="S808" i="1"/>
  <c r="W808" i="1" s="1"/>
  <c r="W809" i="1"/>
  <c r="V971" i="1"/>
  <c r="W971" i="1" s="1"/>
  <c r="S825" i="1"/>
  <c r="W825" i="1" s="1"/>
  <c r="W826" i="1"/>
  <c r="V738" i="1"/>
  <c r="W738" i="1" s="1"/>
  <c r="M737" i="1"/>
  <c r="V737" i="1" s="1"/>
  <c r="S783" i="1"/>
  <c r="W783" i="1" s="1"/>
  <c r="W784" i="1"/>
  <c r="W667" i="1"/>
  <c r="S678" i="1"/>
  <c r="M449" i="1"/>
  <c r="V449" i="1" s="1"/>
  <c r="V450" i="1"/>
  <c r="W450" i="1" s="1"/>
  <c r="W838" i="1"/>
  <c r="V627" i="1"/>
  <c r="W627" i="1" s="1"/>
  <c r="S585" i="1"/>
  <c r="W585" i="1" s="1"/>
  <c r="V664" i="1"/>
  <c r="W449" i="1"/>
  <c r="M419" i="1"/>
  <c r="V419" i="1" s="1"/>
  <c r="V420" i="1"/>
  <c r="M597" i="1"/>
  <c r="V598" i="1"/>
  <c r="W670" i="1"/>
  <c r="W377" i="1"/>
  <c r="V293" i="1"/>
  <c r="V243" i="1"/>
  <c r="S243" i="1"/>
  <c r="M242" i="1"/>
  <c r="V242" i="1" s="1"/>
  <c r="W264" i="1"/>
  <c r="P335" i="1"/>
  <c r="S88" i="1"/>
  <c r="W89" i="1"/>
  <c r="V236" i="1"/>
  <c r="P235" i="1"/>
  <c r="W97" i="1"/>
  <c r="S96" i="1"/>
  <c r="W96" i="1" s="1"/>
  <c r="V37" i="1"/>
  <c r="W37" i="1" s="1"/>
  <c r="F10" i="1"/>
  <c r="F9" i="1" s="1"/>
  <c r="W966" i="1" l="1"/>
  <c r="V872" i="1"/>
  <c r="M718" i="1"/>
  <c r="M717" i="1" s="1"/>
  <c r="T976" i="1"/>
  <c r="F974" i="1"/>
  <c r="F973" i="1" s="1"/>
  <c r="C974" i="1"/>
  <c r="C973" i="1" s="1"/>
  <c r="I974" i="1"/>
  <c r="I973" i="1" s="1"/>
  <c r="K974" i="1"/>
  <c r="K973" i="1" s="1"/>
  <c r="H974" i="1"/>
  <c r="H973" i="1" s="1"/>
  <c r="S211" i="1"/>
  <c r="R974" i="1"/>
  <c r="R973" i="1" s="1"/>
  <c r="R981" i="1" s="1"/>
  <c r="M10" i="5"/>
  <c r="M663" i="1"/>
  <c r="M662" i="1" s="1"/>
  <c r="V662" i="1" s="1"/>
  <c r="U10" i="1"/>
  <c r="U9" i="1" s="1"/>
  <c r="W708" i="1"/>
  <c r="V36" i="1"/>
  <c r="T25" i="1"/>
  <c r="T10" i="1" s="1"/>
  <c r="T9" i="1" s="1"/>
  <c r="T975" i="1"/>
  <c r="O25" i="1"/>
  <c r="O10" i="1" s="1"/>
  <c r="O9" i="1" s="1"/>
  <c r="O975" i="1"/>
  <c r="S946" i="1"/>
  <c r="W421" i="1"/>
  <c r="S420" i="1"/>
  <c r="W197" i="1"/>
  <c r="S194" i="1"/>
  <c r="W194" i="1" s="1"/>
  <c r="J974" i="1"/>
  <c r="J973" i="1" s="1"/>
  <c r="S950" i="1"/>
  <c r="W950" i="1" s="1"/>
  <c r="W951" i="1"/>
  <c r="S536" i="1"/>
  <c r="W536" i="1" s="1"/>
  <c r="W537" i="1"/>
  <c r="M812" i="1"/>
  <c r="V813" i="1"/>
  <c r="W54" i="1"/>
  <c r="N976" i="1"/>
  <c r="I11" i="5" s="1"/>
  <c r="P853" i="1"/>
  <c r="W475" i="1"/>
  <c r="S474" i="1"/>
  <c r="W664" i="1"/>
  <c r="W395" i="1"/>
  <c r="S394" i="1"/>
  <c r="W394" i="1" s="1"/>
  <c r="V27" i="1"/>
  <c r="P26" i="1"/>
  <c r="W605" i="1"/>
  <c r="S604" i="1"/>
  <c r="W604" i="1" s="1"/>
  <c r="S877" i="1"/>
  <c r="W878" i="1"/>
  <c r="W28" i="1"/>
  <c r="S27" i="1"/>
  <c r="S755" i="1"/>
  <c r="S116" i="1"/>
  <c r="V676" i="1"/>
  <c r="U976" i="1"/>
  <c r="U974" i="1" s="1"/>
  <c r="U973" i="1" s="1"/>
  <c r="W342" i="1"/>
  <c r="S340" i="1"/>
  <c r="W632" i="1"/>
  <c r="S631" i="1"/>
  <c r="W271" i="1"/>
  <c r="M630" i="1"/>
  <c r="V631" i="1"/>
  <c r="M253" i="1"/>
  <c r="M252" i="1" s="1"/>
  <c r="Q25" i="1"/>
  <c r="Q10" i="1" s="1"/>
  <c r="Q9" i="1" s="1"/>
  <c r="Q975" i="1"/>
  <c r="V677" i="1"/>
  <c r="W45" i="1"/>
  <c r="S42" i="1"/>
  <c r="G974" i="1"/>
  <c r="G973" i="1" s="1"/>
  <c r="P234" i="1"/>
  <c r="S839" i="1"/>
  <c r="W839" i="1" s="1"/>
  <c r="W840" i="1"/>
  <c r="W791" i="1"/>
  <c r="S790" i="1"/>
  <c r="W790" i="1" s="1"/>
  <c r="P834" i="1"/>
  <c r="V834" i="1" s="1"/>
  <c r="V835" i="1"/>
  <c r="M693" i="1"/>
  <c r="V693" i="1" s="1"/>
  <c r="V694" i="1"/>
  <c r="P85" i="1"/>
  <c r="V85" i="1" s="1"/>
  <c r="V86" i="1"/>
  <c r="M452" i="1"/>
  <c r="V452" i="1" s="1"/>
  <c r="V453" i="1"/>
  <c r="W488" i="1"/>
  <c r="S487" i="1"/>
  <c r="F212" i="1"/>
  <c r="G212" i="1"/>
  <c r="W678" i="1"/>
  <c r="S677" i="1"/>
  <c r="P945" i="1"/>
  <c r="S210" i="1"/>
  <c r="V211" i="1"/>
  <c r="W211" i="1" s="1"/>
  <c r="P210" i="1"/>
  <c r="W737" i="1"/>
  <c r="V151" i="1"/>
  <c r="P150" i="1"/>
  <c r="V150" i="1" s="1"/>
  <c r="S858" i="1"/>
  <c r="W858" i="1" s="1"/>
  <c r="W859" i="1"/>
  <c r="V87" i="1"/>
  <c r="S831" i="1"/>
  <c r="W831" i="1" s="1"/>
  <c r="W832" i="1"/>
  <c r="W289" i="1"/>
  <c r="S288" i="1"/>
  <c r="W371" i="1"/>
  <c r="S556" i="1"/>
  <c r="W557" i="1"/>
  <c r="M596" i="1"/>
  <c r="V597" i="1"/>
  <c r="S673" i="1"/>
  <c r="W673" i="1" s="1"/>
  <c r="W674" i="1"/>
  <c r="V895" i="1"/>
  <c r="M894" i="1"/>
  <c r="M367" i="1"/>
  <c r="V368" i="1"/>
  <c r="W368" i="1" s="1"/>
  <c r="W516" i="1"/>
  <c r="M107" i="1"/>
  <c r="V116" i="1"/>
  <c r="W88" i="1"/>
  <c r="S87" i="1"/>
  <c r="W141" i="1"/>
  <c r="S140" i="1"/>
  <c r="S597" i="1"/>
  <c r="W598" i="1"/>
  <c r="M12" i="1"/>
  <c r="V13" i="1"/>
  <c r="W896" i="1"/>
  <c r="S895" i="1"/>
  <c r="W611" i="1"/>
  <c r="S610" i="1"/>
  <c r="W205" i="1"/>
  <c r="S204" i="1"/>
  <c r="W204" i="1" s="1"/>
  <c r="S78" i="1"/>
  <c r="W78" i="1" s="1"/>
  <c r="P717" i="1"/>
  <c r="V717" i="1" s="1"/>
  <c r="V718" i="1"/>
  <c r="W293" i="1"/>
  <c r="S292" i="1"/>
  <c r="W292" i="1" s="1"/>
  <c r="S695" i="1"/>
  <c r="P753" i="1"/>
  <c r="W540" i="1"/>
  <c r="S539" i="1"/>
  <c r="W539" i="1" s="1"/>
  <c r="M854" i="1"/>
  <c r="M853" i="1" s="1"/>
  <c r="V855" i="1"/>
  <c r="E980" i="1"/>
  <c r="E974" i="1"/>
  <c r="E973" i="1" s="1"/>
  <c r="W243" i="1"/>
  <c r="S242" i="1"/>
  <c r="W242" i="1" s="1"/>
  <c r="V335" i="1"/>
  <c r="P334" i="1"/>
  <c r="V334" i="1" s="1"/>
  <c r="W786" i="1"/>
  <c r="S785" i="1"/>
  <c r="W785" i="1" s="1"/>
  <c r="S719" i="1"/>
  <c r="W720" i="1"/>
  <c r="W775" i="1"/>
  <c r="S772" i="1"/>
  <c r="W772" i="1" s="1"/>
  <c r="W21" i="1"/>
  <c r="S20" i="1"/>
  <c r="M555" i="1"/>
  <c r="V555" i="1" s="1"/>
  <c r="V556" i="1"/>
  <c r="W109" i="1"/>
  <c r="S108" i="1"/>
  <c r="W108" i="1" s="1"/>
  <c r="S366" i="1"/>
  <c r="V719" i="1"/>
  <c r="W13" i="1"/>
  <c r="S12" i="1"/>
  <c r="W563" i="1"/>
  <c r="M946" i="1"/>
  <c r="M945" i="1" s="1"/>
  <c r="V947" i="1"/>
  <c r="W947" i="1" s="1"/>
  <c r="L974" i="1"/>
  <c r="L973" i="1" s="1"/>
  <c r="V610" i="1"/>
  <c r="P609" i="1"/>
  <c r="V609" i="1" s="1"/>
  <c r="S152" i="1"/>
  <c r="V515" i="1"/>
  <c r="P514" i="1"/>
  <c r="V514" i="1" s="1"/>
  <c r="V796" i="1"/>
  <c r="P795" i="1"/>
  <c r="V795" i="1" s="1"/>
  <c r="S834" i="1"/>
  <c r="W834" i="1" s="1"/>
  <c r="W836" i="1"/>
  <c r="S835" i="1"/>
  <c r="W835" i="1" s="1"/>
  <c r="W240" i="1"/>
  <c r="S855" i="1"/>
  <c r="W856" i="1"/>
  <c r="P136" i="1"/>
  <c r="V136" i="1" s="1"/>
  <c r="V137" i="1"/>
  <c r="S813" i="1"/>
  <c r="W814" i="1"/>
  <c r="S796" i="1"/>
  <c r="W250" i="1"/>
  <c r="S249" i="1"/>
  <c r="W249" i="1" s="1"/>
  <c r="M239" i="1"/>
  <c r="W255" i="1"/>
  <c r="S254" i="1"/>
  <c r="S347" i="1"/>
  <c r="W347" i="1" s="1"/>
  <c r="W348" i="1"/>
  <c r="M754" i="1"/>
  <c r="M753" i="1" s="1"/>
  <c r="V755" i="1"/>
  <c r="P253" i="1"/>
  <c r="V254" i="1"/>
  <c r="V19" i="1"/>
  <c r="P18" i="1"/>
  <c r="V623" i="1"/>
  <c r="W623" i="1" s="1"/>
  <c r="P622" i="1"/>
  <c r="V622" i="1" s="1"/>
  <c r="W622" i="1" s="1"/>
  <c r="W237" i="1"/>
  <c r="S236" i="1"/>
  <c r="V873" i="1"/>
  <c r="V663" i="1" l="1"/>
  <c r="T974" i="1"/>
  <c r="T973" i="1" s="1"/>
  <c r="V754" i="1"/>
  <c r="N974" i="1"/>
  <c r="N973" i="1" s="1"/>
  <c r="O974" i="1"/>
  <c r="O973" i="1" s="1"/>
  <c r="J10" i="5"/>
  <c r="P975" i="1"/>
  <c r="K10" i="5" s="1"/>
  <c r="S515" i="1"/>
  <c r="Q974" i="1"/>
  <c r="Q973" i="1" s="1"/>
  <c r="Q981" i="1" s="1"/>
  <c r="L10" i="5"/>
  <c r="V753" i="1"/>
  <c r="W515" i="1"/>
  <c r="S514" i="1"/>
  <c r="W514" i="1" s="1"/>
  <c r="V239" i="1"/>
  <c r="M235" i="1"/>
  <c r="M975" i="1" s="1"/>
  <c r="H10" i="5" s="1"/>
  <c r="S239" i="1"/>
  <c r="W695" i="1"/>
  <c r="S694" i="1"/>
  <c r="S283" i="1"/>
  <c r="W288" i="1"/>
  <c r="S209" i="1"/>
  <c r="V853" i="1"/>
  <c r="W474" i="1"/>
  <c r="S453" i="1"/>
  <c r="M11" i="1"/>
  <c r="V12" i="1"/>
  <c r="W12" i="1" s="1"/>
  <c r="W631" i="1"/>
  <c r="S630" i="1"/>
  <c r="W877" i="1"/>
  <c r="S873" i="1"/>
  <c r="V854" i="1"/>
  <c r="S419" i="1"/>
  <c r="W419" i="1" s="1"/>
  <c r="W420" i="1"/>
  <c r="M629" i="1"/>
  <c r="V629" i="1" s="1"/>
  <c r="V630" i="1"/>
  <c r="V18" i="1"/>
  <c r="M366" i="1"/>
  <c r="V366" i="1" s="1"/>
  <c r="W366" i="1" s="1"/>
  <c r="V367" i="1"/>
  <c r="W367" i="1" s="1"/>
  <c r="V946" i="1"/>
  <c r="W946" i="1" s="1"/>
  <c r="W796" i="1"/>
  <c r="S795" i="1"/>
  <c r="W795" i="1" s="1"/>
  <c r="W20" i="1"/>
  <c r="S19" i="1"/>
  <c r="W597" i="1"/>
  <c r="S596" i="1"/>
  <c r="M893" i="1"/>
  <c r="M976" i="1" s="1"/>
  <c r="H11" i="5" s="1"/>
  <c r="V894" i="1"/>
  <c r="V945" i="1"/>
  <c r="W42" i="1"/>
  <c r="S36" i="1"/>
  <c r="W36" i="1" s="1"/>
  <c r="W340" i="1"/>
  <c r="S336" i="1"/>
  <c r="V210" i="1"/>
  <c r="W210" i="1" s="1"/>
  <c r="P209" i="1"/>
  <c r="V209" i="1" s="1"/>
  <c r="S11" i="1"/>
  <c r="W140" i="1"/>
  <c r="S137" i="1"/>
  <c r="W677" i="1"/>
  <c r="S676" i="1"/>
  <c r="W676" i="1" s="1"/>
  <c r="V26" i="1"/>
  <c r="P25" i="1"/>
  <c r="V25" i="1" s="1"/>
  <c r="S945" i="1"/>
  <c r="W855" i="1"/>
  <c r="S854" i="1"/>
  <c r="V253" i="1"/>
  <c r="P252" i="1"/>
  <c r="V252" i="1" s="1"/>
  <c r="M811" i="1"/>
  <c r="V811" i="1" s="1"/>
  <c r="V812" i="1"/>
  <c r="M106" i="1"/>
  <c r="V106" i="1" s="1"/>
  <c r="V107" i="1"/>
  <c r="W813" i="1"/>
  <c r="S812" i="1"/>
  <c r="W87" i="1"/>
  <c r="S86" i="1"/>
  <c r="S107" i="1"/>
  <c r="W116" i="1"/>
  <c r="W254" i="1"/>
  <c r="S253" i="1"/>
  <c r="S555" i="1"/>
  <c r="W555" i="1" s="1"/>
  <c r="W556" i="1"/>
  <c r="W236" i="1"/>
  <c r="S235" i="1"/>
  <c r="W719" i="1"/>
  <c r="S718" i="1"/>
  <c r="W610" i="1"/>
  <c r="S609" i="1"/>
  <c r="W609" i="1" s="1"/>
  <c r="M595" i="1"/>
  <c r="V595" i="1" s="1"/>
  <c r="V596" i="1"/>
  <c r="S754" i="1"/>
  <c r="W755" i="1"/>
  <c r="S663" i="1"/>
  <c r="W895" i="1"/>
  <c r="S894" i="1"/>
  <c r="S151" i="1"/>
  <c r="W152" i="1"/>
  <c r="W487" i="1"/>
  <c r="S486" i="1"/>
  <c r="W486" i="1" s="1"/>
  <c r="W27" i="1"/>
  <c r="P976" i="1"/>
  <c r="K11" i="5" s="1"/>
  <c r="W239" i="1" l="1"/>
  <c r="W812" i="1"/>
  <c r="S811" i="1"/>
  <c r="W811" i="1" s="1"/>
  <c r="W630" i="1"/>
  <c r="S629" i="1"/>
  <c r="W629" i="1" s="1"/>
  <c r="W283" i="1"/>
  <c r="S282" i="1"/>
  <c r="W282" i="1" s="1"/>
  <c r="S693" i="1"/>
  <c r="W693" i="1" s="1"/>
  <c r="W694" i="1"/>
  <c r="S136" i="1"/>
  <c r="W136" i="1" s="1"/>
  <c r="W137" i="1"/>
  <c r="P10" i="1"/>
  <c r="W151" i="1"/>
  <c r="S150" i="1"/>
  <c r="W150" i="1" s="1"/>
  <c r="M892" i="1"/>
  <c r="V892" i="1" s="1"/>
  <c r="V893" i="1"/>
  <c r="V11" i="1"/>
  <c r="W11" i="1" s="1"/>
  <c r="M234" i="1"/>
  <c r="V234" i="1" s="1"/>
  <c r="V235" i="1"/>
  <c r="W235" i="1" s="1"/>
  <c r="S753" i="1"/>
  <c r="W753" i="1" s="1"/>
  <c r="W754" i="1"/>
  <c r="W596" i="1"/>
  <c r="S595" i="1"/>
  <c r="W595" i="1" s="1"/>
  <c r="M974" i="1"/>
  <c r="M973" i="1" s="1"/>
  <c r="S234" i="1"/>
  <c r="W453" i="1"/>
  <c r="S452" i="1"/>
  <c r="W452" i="1" s="1"/>
  <c r="S26" i="1"/>
  <c r="S106" i="1"/>
  <c r="W106" i="1" s="1"/>
  <c r="W107" i="1"/>
  <c r="W854" i="1"/>
  <c r="S853" i="1"/>
  <c r="W853" i="1" s="1"/>
  <c r="W19" i="1"/>
  <c r="S18" i="1"/>
  <c r="W18" i="1" s="1"/>
  <c r="U978" i="1"/>
  <c r="V976" i="1"/>
  <c r="S252" i="1"/>
  <c r="W252" i="1" s="1"/>
  <c r="W253" i="1"/>
  <c r="S85" i="1"/>
  <c r="W85" i="1" s="1"/>
  <c r="W86" i="1"/>
  <c r="W209" i="1"/>
  <c r="P974" i="1"/>
  <c r="W894" i="1"/>
  <c r="S893" i="1"/>
  <c r="W663" i="1"/>
  <c r="S662" i="1"/>
  <c r="W662" i="1" s="1"/>
  <c r="W718" i="1"/>
  <c r="S717" i="1"/>
  <c r="W717" i="1" s="1"/>
  <c r="W945" i="1"/>
  <c r="S335" i="1"/>
  <c r="W336" i="1"/>
  <c r="W873" i="1"/>
  <c r="S872" i="1"/>
  <c r="W872" i="1" s="1"/>
  <c r="V975" i="1"/>
  <c r="P9" i="1" l="1"/>
  <c r="S892" i="1"/>
  <c r="W892" i="1" s="1"/>
  <c r="W893" i="1"/>
  <c r="S976" i="1"/>
  <c r="M10" i="1"/>
  <c r="M9" i="1" s="1"/>
  <c r="P973" i="1"/>
  <c r="V974" i="1"/>
  <c r="W26" i="1"/>
  <c r="S25" i="1"/>
  <c r="S975" i="1"/>
  <c r="W335" i="1"/>
  <c r="S334" i="1"/>
  <c r="W334" i="1" s="1"/>
  <c r="W234" i="1"/>
  <c r="W25" i="1" l="1"/>
  <c r="S10" i="1"/>
  <c r="U979" i="1"/>
  <c r="W976" i="1"/>
  <c r="V9" i="1"/>
  <c r="W975" i="1"/>
  <c r="S974" i="1"/>
  <c r="P981" i="1"/>
  <c r="V973" i="1"/>
  <c r="V10" i="1"/>
  <c r="W974" i="1" l="1"/>
  <c r="S973" i="1"/>
  <c r="W973" i="1" s="1"/>
  <c r="W10" i="1"/>
  <c r="S9" i="1"/>
  <c r="W9" i="1" s="1"/>
  <c r="M9" i="5" l="1"/>
  <c r="L9" i="5"/>
  <c r="K9" i="5"/>
  <c r="L1445" i="23" l="1"/>
  <c r="M1445" i="23"/>
  <c r="N1445" i="23"/>
  <c r="Q1498" i="23" l="1"/>
  <c r="Q1497" i="23" s="1"/>
  <c r="O1498" i="23"/>
  <c r="O1497" i="23" s="1"/>
  <c r="P1498" i="23"/>
  <c r="P1497" i="23" s="1"/>
  <c r="M1498" i="23"/>
  <c r="M1497" i="23" s="1"/>
  <c r="N1498" i="23"/>
  <c r="N1497" i="23" s="1"/>
  <c r="L1498" i="23"/>
  <c r="L1497" i="23" s="1"/>
  <c r="Q1501" i="23"/>
  <c r="O1501" i="23"/>
  <c r="P1501" i="23"/>
  <c r="M1501" i="23"/>
  <c r="M1500" i="23" s="1"/>
  <c r="N1501" i="23"/>
  <c r="N1500" i="23" s="1"/>
  <c r="L1501" i="23"/>
  <c r="L1500" i="23" s="1"/>
  <c r="P1503" i="23"/>
  <c r="Q1503" i="23"/>
  <c r="M1503" i="23"/>
  <c r="N1503" i="23"/>
  <c r="O1503" i="23"/>
  <c r="L1503" i="23"/>
  <c r="K1498" i="23"/>
  <c r="K1497" i="23" s="1"/>
  <c r="J1498" i="23"/>
  <c r="I1498" i="23"/>
  <c r="I1497" i="23" s="1"/>
  <c r="H1498" i="23"/>
  <c r="H1497" i="23" s="1"/>
  <c r="J1497" i="23"/>
  <c r="M1496" i="23" l="1"/>
  <c r="M1495" i="23" s="1"/>
  <c r="N1496" i="23"/>
  <c r="N1495" i="23" s="1"/>
  <c r="L1496" i="23"/>
  <c r="L1495" i="23" s="1"/>
  <c r="Q1500" i="23"/>
  <c r="P1500" i="23"/>
  <c r="P1496" i="23" s="1"/>
  <c r="P1495" i="23" s="1"/>
  <c r="O1500" i="23"/>
  <c r="O1496" i="23" s="1"/>
  <c r="O1495" i="23" s="1"/>
  <c r="Q1496" i="23"/>
  <c r="Q1495" i="23" s="1"/>
  <c r="M1460" i="23"/>
  <c r="M1459" i="23" s="1"/>
  <c r="M1458" i="23" s="1"/>
  <c r="M1457" i="23" s="1"/>
  <c r="N1460" i="23"/>
  <c r="N1459" i="23" s="1"/>
  <c r="N1458" i="23" s="1"/>
  <c r="N1457" i="23" s="1"/>
  <c r="O1460" i="23"/>
  <c r="O1459" i="23" s="1"/>
  <c r="O1458" i="23" s="1"/>
  <c r="O1457" i="23" s="1"/>
  <c r="P1460" i="23"/>
  <c r="P1459" i="23" s="1"/>
  <c r="P1458" i="23" s="1"/>
  <c r="P1457" i="23" s="1"/>
  <c r="Q1460" i="23"/>
  <c r="Q1459" i="23" s="1"/>
  <c r="Q1458" i="23" s="1"/>
  <c r="Q1457" i="23" s="1"/>
  <c r="L1460" i="23"/>
  <c r="L1459" i="23" s="1"/>
  <c r="L1458" i="23" s="1"/>
  <c r="L1457" i="23" s="1"/>
  <c r="K1460" i="23"/>
  <c r="K1459" i="23" s="1"/>
  <c r="K1458" i="23" s="1"/>
  <c r="J1460" i="23"/>
  <c r="J1459" i="23" s="1"/>
  <c r="J1458" i="23" s="1"/>
  <c r="I1460" i="23"/>
  <c r="I1459" i="23"/>
  <c r="I1458" i="23" s="1"/>
  <c r="G1458" i="23"/>
  <c r="F1458" i="23"/>
  <c r="E1458" i="23"/>
  <c r="D1458" i="23"/>
  <c r="C1458" i="23"/>
  <c r="Q1484" i="23" l="1"/>
  <c r="P1484" i="23"/>
  <c r="O1484" i="23"/>
  <c r="N1484" i="23"/>
  <c r="M1484" i="23"/>
  <c r="K1484" i="23"/>
  <c r="J1484" i="23"/>
  <c r="I1484" i="23"/>
  <c r="Q1481" i="23"/>
  <c r="P1481" i="23"/>
  <c r="O1481" i="23"/>
  <c r="N1481" i="23"/>
  <c r="M1481" i="23"/>
  <c r="K1481" i="23"/>
  <c r="J1481" i="23"/>
  <c r="I1481" i="23"/>
  <c r="Q1474" i="23"/>
  <c r="P1474" i="23"/>
  <c r="O1474" i="23"/>
  <c r="N1474" i="23"/>
  <c r="M1474" i="23"/>
  <c r="K1474" i="23"/>
  <c r="J1474" i="23"/>
  <c r="I1474" i="23"/>
  <c r="Q1168" i="23"/>
  <c r="P1168" i="23"/>
  <c r="O1168" i="23"/>
  <c r="N1168" i="23"/>
  <c r="M1168" i="23"/>
  <c r="K1168" i="23"/>
  <c r="J1168" i="23"/>
  <c r="I1168" i="23"/>
  <c r="Q852" i="23"/>
  <c r="P852" i="23"/>
  <c r="O852" i="23"/>
  <c r="N852" i="23"/>
  <c r="M852" i="23"/>
  <c r="K852" i="23"/>
  <c r="J852" i="23"/>
  <c r="I852" i="23"/>
  <c r="Q797" i="23"/>
  <c r="P797" i="23"/>
  <c r="O797" i="23"/>
  <c r="N797" i="23"/>
  <c r="M797" i="23"/>
  <c r="Q242" i="23"/>
  <c r="P242" i="23"/>
  <c r="O242" i="23"/>
  <c r="N242" i="23"/>
  <c r="M242" i="23"/>
  <c r="K242" i="23"/>
  <c r="J242" i="23"/>
  <c r="I242" i="23"/>
  <c r="Q240" i="23"/>
  <c r="P240" i="23"/>
  <c r="O240" i="23"/>
  <c r="N240" i="23"/>
  <c r="M240" i="23"/>
  <c r="K240" i="23"/>
  <c r="J240" i="23"/>
  <c r="I240" i="23"/>
  <c r="Q221" i="23"/>
  <c r="P221" i="23"/>
  <c r="O221" i="23"/>
  <c r="N221" i="23"/>
  <c r="M221" i="23"/>
  <c r="K221" i="23"/>
  <c r="J221" i="23"/>
  <c r="I221" i="23"/>
  <c r="N754" i="23" l="1"/>
  <c r="M1303" i="23" l="1"/>
  <c r="N1303" i="23"/>
  <c r="O1303" i="23"/>
  <c r="P1303" i="23"/>
  <c r="Q1303" i="23"/>
  <c r="M1279" i="23" l="1"/>
  <c r="N1279" i="23"/>
  <c r="O1279" i="23"/>
  <c r="P1279" i="23"/>
  <c r="Q1279" i="23"/>
  <c r="M782" i="23" l="1"/>
  <c r="N782" i="23"/>
  <c r="O782" i="23"/>
  <c r="P782" i="23"/>
  <c r="Q782" i="23"/>
  <c r="P23" i="23" l="1"/>
  <c r="Q23" i="23"/>
  <c r="P26" i="23"/>
  <c r="Q26" i="23"/>
  <c r="O26" i="23"/>
  <c r="M540" i="23" l="1"/>
  <c r="N540" i="23"/>
  <c r="O540" i="23"/>
  <c r="P540" i="23"/>
  <c r="Q540" i="23"/>
  <c r="M537" i="23" l="1"/>
  <c r="N537" i="23"/>
  <c r="O537" i="23"/>
  <c r="P537" i="23"/>
  <c r="Q537" i="23"/>
  <c r="M529" i="23" l="1"/>
  <c r="N529" i="23"/>
  <c r="O529" i="23"/>
  <c r="P529" i="23"/>
  <c r="Q529" i="23"/>
  <c r="P1398" i="23"/>
  <c r="P1397" i="23" s="1"/>
  <c r="Q1398" i="23"/>
  <c r="Q1397" i="23" s="1"/>
  <c r="O1398" i="23"/>
  <c r="O1397" i="23" s="1"/>
  <c r="F1399" i="23"/>
  <c r="F1398" i="23" s="1"/>
  <c r="F1397" i="23" s="1"/>
  <c r="H1398" i="23"/>
  <c r="H1397" i="23" s="1"/>
  <c r="G1398" i="23"/>
  <c r="G1397" i="23" s="1"/>
  <c r="E1398" i="23"/>
  <c r="E1397" i="23" s="1"/>
  <c r="D1398" i="23"/>
  <c r="D1397" i="23" s="1"/>
  <c r="C1398" i="23"/>
  <c r="C1397" i="23" s="1"/>
  <c r="P1394" i="23" l="1"/>
  <c r="Q1394" i="23"/>
  <c r="O1394" i="23"/>
  <c r="F1396" i="23"/>
  <c r="H1394" i="23"/>
  <c r="G1394" i="23"/>
  <c r="C1394" i="23"/>
  <c r="F1394" i="23" s="1"/>
  <c r="P40" i="23"/>
  <c r="Q40" i="23"/>
  <c r="O40" i="23"/>
  <c r="M169" i="23" l="1"/>
  <c r="M168" i="23" s="1"/>
  <c r="N169" i="23"/>
  <c r="O169" i="23"/>
  <c r="O168" i="23" s="1"/>
  <c r="P169" i="23"/>
  <c r="P168" i="23" s="1"/>
  <c r="Q169" i="23"/>
  <c r="Q168" i="23" s="1"/>
  <c r="N168" i="23"/>
  <c r="M166" i="23"/>
  <c r="M165" i="23" s="1"/>
  <c r="N166" i="23"/>
  <c r="N165" i="23" s="1"/>
  <c r="O166" i="23"/>
  <c r="O165" i="23" s="1"/>
  <c r="P166" i="23"/>
  <c r="P165" i="23" s="1"/>
  <c r="Q166" i="23"/>
  <c r="Q165" i="23" s="1"/>
  <c r="M37" i="23"/>
  <c r="M36" i="23" s="1"/>
  <c r="N37" i="23"/>
  <c r="N36" i="23" s="1"/>
  <c r="O37" i="23"/>
  <c r="O36" i="23" s="1"/>
  <c r="P37" i="23"/>
  <c r="P36" i="23" s="1"/>
  <c r="Q37" i="23"/>
  <c r="Q36" i="23" s="1"/>
  <c r="Q33" i="23"/>
  <c r="M33" i="23"/>
  <c r="N33" i="23"/>
  <c r="O33" i="23"/>
  <c r="P33" i="23"/>
  <c r="M31" i="23"/>
  <c r="N31" i="23"/>
  <c r="O31" i="23"/>
  <c r="P31" i="23"/>
  <c r="Q31" i="23"/>
  <c r="P22" i="23" l="1"/>
  <c r="Q22" i="23"/>
  <c r="P164" i="23"/>
  <c r="Q164" i="23"/>
  <c r="O164" i="23"/>
  <c r="J1264" i="23"/>
  <c r="K1264" i="23"/>
  <c r="L1264" i="23"/>
  <c r="M1264" i="23"/>
  <c r="N1264" i="23"/>
  <c r="O1264" i="23"/>
  <c r="P1264" i="23"/>
  <c r="Q1264" i="23"/>
  <c r="C1263" i="23"/>
  <c r="C1264" i="23"/>
  <c r="D1264" i="23"/>
  <c r="E1264" i="23"/>
  <c r="F1264" i="23"/>
  <c r="G1264" i="23"/>
  <c r="H1264" i="23"/>
  <c r="I1264" i="23"/>
  <c r="M1289" i="23" l="1"/>
  <c r="M1288" i="23" s="1"/>
  <c r="N1289" i="23"/>
  <c r="N1288" i="23" s="1"/>
  <c r="O1289" i="23"/>
  <c r="O1288" i="23" s="1"/>
  <c r="P1289" i="23"/>
  <c r="P1288" i="23" s="1"/>
  <c r="Q1289" i="23"/>
  <c r="M1275" i="23"/>
  <c r="M1263" i="23" s="1"/>
  <c r="N1275" i="23"/>
  <c r="N1263" i="23" s="1"/>
  <c r="O1275" i="23"/>
  <c r="O1263" i="23" s="1"/>
  <c r="P1275" i="23"/>
  <c r="P1263" i="23" s="1"/>
  <c r="Q1275" i="23"/>
  <c r="Q1263" i="23" s="1"/>
  <c r="J1493" i="23" l="1"/>
  <c r="J1492" i="23" s="1"/>
  <c r="J1491" i="23" s="1"/>
  <c r="J1490" i="23" s="1"/>
  <c r="K1493" i="23"/>
  <c r="K1492" i="23" s="1"/>
  <c r="K1491" i="23" s="1"/>
  <c r="K1490" i="23" s="1"/>
  <c r="L1493" i="23"/>
  <c r="L1492" i="23" s="1"/>
  <c r="L1491" i="23" s="1"/>
  <c r="L1490" i="23" s="1"/>
  <c r="M1493" i="23"/>
  <c r="M1492" i="23" s="1"/>
  <c r="M1491" i="23" s="1"/>
  <c r="M1490" i="23" s="1"/>
  <c r="N1493" i="23"/>
  <c r="N1492" i="23" s="1"/>
  <c r="N1491" i="23" s="1"/>
  <c r="N1490" i="23" s="1"/>
  <c r="O1493" i="23"/>
  <c r="O1492" i="23" s="1"/>
  <c r="O1491" i="23" s="1"/>
  <c r="O1490" i="23" s="1"/>
  <c r="P1493" i="23"/>
  <c r="P1492" i="23" s="1"/>
  <c r="P1491" i="23" s="1"/>
  <c r="P1490" i="23" s="1"/>
  <c r="Q1493" i="23"/>
  <c r="Q1492" i="23" s="1"/>
  <c r="Q1491" i="23" s="1"/>
  <c r="Q1490" i="23" s="1"/>
  <c r="I1493" i="23"/>
  <c r="I1492" i="23" s="1"/>
  <c r="I1491" i="23" s="1"/>
  <c r="I1490" i="23" s="1"/>
  <c r="L514" i="23" l="1"/>
  <c r="F514" i="23"/>
  <c r="Q513" i="23"/>
  <c r="Q512" i="23" s="1"/>
  <c r="P513" i="23"/>
  <c r="P512" i="23" s="1"/>
  <c r="O513" i="23"/>
  <c r="N513" i="23"/>
  <c r="N512" i="23" s="1"/>
  <c r="M513" i="23"/>
  <c r="M512" i="23" s="1"/>
  <c r="L513" i="23"/>
  <c r="L512" i="23" s="1"/>
  <c r="K513" i="23"/>
  <c r="K512" i="23" s="1"/>
  <c r="J513" i="23"/>
  <c r="J512" i="23" s="1"/>
  <c r="I513" i="23"/>
  <c r="I512" i="23" s="1"/>
  <c r="H513" i="23"/>
  <c r="H512" i="23" s="1"/>
  <c r="G513" i="23"/>
  <c r="F513" i="23"/>
  <c r="E513" i="23"/>
  <c r="E512" i="23" s="1"/>
  <c r="D513" i="23"/>
  <c r="D512" i="23" s="1"/>
  <c r="C513" i="23"/>
  <c r="O512" i="23"/>
  <c r="G512" i="23"/>
  <c r="F512" i="23"/>
  <c r="C512" i="23"/>
  <c r="K1455" i="23" l="1"/>
  <c r="K1454" i="23" s="1"/>
  <c r="K1453" i="23" s="1"/>
  <c r="J1455" i="23"/>
  <c r="J1454" i="23" s="1"/>
  <c r="J1453" i="23" s="1"/>
  <c r="I1455" i="23"/>
  <c r="I1454" i="23" s="1"/>
  <c r="I1453" i="23" s="1"/>
  <c r="N1455" i="23"/>
  <c r="N1454" i="23" s="1"/>
  <c r="N1453" i="23" s="1"/>
  <c r="M1455" i="23"/>
  <c r="M1454" i="23" s="1"/>
  <c r="M1453" i="23" s="1"/>
  <c r="L1456" i="23"/>
  <c r="L1455" i="23" s="1"/>
  <c r="L1454" i="23" s="1"/>
  <c r="L1453" i="23" s="1"/>
  <c r="Q1455" i="23"/>
  <c r="Q1454" i="23" s="1"/>
  <c r="Q1453" i="23" s="1"/>
  <c r="P1455" i="23"/>
  <c r="P1454" i="23" s="1"/>
  <c r="P1453" i="23" s="1"/>
  <c r="O1455" i="23"/>
  <c r="O1454" i="23" s="1"/>
  <c r="O1453" i="23" s="1"/>
  <c r="G1453" i="23"/>
  <c r="F1453" i="23"/>
  <c r="E1453" i="23"/>
  <c r="D1453" i="23"/>
  <c r="C1453" i="23"/>
  <c r="J493" i="23" l="1"/>
  <c r="K493" i="23"/>
  <c r="L338" i="23" l="1"/>
  <c r="F12" i="5" l="1"/>
  <c r="L29" i="23" l="1"/>
  <c r="L1280" i="23" l="1"/>
  <c r="G12" i="5"/>
  <c r="K1009" i="23"/>
  <c r="I1404" i="23" l="1"/>
  <c r="L99" i="23" l="1"/>
  <c r="J31" i="23" l="1"/>
  <c r="K31" i="23"/>
  <c r="I31" i="23"/>
  <c r="L35" i="23"/>
  <c r="J33" i="23"/>
  <c r="K33" i="23"/>
  <c r="I33" i="23"/>
  <c r="L608" i="23" l="1"/>
  <c r="L1290" i="23"/>
  <c r="L1289" i="23" s="1"/>
  <c r="L1288" i="23" s="1"/>
  <c r="J1289" i="23"/>
  <c r="J1288" i="23" s="1"/>
  <c r="K1289" i="23"/>
  <c r="K1288" i="23" s="1"/>
  <c r="I1289" i="23"/>
  <c r="I1288" i="23" s="1"/>
  <c r="L1286" i="23"/>
  <c r="L1287" i="23"/>
  <c r="J1279" i="23"/>
  <c r="K1279" i="23"/>
  <c r="I1279" i="23"/>
  <c r="L1282" i="23"/>
  <c r="L1278" i="23"/>
  <c r="L1277" i="23"/>
  <c r="L1276" i="23"/>
  <c r="J1275" i="23"/>
  <c r="K1275" i="23"/>
  <c r="I1275" i="23"/>
  <c r="J1389" i="23"/>
  <c r="L1009" i="23"/>
  <c r="K1263" i="23" l="1"/>
  <c r="I1263" i="23"/>
  <c r="J1263" i="23"/>
  <c r="L1275" i="23"/>
  <c r="L555" i="23"/>
  <c r="J540" i="23"/>
  <c r="K540" i="23"/>
  <c r="I540" i="23"/>
  <c r="L541" i="23"/>
  <c r="J537" i="23"/>
  <c r="K537" i="23"/>
  <c r="I537" i="23"/>
  <c r="L538" i="23"/>
  <c r="L534" i="23"/>
  <c r="J529" i="23"/>
  <c r="K529" i="23"/>
  <c r="I529" i="23"/>
  <c r="L530" i="23"/>
  <c r="L529" i="23" s="1"/>
  <c r="L52" i="23"/>
  <c r="L519" i="23"/>
  <c r="L323" i="23"/>
  <c r="L324" i="23"/>
  <c r="L249" i="23"/>
  <c r="L246" i="23"/>
  <c r="L170" i="23"/>
  <c r="L169" i="23" s="1"/>
  <c r="L168" i="23" s="1"/>
  <c r="F170" i="23"/>
  <c r="F169" i="23" s="1"/>
  <c r="F168" i="23" s="1"/>
  <c r="K169" i="23"/>
  <c r="K168" i="23" s="1"/>
  <c r="J169" i="23"/>
  <c r="J168" i="23" s="1"/>
  <c r="I169" i="23"/>
  <c r="I168" i="23" s="1"/>
  <c r="H169" i="23"/>
  <c r="H168" i="23" s="1"/>
  <c r="G169" i="23"/>
  <c r="G168" i="23" s="1"/>
  <c r="E169" i="23"/>
  <c r="E168" i="23" s="1"/>
  <c r="D169" i="23"/>
  <c r="D168" i="23" s="1"/>
  <c r="C169" i="23"/>
  <c r="C168" i="23" s="1"/>
  <c r="L167" i="23"/>
  <c r="L166" i="23" s="1"/>
  <c r="L165" i="23" s="1"/>
  <c r="J166" i="23"/>
  <c r="J165" i="23" s="1"/>
  <c r="J164" i="23" s="1"/>
  <c r="K166" i="23"/>
  <c r="K165" i="23" s="1"/>
  <c r="I166" i="23"/>
  <c r="I165" i="23" s="1"/>
  <c r="I164" i="23" s="1"/>
  <c r="M164" i="23"/>
  <c r="N164" i="23"/>
  <c r="L41" i="23"/>
  <c r="K38" i="23"/>
  <c r="L38" i="23" s="1"/>
  <c r="L37" i="23" s="1"/>
  <c r="L36" i="23" s="1"/>
  <c r="J40" i="23"/>
  <c r="K40" i="23"/>
  <c r="I40" i="23"/>
  <c r="J37" i="23"/>
  <c r="J36" i="23" s="1"/>
  <c r="J26" i="23"/>
  <c r="K26" i="23"/>
  <c r="I26" i="23"/>
  <c r="L34" i="23"/>
  <c r="L33" i="23" s="1"/>
  <c r="L32" i="23"/>
  <c r="L31" i="23" s="1"/>
  <c r="L30" i="23"/>
  <c r="L28" i="23"/>
  <c r="L27" i="23"/>
  <c r="I37" i="23"/>
  <c r="I36" i="23" s="1"/>
  <c r="L164" i="23" l="1"/>
  <c r="K164" i="23"/>
  <c r="K37" i="23"/>
  <c r="K36" i="23" s="1"/>
  <c r="L26" i="23"/>
  <c r="K1230" i="23"/>
  <c r="L1231" i="23"/>
  <c r="L1234" i="23"/>
  <c r="L1172" i="23" l="1"/>
  <c r="L1149" i="23"/>
  <c r="L1146" i="23"/>
  <c r="L1145" i="23"/>
  <c r="L1140" i="23"/>
  <c r="I880" i="23" l="1"/>
  <c r="L890" i="23"/>
  <c r="J880" i="23"/>
  <c r="K880" i="23"/>
  <c r="L880" i="23"/>
  <c r="L866" i="23"/>
  <c r="L899" i="23"/>
  <c r="L900" i="23"/>
  <c r="L901" i="23"/>
  <c r="L883" i="23"/>
  <c r="L879" i="23"/>
  <c r="L874" i="23"/>
  <c r="L875" i="23"/>
  <c r="L876" i="23"/>
  <c r="L868" i="23"/>
  <c r="L856" i="23"/>
  <c r="L853" i="23"/>
  <c r="L852" i="23" s="1"/>
  <c r="L851" i="23"/>
  <c r="L846" i="23"/>
  <c r="L843" i="23"/>
  <c r="L833" i="23"/>
  <c r="L825" i="23"/>
  <c r="L823" i="23"/>
  <c r="L822" i="23"/>
  <c r="L821" i="23"/>
  <c r="L820" i="23"/>
  <c r="L819" i="23"/>
  <c r="L818" i="23"/>
  <c r="L817" i="23"/>
  <c r="L815" i="23"/>
  <c r="L814" i="23"/>
  <c r="L813" i="23"/>
  <c r="L812" i="23"/>
  <c r="L811" i="23"/>
  <c r="L809" i="23"/>
  <c r="L808" i="23"/>
  <c r="L807" i="23"/>
  <c r="L803" i="23"/>
  <c r="L800" i="23"/>
  <c r="L798" i="23"/>
  <c r="J754" i="23"/>
  <c r="K754" i="23"/>
  <c r="L754" i="23"/>
  <c r="I758" i="23"/>
  <c r="I754" i="23"/>
  <c r="L783" i="23"/>
  <c r="L774" i="23"/>
  <c r="L773" i="23"/>
  <c r="L772" i="23"/>
  <c r="L771" i="23"/>
  <c r="L770" i="23"/>
  <c r="L769" i="23"/>
  <c r="L768" i="23"/>
  <c r="L759" i="23"/>
  <c r="L761" i="23"/>
  <c r="L762" i="23"/>
  <c r="L763" i="23"/>
  <c r="L760" i="23"/>
  <c r="L758" i="23" l="1"/>
  <c r="M190" i="23" l="1"/>
  <c r="N190" i="23"/>
  <c r="O190" i="23"/>
  <c r="P190" i="23"/>
  <c r="Q190" i="23"/>
  <c r="K190" i="23"/>
  <c r="L192" i="23"/>
  <c r="L193" i="23"/>
  <c r="L194" i="23"/>
  <c r="L195" i="23"/>
  <c r="F195" i="23"/>
  <c r="J1016" i="23" l="1"/>
  <c r="K1016" i="23"/>
  <c r="M1016" i="23"/>
  <c r="N1016" i="23"/>
  <c r="O1016" i="23"/>
  <c r="P1016" i="23"/>
  <c r="Q1016" i="23"/>
  <c r="L1018" i="23"/>
  <c r="F1018" i="23"/>
  <c r="C1020" i="23"/>
  <c r="D1020" i="23"/>
  <c r="E1020" i="23"/>
  <c r="G1020" i="23"/>
  <c r="H1020" i="23"/>
  <c r="I1020" i="23"/>
  <c r="J1020" i="23"/>
  <c r="K1020" i="23"/>
  <c r="M1020" i="23"/>
  <c r="N1020" i="23"/>
  <c r="O1020" i="23"/>
  <c r="P1020" i="23"/>
  <c r="Q1020" i="23"/>
  <c r="F11" i="5" l="1"/>
  <c r="F10" i="5"/>
  <c r="G10" i="5"/>
  <c r="P310" i="23"/>
  <c r="Q310" i="23"/>
  <c r="O310" i="23"/>
  <c r="P325" i="23"/>
  <c r="Q325" i="23"/>
  <c r="O325" i="23"/>
  <c r="L313" i="23"/>
  <c r="F313" i="23"/>
  <c r="Q1479" i="23"/>
  <c r="P1479" i="23"/>
  <c r="O1479" i="23"/>
  <c r="N1479" i="23"/>
  <c r="M1479" i="23"/>
  <c r="L1479" i="23"/>
  <c r="K1479" i="23"/>
  <c r="J1479" i="23"/>
  <c r="I1479" i="23"/>
  <c r="F1304" i="23"/>
  <c r="F9" i="5" l="1"/>
  <c r="F8" i="5" s="1"/>
  <c r="F7" i="5" s="1"/>
  <c r="G9" i="5"/>
  <c r="G8" i="5" s="1"/>
  <c r="G7" i="5" s="1"/>
  <c r="C1267" i="23" l="1"/>
  <c r="D1267" i="23"/>
  <c r="E1267" i="23"/>
  <c r="G1267" i="23"/>
  <c r="H1267" i="23"/>
  <c r="F1268" i="23"/>
  <c r="F1263" i="23" s="1"/>
  <c r="Q749" i="23"/>
  <c r="P749" i="23"/>
  <c r="O749" i="23"/>
  <c r="N749" i="23"/>
  <c r="I749" i="23"/>
  <c r="M749" i="23"/>
  <c r="L749" i="23"/>
  <c r="J1217" i="23" l="1"/>
  <c r="K1217" i="23"/>
  <c r="L1217" i="23"/>
  <c r="M1217" i="23"/>
  <c r="N1217" i="23"/>
  <c r="O1217" i="23"/>
  <c r="P1217" i="23"/>
  <c r="Q1217" i="23"/>
  <c r="I1217" i="23"/>
  <c r="J1171" i="23"/>
  <c r="J1170" i="23" s="1"/>
  <c r="K1171" i="23"/>
  <c r="K1170" i="23" s="1"/>
  <c r="J1074" i="23"/>
  <c r="J1073" i="23" s="1"/>
  <c r="K1074" i="23"/>
  <c r="M882" i="23"/>
  <c r="N882" i="23"/>
  <c r="O882" i="23"/>
  <c r="P882" i="23"/>
  <c r="Q882" i="23"/>
  <c r="M789" i="23"/>
  <c r="M781" i="23" s="1"/>
  <c r="N789" i="23"/>
  <c r="N781" i="23" s="1"/>
  <c r="O789" i="23"/>
  <c r="O781" i="23" s="1"/>
  <c r="P789" i="23"/>
  <c r="P781" i="23" s="1"/>
  <c r="Q789" i="23"/>
  <c r="Q781" i="23" s="1"/>
  <c r="J758" i="23"/>
  <c r="K758" i="23"/>
  <c r="M758" i="23"/>
  <c r="N758" i="23"/>
  <c r="O758" i="23"/>
  <c r="P758" i="23"/>
  <c r="Q758" i="23"/>
  <c r="J666" i="23"/>
  <c r="J661" i="23" s="1"/>
  <c r="J660" i="23" s="1"/>
  <c r="K666" i="23"/>
  <c r="K661" i="23" s="1"/>
  <c r="K660" i="23" s="1"/>
  <c r="L666" i="23"/>
  <c r="M666" i="23"/>
  <c r="N666" i="23"/>
  <c r="O666" i="23"/>
  <c r="P666" i="23"/>
  <c r="Q666" i="23"/>
  <c r="I666" i="23"/>
  <c r="J1488" i="23"/>
  <c r="K1488" i="23"/>
  <c r="J1471" i="23"/>
  <c r="K1471" i="23"/>
  <c r="J1468" i="23"/>
  <c r="K1468" i="23"/>
  <c r="J1465" i="23"/>
  <c r="J1464" i="23" s="1"/>
  <c r="K1465" i="23"/>
  <c r="K1464" i="23" s="1"/>
  <c r="J1451" i="23"/>
  <c r="K1451" i="23"/>
  <c r="J1449" i="23"/>
  <c r="K1449" i="23"/>
  <c r="J1446" i="23"/>
  <c r="K1446" i="23"/>
  <c r="J1444" i="23"/>
  <c r="K1444" i="23"/>
  <c r="J1438" i="23"/>
  <c r="K1438" i="23"/>
  <c r="J1435" i="23"/>
  <c r="J1434" i="23" s="1"/>
  <c r="K1435" i="23"/>
  <c r="K1434" i="23" s="1"/>
  <c r="J1432" i="23"/>
  <c r="J1431" i="23" s="1"/>
  <c r="K1432" i="23"/>
  <c r="K1431" i="23" s="1"/>
  <c r="J1427" i="23"/>
  <c r="K1427" i="23"/>
  <c r="J1425" i="23"/>
  <c r="K1425" i="23"/>
  <c r="J1415" i="23"/>
  <c r="K1415" i="23"/>
  <c r="J1409" i="23"/>
  <c r="K1409" i="23"/>
  <c r="J1406" i="23"/>
  <c r="K1406" i="23"/>
  <c r="J1403" i="23"/>
  <c r="J1402" i="23" s="1"/>
  <c r="K1403" i="23"/>
  <c r="K1402" i="23" s="1"/>
  <c r="J1392" i="23"/>
  <c r="J1391" i="23" s="1"/>
  <c r="K1392" i="23"/>
  <c r="K1391" i="23" s="1"/>
  <c r="J1388" i="23"/>
  <c r="K1389" i="23"/>
  <c r="K1388" i="23" s="1"/>
  <c r="J1384" i="23"/>
  <c r="J1383" i="23" s="1"/>
  <c r="J1382" i="23" s="1"/>
  <c r="J1381" i="23" s="1"/>
  <c r="K1384" i="23"/>
  <c r="K1383" i="23" s="1"/>
  <c r="K1382" i="23" s="1"/>
  <c r="K1381" i="23" s="1"/>
  <c r="J1379" i="23"/>
  <c r="K1379" i="23"/>
  <c r="J1374" i="23"/>
  <c r="K1374" i="23"/>
  <c r="J1370" i="23"/>
  <c r="K1370" i="23"/>
  <c r="J1367" i="23"/>
  <c r="K1367" i="23"/>
  <c r="J1364" i="23"/>
  <c r="J1363" i="23" s="1"/>
  <c r="K1364" i="23"/>
  <c r="K1363" i="23" s="1"/>
  <c r="J1359" i="23"/>
  <c r="K1359" i="23"/>
  <c r="J1355" i="23"/>
  <c r="K1355" i="23"/>
  <c r="J1351" i="23"/>
  <c r="K1351" i="23"/>
  <c r="J1348" i="23"/>
  <c r="K1348" i="23"/>
  <c r="J1345" i="23"/>
  <c r="J1344" i="23" s="1"/>
  <c r="K1345" i="23"/>
  <c r="K1344" i="23" s="1"/>
  <c r="J1340" i="23"/>
  <c r="J1339" i="23" s="1"/>
  <c r="K1340" i="23"/>
  <c r="K1339" i="23" s="1"/>
  <c r="J1337" i="23"/>
  <c r="K1337" i="23"/>
  <c r="J1334" i="23"/>
  <c r="K1334" i="23"/>
  <c r="J1331" i="23"/>
  <c r="K1331" i="23"/>
  <c r="J1328" i="23"/>
  <c r="K1328" i="23"/>
  <c r="J1324" i="23"/>
  <c r="K1324" i="23"/>
  <c r="J1321" i="23"/>
  <c r="K1321" i="23"/>
  <c r="J1318" i="23"/>
  <c r="J1317" i="23" s="1"/>
  <c r="K1318" i="23"/>
  <c r="K1317" i="23" s="1"/>
  <c r="J1313" i="23"/>
  <c r="J1312" i="23" s="1"/>
  <c r="K1313" i="23"/>
  <c r="K1312" i="23" s="1"/>
  <c r="J1309" i="23"/>
  <c r="J1308" i="23" s="1"/>
  <c r="K1309" i="23"/>
  <c r="K1308" i="23" s="1"/>
  <c r="J1306" i="23"/>
  <c r="K1306" i="23"/>
  <c r="J1303" i="23"/>
  <c r="K1303" i="23"/>
  <c r="J1301" i="23"/>
  <c r="K1301" i="23"/>
  <c r="J1298" i="23"/>
  <c r="J1297" i="23" s="1"/>
  <c r="K1298" i="23"/>
  <c r="K1297" i="23" s="1"/>
  <c r="J1293" i="23"/>
  <c r="J1292" i="23" s="1"/>
  <c r="J1291" i="23" s="1"/>
  <c r="J1518" i="23" s="1"/>
  <c r="D23" i="5" s="1"/>
  <c r="K1293" i="23"/>
  <c r="K1292" i="23" s="1"/>
  <c r="K1291" i="23" s="1"/>
  <c r="J1284" i="23"/>
  <c r="J1283" i="23" s="1"/>
  <c r="J1262" i="23" s="1"/>
  <c r="K1284" i="23"/>
  <c r="K1283" i="23" s="1"/>
  <c r="K1262" i="23" s="1"/>
  <c r="J1257" i="23"/>
  <c r="K1257" i="23"/>
  <c r="J1255" i="23"/>
  <c r="K1255" i="23"/>
  <c r="J1251" i="23"/>
  <c r="J1250" i="23" s="1"/>
  <c r="K1251" i="23"/>
  <c r="K1250" i="23" s="1"/>
  <c r="J1247" i="23"/>
  <c r="J1246" i="23" s="1"/>
  <c r="K1247" i="23"/>
  <c r="K1246" i="23" s="1"/>
  <c r="J1244" i="23"/>
  <c r="K1244" i="23"/>
  <c r="J1242" i="23"/>
  <c r="K1242" i="23"/>
  <c r="J1238" i="23"/>
  <c r="J1237" i="23" s="1"/>
  <c r="K1238" i="23"/>
  <c r="K1237" i="23" s="1"/>
  <c r="J1233" i="23"/>
  <c r="J1232" i="23" s="1"/>
  <c r="K1233" i="23"/>
  <c r="K1232" i="23" s="1"/>
  <c r="J1230" i="23"/>
  <c r="J1228" i="23"/>
  <c r="K1228" i="23"/>
  <c r="J1223" i="23"/>
  <c r="K1223" i="23"/>
  <c r="J1220" i="23"/>
  <c r="J1219" i="23" s="1"/>
  <c r="K1220" i="23"/>
  <c r="K1219" i="23" s="1"/>
  <c r="J1215" i="23"/>
  <c r="K1215" i="23"/>
  <c r="J1211" i="23"/>
  <c r="K1211" i="23"/>
  <c r="J1205" i="23"/>
  <c r="K1205" i="23"/>
  <c r="J1201" i="23"/>
  <c r="K1201" i="23"/>
  <c r="J1197" i="23"/>
  <c r="K1197" i="23"/>
  <c r="J1195" i="23"/>
  <c r="K1195" i="23"/>
  <c r="J1192" i="23"/>
  <c r="K1192" i="23"/>
  <c r="J1187" i="23"/>
  <c r="J1186" i="23" s="1"/>
  <c r="K1187" i="23"/>
  <c r="K1186" i="23" s="1"/>
  <c r="J1184" i="23"/>
  <c r="K1184" i="23"/>
  <c r="J1181" i="23"/>
  <c r="K1181" i="23"/>
  <c r="J1176" i="23"/>
  <c r="K1176" i="23"/>
  <c r="J1174" i="23"/>
  <c r="K1174" i="23"/>
  <c r="J1166" i="23"/>
  <c r="K1166" i="23"/>
  <c r="J1159" i="23"/>
  <c r="K1159" i="23"/>
  <c r="J1153" i="23"/>
  <c r="K1153" i="23"/>
  <c r="J1148" i="23"/>
  <c r="K1148" i="23"/>
  <c r="J1144" i="23"/>
  <c r="K1144" i="23"/>
  <c r="J1142" i="23"/>
  <c r="K1142" i="23"/>
  <c r="J1139" i="23"/>
  <c r="K1139" i="23"/>
  <c r="J1134" i="23"/>
  <c r="J1133" i="23" s="1"/>
  <c r="K1134" i="23"/>
  <c r="K1133" i="23" s="1"/>
  <c r="J1131" i="23"/>
  <c r="K1131" i="23"/>
  <c r="J1129" i="23"/>
  <c r="K1129" i="23"/>
  <c r="J1123" i="23"/>
  <c r="K1123" i="23"/>
  <c r="J1121" i="23"/>
  <c r="K1121" i="23"/>
  <c r="J1118" i="23"/>
  <c r="J1117" i="23" s="1"/>
  <c r="K1118" i="23"/>
  <c r="K1117" i="23" s="1"/>
  <c r="J1115" i="23"/>
  <c r="K1115" i="23"/>
  <c r="J1106" i="23"/>
  <c r="K1106" i="23"/>
  <c r="J1102" i="23"/>
  <c r="K1102" i="23"/>
  <c r="J1098" i="23"/>
  <c r="K1098" i="23"/>
  <c r="J1095" i="23"/>
  <c r="K1095" i="23"/>
  <c r="J1093" i="23"/>
  <c r="K1093" i="23"/>
  <c r="J1088" i="23"/>
  <c r="J1087" i="23" s="1"/>
  <c r="K1088" i="23"/>
  <c r="K1087" i="23" s="1"/>
  <c r="J1085" i="23"/>
  <c r="K1085" i="23"/>
  <c r="J1083" i="23"/>
  <c r="K1083" i="23"/>
  <c r="J1077" i="23"/>
  <c r="K1077" i="23"/>
  <c r="K1073" i="23"/>
  <c r="J1071" i="23"/>
  <c r="K1071" i="23"/>
  <c r="J1069" i="23"/>
  <c r="K1069" i="23"/>
  <c r="J1064" i="23"/>
  <c r="K1064" i="23"/>
  <c r="J1058" i="23"/>
  <c r="K1058" i="23"/>
  <c r="J1054" i="23"/>
  <c r="K1054" i="23"/>
  <c r="J1050" i="23"/>
  <c r="K1050" i="23"/>
  <c r="J1048" i="23"/>
  <c r="K1048" i="23"/>
  <c r="J1045" i="23"/>
  <c r="K1045" i="23"/>
  <c r="J1039" i="23"/>
  <c r="J1038" i="23" s="1"/>
  <c r="J1037" i="23" s="1"/>
  <c r="J1036" i="23" s="1"/>
  <c r="K1039" i="23"/>
  <c r="K1038" i="23" s="1"/>
  <c r="K1037" i="23" s="1"/>
  <c r="K1036" i="23" s="1"/>
  <c r="J1034" i="23"/>
  <c r="J1033" i="23" s="1"/>
  <c r="K1034" i="23"/>
  <c r="K1033" i="23" s="1"/>
  <c r="J1031" i="23"/>
  <c r="K1031" i="23"/>
  <c r="J1028" i="23"/>
  <c r="K1028" i="23"/>
  <c r="J1025" i="23"/>
  <c r="K1025" i="23"/>
  <c r="J1023" i="23"/>
  <c r="K1023" i="23"/>
  <c r="J1013" i="23"/>
  <c r="J1012" i="23" s="1"/>
  <c r="K1013" i="23"/>
  <c r="K1012" i="23" s="1"/>
  <c r="J1008" i="23"/>
  <c r="J1007" i="23" s="1"/>
  <c r="K1008" i="23"/>
  <c r="K1007" i="23" s="1"/>
  <c r="J1004" i="23"/>
  <c r="J1003" i="23" s="1"/>
  <c r="K1004" i="23"/>
  <c r="K1003" i="23" s="1"/>
  <c r="J1001" i="23"/>
  <c r="K1001" i="23"/>
  <c r="J999" i="23"/>
  <c r="K999" i="23"/>
  <c r="J996" i="23"/>
  <c r="K996" i="23"/>
  <c r="J993" i="23"/>
  <c r="J992" i="23" s="1"/>
  <c r="K993" i="23"/>
  <c r="K992" i="23" s="1"/>
  <c r="J988" i="23"/>
  <c r="K988" i="23"/>
  <c r="J986" i="23"/>
  <c r="K986" i="23"/>
  <c r="J980" i="23"/>
  <c r="K980" i="23"/>
  <c r="J976" i="23"/>
  <c r="K976" i="23"/>
  <c r="J972" i="23"/>
  <c r="K972" i="23"/>
  <c r="J965" i="23"/>
  <c r="J964" i="23" s="1"/>
  <c r="K965" i="23"/>
  <c r="K964" i="23" s="1"/>
  <c r="J960" i="23"/>
  <c r="K960" i="23"/>
  <c r="J957" i="23"/>
  <c r="K957" i="23"/>
  <c r="J954" i="23"/>
  <c r="K954" i="23"/>
  <c r="J905" i="23"/>
  <c r="J904" i="23" s="1"/>
  <c r="K905" i="23"/>
  <c r="K904" i="23" s="1"/>
  <c r="J902" i="23"/>
  <c r="K902" i="23"/>
  <c r="J895" i="23"/>
  <c r="K895" i="23"/>
  <c r="J892" i="23"/>
  <c r="K892" i="23"/>
  <c r="J889" i="23"/>
  <c r="J888" i="23" s="1"/>
  <c r="K889" i="23"/>
  <c r="K888" i="23" s="1"/>
  <c r="J882" i="23"/>
  <c r="K882" i="23"/>
  <c r="J870" i="23"/>
  <c r="K870" i="23"/>
  <c r="J864" i="23"/>
  <c r="K864" i="23"/>
  <c r="J859" i="23"/>
  <c r="K859" i="23"/>
  <c r="J854" i="23"/>
  <c r="K854" i="23"/>
  <c r="J850" i="23"/>
  <c r="K850" i="23"/>
  <c r="J845" i="23"/>
  <c r="J844" i="23" s="1"/>
  <c r="K845" i="23"/>
  <c r="K844" i="23" s="1"/>
  <c r="J842" i="23"/>
  <c r="K842" i="23"/>
  <c r="J837" i="23"/>
  <c r="K837" i="23"/>
  <c r="J832" i="23"/>
  <c r="K832" i="23"/>
  <c r="J826" i="23"/>
  <c r="K826" i="23"/>
  <c r="J824" i="23"/>
  <c r="K824" i="23"/>
  <c r="J816" i="23"/>
  <c r="K816" i="23"/>
  <c r="J810" i="23"/>
  <c r="K810" i="23"/>
  <c r="J806" i="23"/>
  <c r="K806" i="23"/>
  <c r="J801" i="23"/>
  <c r="K801" i="23"/>
  <c r="J799" i="23"/>
  <c r="K799" i="23"/>
  <c r="J797" i="23"/>
  <c r="K797" i="23"/>
  <c r="J792" i="23"/>
  <c r="J791" i="23" s="1"/>
  <c r="K792" i="23"/>
  <c r="K791" i="23" s="1"/>
  <c r="J789" i="23"/>
  <c r="K789" i="23"/>
  <c r="J782" i="23"/>
  <c r="K782" i="23"/>
  <c r="J775" i="23"/>
  <c r="K775" i="23"/>
  <c r="J766" i="23"/>
  <c r="K766" i="23"/>
  <c r="J749" i="23"/>
  <c r="K749" i="23"/>
  <c r="J745" i="23"/>
  <c r="K745" i="23"/>
  <c r="J740" i="23"/>
  <c r="J739" i="23" s="1"/>
  <c r="J738" i="23" s="1"/>
  <c r="J737" i="23" s="1"/>
  <c r="K740" i="23"/>
  <c r="K739" i="23" s="1"/>
  <c r="K738" i="23" s="1"/>
  <c r="K737" i="23" s="1"/>
  <c r="J735" i="23"/>
  <c r="J734" i="23" s="1"/>
  <c r="J733" i="23" s="1"/>
  <c r="J732" i="23" s="1"/>
  <c r="K735" i="23"/>
  <c r="K734" i="23" s="1"/>
  <c r="K733" i="23" s="1"/>
  <c r="K732" i="23" s="1"/>
  <c r="J723" i="23"/>
  <c r="J722" i="23" s="1"/>
  <c r="J721" i="23" s="1"/>
  <c r="J720" i="23" s="1"/>
  <c r="K723" i="23"/>
  <c r="K722" i="23" s="1"/>
  <c r="K721" i="23" s="1"/>
  <c r="K720" i="23" s="1"/>
  <c r="J716" i="23"/>
  <c r="K716" i="23"/>
  <c r="J712" i="23"/>
  <c r="K712" i="23"/>
  <c r="J706" i="23"/>
  <c r="K706" i="23"/>
  <c r="J704" i="23"/>
  <c r="K704" i="23"/>
  <c r="J698" i="23"/>
  <c r="K698" i="23"/>
  <c r="J693" i="23"/>
  <c r="K693" i="23"/>
  <c r="J689" i="23"/>
  <c r="K689" i="23"/>
  <c r="J683" i="23"/>
  <c r="J682" i="23" s="1"/>
  <c r="K683" i="23"/>
  <c r="K682" i="23" s="1"/>
  <c r="J679" i="23"/>
  <c r="J678" i="23" s="1"/>
  <c r="K679" i="23"/>
  <c r="K678" i="23" s="1"/>
  <c r="J655" i="23"/>
  <c r="J654" i="23" s="1"/>
  <c r="K655" i="23"/>
  <c r="K654" i="23" s="1"/>
  <c r="I745" i="23"/>
  <c r="J650" i="23"/>
  <c r="J649" i="23" s="1"/>
  <c r="J637" i="23"/>
  <c r="J634" i="23" s="1"/>
  <c r="J635" i="23"/>
  <c r="J632" i="23"/>
  <c r="J631" i="23" s="1"/>
  <c r="J623" i="23"/>
  <c r="J622" i="23" s="1"/>
  <c r="J621" i="23" s="1"/>
  <c r="J620" i="23" s="1"/>
  <c r="K623" i="23"/>
  <c r="K622" i="23" s="1"/>
  <c r="K621" i="23" s="1"/>
  <c r="K620" i="23" s="1"/>
  <c r="J610" i="23"/>
  <c r="K610" i="23"/>
  <c r="J606" i="23"/>
  <c r="K606" i="23"/>
  <c r="J575" i="23"/>
  <c r="J574" i="23" s="1"/>
  <c r="K575" i="23"/>
  <c r="K574" i="23" s="1"/>
  <c r="J570" i="23"/>
  <c r="J569" i="23" s="1"/>
  <c r="K570" i="23"/>
  <c r="K569" i="23" s="1"/>
  <c r="J566" i="23"/>
  <c r="J565" i="23" s="1"/>
  <c r="K566" i="23"/>
  <c r="K565" i="23" s="1"/>
  <c r="J560" i="23"/>
  <c r="J559" i="23" s="1"/>
  <c r="K560" i="23"/>
  <c r="K559" i="23" s="1"/>
  <c r="J553" i="23"/>
  <c r="K553" i="23"/>
  <c r="J545" i="23"/>
  <c r="K545" i="23"/>
  <c r="J533" i="23"/>
  <c r="J532" i="23" s="1"/>
  <c r="K533" i="23"/>
  <c r="K532" i="23" s="1"/>
  <c r="J527" i="23"/>
  <c r="K527" i="23"/>
  <c r="J524" i="23"/>
  <c r="K524" i="23"/>
  <c r="J522" i="23"/>
  <c r="K522" i="23"/>
  <c r="J518" i="23"/>
  <c r="J517" i="23" s="1"/>
  <c r="K518" i="23"/>
  <c r="K517" i="23" s="1"/>
  <c r="J502" i="23"/>
  <c r="K502" i="23"/>
  <c r="J500" i="23"/>
  <c r="K500" i="23"/>
  <c r="J485" i="23"/>
  <c r="K485" i="23"/>
  <c r="J479" i="23"/>
  <c r="J478" i="23" s="1"/>
  <c r="K479" i="23"/>
  <c r="K478" i="23" s="1"/>
  <c r="J472" i="23"/>
  <c r="J471" i="23" s="1"/>
  <c r="K472" i="23"/>
  <c r="K471" i="23" s="1"/>
  <c r="J459" i="23"/>
  <c r="K459" i="23"/>
  <c r="J452" i="23"/>
  <c r="K452" i="23"/>
  <c r="J447" i="23"/>
  <c r="K447" i="23"/>
  <c r="J445" i="23"/>
  <c r="K445" i="23"/>
  <c r="J435" i="23"/>
  <c r="J434" i="23" s="1"/>
  <c r="K435" i="23"/>
  <c r="K434" i="23" s="1"/>
  <c r="J432" i="23"/>
  <c r="K432" i="23"/>
  <c r="J428" i="23"/>
  <c r="K428" i="23"/>
  <c r="J424" i="23"/>
  <c r="K424" i="23"/>
  <c r="J422" i="23"/>
  <c r="K422" i="23"/>
  <c r="J419" i="23"/>
  <c r="J418" i="23" s="1"/>
  <c r="K419" i="23"/>
  <c r="K418" i="23" s="1"/>
  <c r="J410" i="23"/>
  <c r="J409" i="23" s="1"/>
  <c r="K410" i="23"/>
  <c r="K409" i="23" s="1"/>
  <c r="J407" i="23"/>
  <c r="J406" i="23" s="1"/>
  <c r="K407" i="23"/>
  <c r="K406" i="23" s="1"/>
  <c r="J404" i="23"/>
  <c r="K404" i="23"/>
  <c r="J401" i="23"/>
  <c r="K401" i="23"/>
  <c r="J399" i="23"/>
  <c r="K399" i="23"/>
  <c r="J397" i="23"/>
  <c r="K397" i="23"/>
  <c r="J369" i="23"/>
  <c r="J368" i="23" s="1"/>
  <c r="K369" i="23"/>
  <c r="K368" i="23" s="1"/>
  <c r="J365" i="23"/>
  <c r="J364" i="23" s="1"/>
  <c r="K365" i="23"/>
  <c r="K364" i="23" s="1"/>
  <c r="J359" i="23"/>
  <c r="K359" i="23"/>
  <c r="J350" i="23"/>
  <c r="K350" i="23"/>
  <c r="J343" i="23"/>
  <c r="K343" i="23"/>
  <c r="J341" i="23"/>
  <c r="K341" i="23"/>
  <c r="J337" i="23"/>
  <c r="J336" i="23" s="1"/>
  <c r="K337" i="23"/>
  <c r="K336" i="23" s="1"/>
  <c r="J332" i="23"/>
  <c r="K332" i="23"/>
  <c r="J330" i="23"/>
  <c r="K330" i="23"/>
  <c r="J327" i="23"/>
  <c r="K327" i="23"/>
  <c r="J320" i="23"/>
  <c r="K320" i="23"/>
  <c r="J317" i="23"/>
  <c r="J316" i="23" s="1"/>
  <c r="K317" i="23"/>
  <c r="K316" i="23" s="1"/>
  <c r="J314" i="23"/>
  <c r="K314" i="23"/>
  <c r="J310" i="23"/>
  <c r="K310" i="23"/>
  <c r="J308" i="23"/>
  <c r="K308" i="23"/>
  <c r="J299" i="23"/>
  <c r="K299" i="23"/>
  <c r="J293" i="23"/>
  <c r="K293" i="23"/>
  <c r="J290" i="23"/>
  <c r="K290" i="23"/>
  <c r="J267" i="23"/>
  <c r="K267" i="23"/>
  <c r="J265" i="23"/>
  <c r="K265" i="23"/>
  <c r="J260" i="23"/>
  <c r="K260" i="23"/>
  <c r="J257" i="23"/>
  <c r="J256" i="23" s="1"/>
  <c r="K257" i="23"/>
  <c r="K256" i="23" s="1"/>
  <c r="J254" i="23"/>
  <c r="J253" i="23" s="1"/>
  <c r="K254" i="23"/>
  <c r="K253" i="23" s="1"/>
  <c r="J250" i="23"/>
  <c r="K250" i="23"/>
  <c r="J248" i="23"/>
  <c r="K248" i="23"/>
  <c r="J245" i="23"/>
  <c r="K245" i="23"/>
  <c r="J236" i="23"/>
  <c r="K236" i="23"/>
  <c r="J230" i="23"/>
  <c r="K230" i="23"/>
  <c r="J223" i="23"/>
  <c r="K223" i="23"/>
  <c r="J207" i="23"/>
  <c r="K207" i="23"/>
  <c r="J205" i="23"/>
  <c r="K205" i="23"/>
  <c r="J197" i="23"/>
  <c r="K197" i="23"/>
  <c r="J190" i="23"/>
  <c r="J188" i="23"/>
  <c r="K188" i="23"/>
  <c r="J185" i="23"/>
  <c r="J184" i="23" s="1"/>
  <c r="K185" i="23"/>
  <c r="K184" i="23" s="1"/>
  <c r="J177" i="23"/>
  <c r="J176" i="23" s="1"/>
  <c r="J175" i="23" s="1"/>
  <c r="K177" i="23"/>
  <c r="K176" i="23" s="1"/>
  <c r="K175" i="23" s="1"/>
  <c r="J173" i="23"/>
  <c r="J172" i="23" s="1"/>
  <c r="J171" i="23" s="1"/>
  <c r="K173" i="23"/>
  <c r="K172" i="23" s="1"/>
  <c r="K171" i="23" s="1"/>
  <c r="J162" i="23"/>
  <c r="J161" i="23" s="1"/>
  <c r="K162" i="23"/>
  <c r="K161" i="23" s="1"/>
  <c r="J157" i="23"/>
  <c r="J156" i="23" s="1"/>
  <c r="K157" i="23"/>
  <c r="K156" i="23" s="1"/>
  <c r="J141" i="23"/>
  <c r="J140" i="23" s="1"/>
  <c r="J139" i="23" s="1"/>
  <c r="J138" i="23" s="1"/>
  <c r="K141" i="23"/>
  <c r="K140" i="23" s="1"/>
  <c r="K139" i="23" s="1"/>
  <c r="K138" i="23" s="1"/>
  <c r="J104" i="23"/>
  <c r="K104" i="23"/>
  <c r="J102" i="23"/>
  <c r="K102" i="23"/>
  <c r="J100" i="23"/>
  <c r="K100" i="23"/>
  <c r="J90" i="23"/>
  <c r="K90" i="23"/>
  <c r="J87" i="23"/>
  <c r="K87" i="23"/>
  <c r="J85" i="23"/>
  <c r="K85" i="23"/>
  <c r="J77" i="23"/>
  <c r="K77" i="23"/>
  <c r="J65" i="23"/>
  <c r="K65" i="23"/>
  <c r="J51" i="23"/>
  <c r="K51" i="23"/>
  <c r="J47" i="23"/>
  <c r="K47" i="23"/>
  <c r="J39" i="23"/>
  <c r="K39" i="23"/>
  <c r="J23" i="23"/>
  <c r="J22" i="23" s="1"/>
  <c r="K23" i="23"/>
  <c r="K22" i="23" s="1"/>
  <c r="J20" i="23"/>
  <c r="J19" i="23" s="1"/>
  <c r="K20" i="23"/>
  <c r="K19" i="23" s="1"/>
  <c r="J16" i="23"/>
  <c r="J15" i="23" s="1"/>
  <c r="J14" i="23" s="1"/>
  <c r="K16" i="23"/>
  <c r="K15" i="23" s="1"/>
  <c r="K14" i="23" s="1"/>
  <c r="J12" i="23"/>
  <c r="J11" i="23" s="1"/>
  <c r="J10" i="23" s="1"/>
  <c r="K12" i="23"/>
  <c r="K11" i="23" s="1"/>
  <c r="K10" i="23" s="1"/>
  <c r="J484" i="23" l="1"/>
  <c r="K781" i="23"/>
  <c r="J1120" i="23"/>
  <c r="K1347" i="23"/>
  <c r="K1343" i="23" s="1"/>
  <c r="K1342" i="23" s="1"/>
  <c r="K484" i="23"/>
  <c r="K477" i="23" s="1"/>
  <c r="J849" i="23"/>
  <c r="K1120" i="23"/>
  <c r="J1366" i="23"/>
  <c r="J1362" i="23" s="1"/>
  <c r="J1361" i="23" s="1"/>
  <c r="J1448" i="23"/>
  <c r="K1366" i="23"/>
  <c r="K1362" i="23" s="1"/>
  <c r="K1361" i="23" s="1"/>
  <c r="K1448" i="23"/>
  <c r="J781" i="23"/>
  <c r="K521" i="23"/>
  <c r="J1347" i="23"/>
  <c r="J1343" i="23" s="1"/>
  <c r="J1342" i="23" s="1"/>
  <c r="J521" i="23"/>
  <c r="J516" i="23" s="1"/>
  <c r="J18" i="23"/>
  <c r="K18" i="23"/>
  <c r="K858" i="23"/>
  <c r="J858" i="23"/>
  <c r="J753" i="23"/>
  <c r="K849" i="23"/>
  <c r="K831" i="23"/>
  <c r="J1437" i="23"/>
  <c r="K753" i="23"/>
  <c r="J1138" i="23"/>
  <c r="J568" i="23"/>
  <c r="J605" i="23"/>
  <c r="J604" i="23" s="1"/>
  <c r="J603" i="23" s="1"/>
  <c r="K1254" i="23"/>
  <c r="K1249" i="23" s="1"/>
  <c r="J1147" i="23"/>
  <c r="K1261" i="23"/>
  <c r="K244" i="23"/>
  <c r="J796" i="23"/>
  <c r="J1027" i="23"/>
  <c r="K1044" i="23"/>
  <c r="J1241" i="23"/>
  <c r="J1236" i="23" s="1"/>
  <c r="J1300" i="23"/>
  <c r="J1296" i="23" s="1"/>
  <c r="J1295" i="23" s="1"/>
  <c r="J1467" i="23"/>
  <c r="J220" i="23"/>
  <c r="J239" i="23"/>
  <c r="K289" i="23"/>
  <c r="K396" i="23"/>
  <c r="K395" i="23" s="1"/>
  <c r="K394" i="23" s="1"/>
  <c r="J444" i="23"/>
  <c r="J438" i="23" s="1"/>
  <c r="J437" i="23" s="1"/>
  <c r="J477" i="23"/>
  <c r="K688" i="23"/>
  <c r="K744" i="23"/>
  <c r="J831" i="23"/>
  <c r="K971" i="23"/>
  <c r="K963" i="23" s="1"/>
  <c r="K962" i="23" s="1"/>
  <c r="K1015" i="23"/>
  <c r="J64" i="23"/>
  <c r="J56" i="23" s="1"/>
  <c r="K444" i="23"/>
  <c r="K438" i="23" s="1"/>
  <c r="K437" i="23" s="1"/>
  <c r="K536" i="23"/>
  <c r="K531" i="23" s="1"/>
  <c r="J688" i="23"/>
  <c r="J744" i="23"/>
  <c r="J971" i="23"/>
  <c r="J963" i="23" s="1"/>
  <c r="J962" i="23" s="1"/>
  <c r="J187" i="23"/>
  <c r="J183" i="23" s="1"/>
  <c r="K64" i="23"/>
  <c r="K56" i="23" s="1"/>
  <c r="K239" i="23"/>
  <c r="J319" i="23"/>
  <c r="K259" i="23"/>
  <c r="K1437" i="23"/>
  <c r="K46" i="23"/>
  <c r="K43" i="23" s="1"/>
  <c r="J340" i="23"/>
  <c r="J335" i="23" s="1"/>
  <c r="J334" i="23" s="1"/>
  <c r="J1092" i="23"/>
  <c r="J1097" i="23"/>
  <c r="K1147" i="23"/>
  <c r="J1483" i="23"/>
  <c r="J46" i="23"/>
  <c r="J43" i="23" s="1"/>
  <c r="K220" i="23"/>
  <c r="J421" i="23"/>
  <c r="J417" i="23" s="1"/>
  <c r="J416" i="23" s="1"/>
  <c r="J536" i="23"/>
  <c r="J531" i="23" s="1"/>
  <c r="K605" i="23"/>
  <c r="K604" i="23" s="1"/>
  <c r="K603" i="23" s="1"/>
  <c r="K1092" i="23"/>
  <c r="K1138" i="23"/>
  <c r="K1173" i="23"/>
  <c r="K1191" i="23"/>
  <c r="K1467" i="23"/>
  <c r="K1483" i="23"/>
  <c r="K1300" i="23"/>
  <c r="K1296" i="23" s="1"/>
  <c r="K1295" i="23" s="1"/>
  <c r="K329" i="23"/>
  <c r="K1222" i="23"/>
  <c r="K1333" i="23"/>
  <c r="K995" i="23"/>
  <c r="K991" i="23" s="1"/>
  <c r="K1053" i="23"/>
  <c r="K1320" i="23"/>
  <c r="K319" i="23"/>
  <c r="K891" i="23"/>
  <c r="K1027" i="23"/>
  <c r="J1044" i="23"/>
  <c r="J1222" i="23"/>
  <c r="K1241" i="23"/>
  <c r="K1236" i="23" s="1"/>
  <c r="J1254" i="23"/>
  <c r="J1249" i="23" s="1"/>
  <c r="J1333" i="23"/>
  <c r="J1405" i="23"/>
  <c r="J84" i="23"/>
  <c r="J83" i="23" s="1"/>
  <c r="J82" i="23" s="1"/>
  <c r="K568" i="23"/>
  <c r="J1516" i="23"/>
  <c r="D21" i="5" s="1"/>
  <c r="J1387" i="23"/>
  <c r="J1386" i="23" s="1"/>
  <c r="K1387" i="23"/>
  <c r="K1386" i="23" s="1"/>
  <c r="J244" i="23"/>
  <c r="J289" i="23"/>
  <c r="K340" i="23"/>
  <c r="K335" i="23" s="1"/>
  <c r="K334" i="23" s="1"/>
  <c r="J891" i="23"/>
  <c r="K155" i="23"/>
  <c r="K154" i="23" s="1"/>
  <c r="J396" i="23"/>
  <c r="J395" i="23" s="1"/>
  <c r="J394" i="23" s="1"/>
  <c r="J1015" i="23"/>
  <c r="K1200" i="23"/>
  <c r="K84" i="23"/>
  <c r="K83" i="23" s="1"/>
  <c r="K82" i="23" s="1"/>
  <c r="J259" i="23"/>
  <c r="J329" i="23"/>
  <c r="K421" i="23"/>
  <c r="K417" i="23" s="1"/>
  <c r="K416" i="23" s="1"/>
  <c r="K516" i="23"/>
  <c r="K796" i="23"/>
  <c r="J953" i="23"/>
  <c r="J952" i="23" s="1"/>
  <c r="J951" i="23" s="1"/>
  <c r="J995" i="23"/>
  <c r="J991" i="23" s="1"/>
  <c r="J1173" i="23"/>
  <c r="K1405" i="23"/>
  <c r="J1320" i="23"/>
  <c r="J1200" i="23"/>
  <c r="J1191" i="23"/>
  <c r="K711" i="23"/>
  <c r="K187" i="23"/>
  <c r="K183" i="23" s="1"/>
  <c r="J711" i="23"/>
  <c r="K953" i="23"/>
  <c r="K952" i="23" s="1"/>
  <c r="K1076" i="23"/>
  <c r="K1097" i="23"/>
  <c r="J155" i="23"/>
  <c r="J154" i="23" s="1"/>
  <c r="J1053" i="23"/>
  <c r="J1076" i="23"/>
  <c r="K805" i="23"/>
  <c r="J805" i="23"/>
  <c r="K653" i="23"/>
  <c r="J653" i="23"/>
  <c r="J630" i="23"/>
  <c r="J625" i="23" s="1"/>
  <c r="L1175" i="23"/>
  <c r="L1174" i="23" s="1"/>
  <c r="F1175" i="23"/>
  <c r="F1174" i="23" s="1"/>
  <c r="Q1174" i="23"/>
  <c r="P1174" i="23"/>
  <c r="O1174" i="23"/>
  <c r="N1174" i="23"/>
  <c r="M1174" i="23"/>
  <c r="I1174" i="23"/>
  <c r="H1174" i="23"/>
  <c r="G1174" i="23"/>
  <c r="E1174" i="23"/>
  <c r="D1174" i="23"/>
  <c r="C1174" i="23"/>
  <c r="C1176" i="23"/>
  <c r="D1176" i="23"/>
  <c r="E1176" i="23"/>
  <c r="G1176" i="23"/>
  <c r="H1176" i="23"/>
  <c r="M1176" i="23"/>
  <c r="N1176" i="23"/>
  <c r="O1176" i="23"/>
  <c r="P1176" i="23"/>
  <c r="Q1176" i="23"/>
  <c r="F1177" i="23"/>
  <c r="L1177" i="23"/>
  <c r="L1132" i="23"/>
  <c r="L1131" i="23" s="1"/>
  <c r="F1132" i="23"/>
  <c r="F1131" i="23" s="1"/>
  <c r="Q1131" i="23"/>
  <c r="P1131" i="23"/>
  <c r="O1131" i="23"/>
  <c r="N1131" i="23"/>
  <c r="M1131" i="23"/>
  <c r="H1131" i="23"/>
  <c r="G1131" i="23"/>
  <c r="E1131" i="23"/>
  <c r="D1131" i="23"/>
  <c r="C1131" i="23"/>
  <c r="F1081" i="23"/>
  <c r="J1509" i="23" l="1"/>
  <c r="K1509" i="23"/>
  <c r="K1511" i="23"/>
  <c r="J1511" i="23"/>
  <c r="K681" i="23"/>
  <c r="J1011" i="23"/>
  <c r="J1010" i="23" s="1"/>
  <c r="K1512" i="23"/>
  <c r="J1512" i="23"/>
  <c r="D16" i="5" s="1"/>
  <c r="J179" i="23"/>
  <c r="D15" i="5"/>
  <c r="J1517" i="23"/>
  <c r="D22" i="5" s="1"/>
  <c r="K179" i="23"/>
  <c r="J476" i="23"/>
  <c r="K476" i="23"/>
  <c r="K951" i="23"/>
  <c r="J1401" i="23"/>
  <c r="J1400" i="23" s="1"/>
  <c r="K1137" i="23"/>
  <c r="K1136" i="23" s="1"/>
  <c r="J1137" i="23"/>
  <c r="J1136" i="23" s="1"/>
  <c r="J1513" i="23"/>
  <c r="D17" i="5" s="1"/>
  <c r="K743" i="23"/>
  <c r="K1401" i="23"/>
  <c r="K1400" i="23" s="1"/>
  <c r="J1316" i="23"/>
  <c r="J1315" i="23" s="1"/>
  <c r="J1463" i="23"/>
  <c r="J1462" i="23" s="1"/>
  <c r="J1457" i="23" s="1"/>
  <c r="K1463" i="23"/>
  <c r="K1462" i="23" s="1"/>
  <c r="K1457" i="23" s="1"/>
  <c r="J743" i="23"/>
  <c r="K288" i="23"/>
  <c r="K287" i="23" s="1"/>
  <c r="K1316" i="23"/>
  <c r="K1315" i="23" s="1"/>
  <c r="K1011" i="23"/>
  <c r="K1010" i="23" s="1"/>
  <c r="J681" i="23"/>
  <c r="J652" i="23" s="1"/>
  <c r="J1043" i="23"/>
  <c r="J1042" i="23" s="1"/>
  <c r="J795" i="23"/>
  <c r="J794" i="23" s="1"/>
  <c r="J219" i="23"/>
  <c r="K219" i="23"/>
  <c r="J515" i="23"/>
  <c r="K1043" i="23"/>
  <c r="K1042" i="23" s="1"/>
  <c r="J990" i="23"/>
  <c r="J288" i="23"/>
  <c r="J287" i="23" s="1"/>
  <c r="J1091" i="23"/>
  <c r="J1090" i="23" s="1"/>
  <c r="J1261" i="23"/>
  <c r="K795" i="23"/>
  <c r="K794" i="23" s="1"/>
  <c r="K9" i="23"/>
  <c r="K848" i="23"/>
  <c r="K847" i="23" s="1"/>
  <c r="K990" i="23"/>
  <c r="K1190" i="23"/>
  <c r="K1189" i="23" s="1"/>
  <c r="K1091" i="23"/>
  <c r="K1090" i="23" s="1"/>
  <c r="J1190" i="23"/>
  <c r="J1189" i="23" s="1"/>
  <c r="J848" i="23"/>
  <c r="J847" i="23" s="1"/>
  <c r="J1235" i="23"/>
  <c r="J9" i="23"/>
  <c r="K1235" i="23"/>
  <c r="K652" i="23"/>
  <c r="K515" i="23"/>
  <c r="I1131" i="23"/>
  <c r="J218" i="23" l="1"/>
  <c r="J1510" i="23"/>
  <c r="K218" i="23"/>
  <c r="K1510" i="23"/>
  <c r="D13" i="5"/>
  <c r="K1515" i="23"/>
  <c r="J1515" i="23"/>
  <c r="D20" i="5" s="1"/>
  <c r="J742" i="23"/>
  <c r="K742" i="23"/>
  <c r="J1514" i="23"/>
  <c r="D19" i="5" s="1"/>
  <c r="D14" i="5"/>
  <c r="J1508" i="23" l="1"/>
  <c r="J1507" i="23" s="1"/>
  <c r="D10" i="5"/>
  <c r="D12" i="5"/>
  <c r="D11" i="5"/>
  <c r="J8" i="23"/>
  <c r="J7" i="23" s="1"/>
  <c r="L423" i="23"/>
  <c r="L1489" i="23"/>
  <c r="L1486" i="23"/>
  <c r="L1485" i="23"/>
  <c r="L1482" i="23"/>
  <c r="L1481" i="23" s="1"/>
  <c r="L1477" i="23"/>
  <c r="L1476" i="23"/>
  <c r="L1475" i="23"/>
  <c r="L1472" i="23"/>
  <c r="L1469" i="23"/>
  <c r="L1466" i="23"/>
  <c r="L1407" i="23"/>
  <c r="L1393" i="23"/>
  <c r="L1390" i="23"/>
  <c r="L1385" i="23"/>
  <c r="L1380" i="23"/>
  <c r="L1378" i="23"/>
  <c r="L1377" i="23"/>
  <c r="L1376" i="23"/>
  <c r="L1375" i="23"/>
  <c r="L1371" i="23"/>
  <c r="L1369" i="23"/>
  <c r="L1368" i="23"/>
  <c r="L1365" i="23"/>
  <c r="L1360" i="23"/>
  <c r="L1358" i="23"/>
  <c r="L1357" i="23"/>
  <c r="L1356" i="23"/>
  <c r="L1353" i="23"/>
  <c r="L1349" i="23"/>
  <c r="L1346" i="23"/>
  <c r="L1332" i="23"/>
  <c r="L1330" i="23"/>
  <c r="L1329" i="23"/>
  <c r="L1327" i="23"/>
  <c r="L1326" i="23"/>
  <c r="L1325" i="23"/>
  <c r="L1323" i="23"/>
  <c r="L1322" i="23"/>
  <c r="L1319" i="23"/>
  <c r="L1310" i="23"/>
  <c r="L1307" i="23"/>
  <c r="L1305" i="23"/>
  <c r="L1303" i="23" s="1"/>
  <c r="L1299" i="23"/>
  <c r="L1294" i="23"/>
  <c r="L1285" i="23"/>
  <c r="L1281" i="23"/>
  <c r="L1279" i="23" s="1"/>
  <c r="L1263" i="23" s="1"/>
  <c r="L1227" i="23"/>
  <c r="L1225" i="23"/>
  <c r="L1224" i="23"/>
  <c r="L1221" i="23"/>
  <c r="L1216" i="23"/>
  <c r="L1213" i="23"/>
  <c r="L1212" i="23"/>
  <c r="L1210" i="23"/>
  <c r="L1206" i="23"/>
  <c r="L1204" i="23"/>
  <c r="L1203" i="23"/>
  <c r="L1202" i="23"/>
  <c r="L1199" i="23"/>
  <c r="L1198" i="23"/>
  <c r="L1196" i="23"/>
  <c r="L1194" i="23"/>
  <c r="L1193" i="23"/>
  <c r="L1180" i="23"/>
  <c r="L1178" i="23"/>
  <c r="L1169" i="23"/>
  <c r="L1168" i="23" s="1"/>
  <c r="L1165" i="23"/>
  <c r="L1163" i="23"/>
  <c r="L1162" i="23"/>
  <c r="L1161" i="23"/>
  <c r="L1158" i="23"/>
  <c r="L1157" i="23"/>
  <c r="L1156" i="23"/>
  <c r="L1155" i="23"/>
  <c r="L1141" i="23"/>
  <c r="L1130" i="23"/>
  <c r="L1128" i="23"/>
  <c r="L1126" i="23"/>
  <c r="L1125" i="23"/>
  <c r="L1124" i="23"/>
  <c r="L1110" i="23"/>
  <c r="L1109" i="23"/>
  <c r="L1108" i="23"/>
  <c r="L1107" i="23"/>
  <c r="L1105" i="23"/>
  <c r="L1104" i="23"/>
  <c r="L1103" i="23"/>
  <c r="L1101" i="23"/>
  <c r="L1100" i="23"/>
  <c r="L1099" i="23"/>
  <c r="L1084" i="23"/>
  <c r="L1082" i="23"/>
  <c r="L1079" i="23"/>
  <c r="L1078" i="23"/>
  <c r="L1072" i="23"/>
  <c r="L1068" i="23"/>
  <c r="L1067" i="23"/>
  <c r="L1066" i="23"/>
  <c r="L1065" i="23"/>
  <c r="L1063" i="23"/>
  <c r="L1062" i="23"/>
  <c r="L1061" i="23"/>
  <c r="L1060" i="23"/>
  <c r="L1059" i="23"/>
  <c r="L1057" i="23"/>
  <c r="L1056" i="23"/>
  <c r="L1055" i="23"/>
  <c r="L1041" i="23"/>
  <c r="L1029" i="23"/>
  <c r="L1026" i="23"/>
  <c r="L1022" i="23"/>
  <c r="L1021" i="23"/>
  <c r="L1019" i="23"/>
  <c r="L1014" i="23"/>
  <c r="L1006" i="23"/>
  <c r="L1005" i="23"/>
  <c r="L1002" i="23"/>
  <c r="L1000" i="23"/>
  <c r="L994" i="23"/>
  <c r="L989" i="23"/>
  <c r="L987" i="23"/>
  <c r="L985" i="23"/>
  <c r="L984" i="23"/>
  <c r="L983" i="23"/>
  <c r="L982" i="23"/>
  <c r="L977" i="23"/>
  <c r="L974" i="23"/>
  <c r="L973" i="23"/>
  <c r="L966" i="23"/>
  <c r="L961" i="23"/>
  <c r="L959" i="23"/>
  <c r="L958" i="23"/>
  <c r="L956" i="23"/>
  <c r="L955" i="23"/>
  <c r="L906" i="23"/>
  <c r="L898" i="23"/>
  <c r="L897" i="23"/>
  <c r="L896" i="23"/>
  <c r="L877" i="23"/>
  <c r="L873" i="23"/>
  <c r="L872" i="23"/>
  <c r="L871" i="23"/>
  <c r="L869" i="23"/>
  <c r="L867" i="23"/>
  <c r="L865" i="23"/>
  <c r="L862" i="23"/>
  <c r="L861" i="23"/>
  <c r="L860" i="23"/>
  <c r="L835" i="23"/>
  <c r="L834" i="23"/>
  <c r="L790" i="23"/>
  <c r="L785" i="23"/>
  <c r="L784" i="23"/>
  <c r="L651" i="23"/>
  <c r="L638" i="23"/>
  <c r="L636" i="23"/>
  <c r="L633" i="23"/>
  <c r="L609" i="23"/>
  <c r="L607" i="23"/>
  <c r="L576" i="23"/>
  <c r="L571" i="23"/>
  <c r="L567" i="23"/>
  <c r="L563" i="23"/>
  <c r="L561" i="23"/>
  <c r="L556" i="23"/>
  <c r="L554" i="23"/>
  <c r="L552" i="23"/>
  <c r="L551" i="23"/>
  <c r="L550" i="23"/>
  <c r="L549" i="23"/>
  <c r="L548" i="23"/>
  <c r="L547" i="23"/>
  <c r="L546" i="23"/>
  <c r="L544" i="23"/>
  <c r="L543" i="23"/>
  <c r="L542" i="23"/>
  <c r="L539" i="23"/>
  <c r="L537" i="23" s="1"/>
  <c r="L535" i="23"/>
  <c r="L528" i="23"/>
  <c r="L526" i="23"/>
  <c r="L525" i="23"/>
  <c r="L523" i="23"/>
  <c r="L520" i="23"/>
  <c r="L505" i="23"/>
  <c r="L501" i="23"/>
  <c r="L499" i="23"/>
  <c r="L498" i="23"/>
  <c r="L497" i="23"/>
  <c r="L487" i="23"/>
  <c r="L486" i="23"/>
  <c r="L480" i="23"/>
  <c r="L436" i="23"/>
  <c r="L433" i="23"/>
  <c r="L431" i="23"/>
  <c r="L430" i="23"/>
  <c r="L429" i="23"/>
  <c r="L427" i="23"/>
  <c r="L426" i="23"/>
  <c r="L425" i="23"/>
  <c r="L420" i="23"/>
  <c r="L405" i="23"/>
  <c r="L398" i="23"/>
  <c r="L373" i="23"/>
  <c r="L372" i="23"/>
  <c r="L371" i="23"/>
  <c r="L370" i="23"/>
  <c r="L366" i="23"/>
  <c r="L363" i="23"/>
  <c r="L362" i="23"/>
  <c r="L361" i="23"/>
  <c r="L360" i="23"/>
  <c r="L358" i="23"/>
  <c r="L357" i="23"/>
  <c r="L356" i="23"/>
  <c r="L355" i="23"/>
  <c r="L353" i="23"/>
  <c r="L352" i="23"/>
  <c r="L351" i="23"/>
  <c r="L349" i="23"/>
  <c r="L348" i="23"/>
  <c r="L347" i="23"/>
  <c r="L346" i="23"/>
  <c r="L345" i="23"/>
  <c r="L344" i="23"/>
  <c r="L342" i="23"/>
  <c r="L339" i="23"/>
  <c r="L333" i="23"/>
  <c r="L331" i="23"/>
  <c r="L328" i="23"/>
  <c r="L322" i="23"/>
  <c r="L321" i="23"/>
  <c r="L318" i="23"/>
  <c r="L312" i="23"/>
  <c r="L311" i="23"/>
  <c r="L309" i="23"/>
  <c r="L307" i="23"/>
  <c r="L306" i="23"/>
  <c r="L305" i="23"/>
  <c r="L304" i="23"/>
  <c r="L303" i="23"/>
  <c r="L302" i="23"/>
  <c r="L301" i="23"/>
  <c r="L300" i="23"/>
  <c r="L298" i="23"/>
  <c r="L297" i="23"/>
  <c r="L295" i="23"/>
  <c r="L294" i="23"/>
  <c r="L292" i="23"/>
  <c r="L291" i="23"/>
  <c r="L268" i="23"/>
  <c r="L266" i="23"/>
  <c r="L264" i="23"/>
  <c r="L263" i="23"/>
  <c r="L262" i="23"/>
  <c r="L261" i="23"/>
  <c r="L255" i="23"/>
  <c r="L252" i="23"/>
  <c r="L251" i="23"/>
  <c r="L247" i="23"/>
  <c r="L243" i="23"/>
  <c r="L242" i="23" s="1"/>
  <c r="L241" i="23"/>
  <c r="L240" i="23" s="1"/>
  <c r="L238" i="23"/>
  <c r="L237" i="23"/>
  <c r="L235" i="23"/>
  <c r="L234" i="23"/>
  <c r="L233" i="23"/>
  <c r="L232" i="23"/>
  <c r="L231" i="23"/>
  <c r="L229" i="23"/>
  <c r="L228" i="23"/>
  <c r="L227" i="23"/>
  <c r="L226" i="23"/>
  <c r="L225" i="23"/>
  <c r="L224" i="23"/>
  <c r="L222" i="23"/>
  <c r="L221" i="23" s="1"/>
  <c r="L209" i="23"/>
  <c r="L206" i="23"/>
  <c r="L204" i="23"/>
  <c r="L202" i="23"/>
  <c r="L201" i="23"/>
  <c r="L200" i="23"/>
  <c r="L191" i="23"/>
  <c r="L190" i="23" s="1"/>
  <c r="L189" i="23"/>
  <c r="L186" i="23"/>
  <c r="L142" i="23"/>
  <c r="L86" i="23"/>
  <c r="L78" i="23"/>
  <c r="L68" i="23"/>
  <c r="L50" i="23"/>
  <c r="L42" i="23"/>
  <c r="L40" i="23" s="1"/>
  <c r="L25" i="23"/>
  <c r="L24" i="23"/>
  <c r="L21" i="23"/>
  <c r="L17" i="23"/>
  <c r="L13" i="23"/>
  <c r="L1484" i="23" l="1"/>
  <c r="L1474" i="23"/>
  <c r="J1503" i="23"/>
  <c r="J1501" i="23" s="1"/>
  <c r="J1500" i="23" s="1"/>
  <c r="J1496" i="23" s="1"/>
  <c r="J1495" i="23" s="1"/>
  <c r="L493" i="23"/>
  <c r="L540" i="23"/>
  <c r="L832" i="23"/>
  <c r="L1020" i="23"/>
  <c r="L632" i="23"/>
  <c r="L631" i="23" s="1"/>
  <c r="K650" i="23"/>
  <c r="K649" i="23" s="1"/>
  <c r="I650" i="23"/>
  <c r="I649" i="23" s="1"/>
  <c r="K637" i="23"/>
  <c r="K632" i="23"/>
  <c r="K631" i="23" s="1"/>
  <c r="K635" i="23"/>
  <c r="F651" i="23"/>
  <c r="F650" i="23" s="1"/>
  <c r="F649" i="23" s="1"/>
  <c r="Q650" i="23"/>
  <c r="Q649" i="23" s="1"/>
  <c r="P650" i="23"/>
  <c r="P649" i="23" s="1"/>
  <c r="O650" i="23"/>
  <c r="O649" i="23" s="1"/>
  <c r="N650" i="23"/>
  <c r="N649" i="23" s="1"/>
  <c r="M650" i="23"/>
  <c r="M649" i="23" s="1"/>
  <c r="L650" i="23"/>
  <c r="L649" i="23" s="1"/>
  <c r="H650" i="23"/>
  <c r="H649" i="23" s="1"/>
  <c r="G650" i="23"/>
  <c r="G649" i="23" s="1"/>
  <c r="E650" i="23"/>
  <c r="E649" i="23" s="1"/>
  <c r="D650" i="23"/>
  <c r="D649" i="23" s="1"/>
  <c r="C650" i="23"/>
  <c r="C649" i="23" s="1"/>
  <c r="L635" i="23"/>
  <c r="F636" i="23"/>
  <c r="F635" i="23" s="1"/>
  <c r="Q635" i="23"/>
  <c r="P635" i="23"/>
  <c r="O635" i="23"/>
  <c r="N635" i="23"/>
  <c r="M635" i="23"/>
  <c r="I635" i="23"/>
  <c r="H635" i="23"/>
  <c r="G635" i="23"/>
  <c r="E635" i="23"/>
  <c r="D635" i="23"/>
  <c r="C635" i="23"/>
  <c r="K634" i="23" l="1"/>
  <c r="K630" i="23" s="1"/>
  <c r="E10" i="5"/>
  <c r="K1518" i="23"/>
  <c r="E23" i="5" s="1"/>
  <c r="K1517" i="23"/>
  <c r="E22" i="5" s="1"/>
  <c r="K1516" i="23"/>
  <c r="E21" i="5" s="1"/>
  <c r="E20" i="5"/>
  <c r="K1513" i="23"/>
  <c r="E17" i="5" s="1"/>
  <c r="E16" i="5"/>
  <c r="E15" i="5"/>
  <c r="E14" i="5"/>
  <c r="E13" i="5" l="1"/>
  <c r="K625" i="23"/>
  <c r="K8" i="23" s="1"/>
  <c r="K7" i="23" s="1"/>
  <c r="K1514" i="23"/>
  <c r="K1508" i="23" s="1"/>
  <c r="K1507" i="23" s="1"/>
  <c r="E19" i="5" l="1"/>
  <c r="L1171" i="23"/>
  <c r="L1170" i="23" s="1"/>
  <c r="L1488" i="23"/>
  <c r="L1471" i="23"/>
  <c r="L1468" i="23"/>
  <c r="L1465" i="23"/>
  <c r="L1464" i="23" s="1"/>
  <c r="L1451" i="23"/>
  <c r="L1449" i="23"/>
  <c r="L1446" i="23"/>
  <c r="L1444" i="23"/>
  <c r="L1438" i="23"/>
  <c r="L1435" i="23"/>
  <c r="L1434" i="23" s="1"/>
  <c r="L1432" i="23"/>
  <c r="L1431" i="23" s="1"/>
  <c r="L1427" i="23"/>
  <c r="L1425" i="23"/>
  <c r="L1415" i="23"/>
  <c r="L1409" i="23"/>
  <c r="L1392" i="23"/>
  <c r="L1391" i="23" s="1"/>
  <c r="L1389" i="23"/>
  <c r="L1388" i="23" s="1"/>
  <c r="L1384" i="23"/>
  <c r="L1383" i="23" s="1"/>
  <c r="L1382" i="23" s="1"/>
  <c r="L1381" i="23" s="1"/>
  <c r="L1379" i="23"/>
  <c r="L1374" i="23"/>
  <c r="L1370" i="23"/>
  <c r="L1367" i="23"/>
  <c r="L1364" i="23"/>
  <c r="L1363" i="23" s="1"/>
  <c r="L1359" i="23"/>
  <c r="L1355" i="23"/>
  <c r="L1351" i="23"/>
  <c r="L1348" i="23"/>
  <c r="L1345" i="23"/>
  <c r="L1344" i="23" s="1"/>
  <c r="L1337" i="23"/>
  <c r="L1331" i="23"/>
  <c r="L1328" i="23"/>
  <c r="L1324" i="23"/>
  <c r="L1321" i="23"/>
  <c r="L1318" i="23"/>
  <c r="L1317" i="23" s="1"/>
  <c r="L1306" i="23"/>
  <c r="L1298" i="23"/>
  <c r="L1297" i="23" s="1"/>
  <c r="L1293" i="23"/>
  <c r="L1292" i="23" s="1"/>
  <c r="L1291" i="23" s="1"/>
  <c r="L1284" i="23"/>
  <c r="L1283" i="23" s="1"/>
  <c r="L1262" i="23" s="1"/>
  <c r="K1503" i="23" l="1"/>
  <c r="K1501" i="23" s="1"/>
  <c r="K1500" i="23" s="1"/>
  <c r="K1496" i="23" s="1"/>
  <c r="K1495" i="23" s="1"/>
  <c r="L1366" i="23"/>
  <c r="L1362" i="23" s="1"/>
  <c r="L1361" i="23" s="1"/>
  <c r="L1347" i="23"/>
  <c r="L1343" i="23" s="1"/>
  <c r="L1342" i="23" s="1"/>
  <c r="E12" i="5"/>
  <c r="L1437" i="23"/>
  <c r="L1448" i="23"/>
  <c r="L1261" i="23"/>
  <c r="L1467" i="23"/>
  <c r="L1483" i="23"/>
  <c r="L1387" i="23"/>
  <c r="L1386" i="23" s="1"/>
  <c r="L1320" i="23"/>
  <c r="L1257" i="23"/>
  <c r="L1255" i="23"/>
  <c r="L1251" i="23"/>
  <c r="L1250" i="23" s="1"/>
  <c r="L1247" i="23"/>
  <c r="L1246" i="23" s="1"/>
  <c r="L1244" i="23"/>
  <c r="L1242" i="23"/>
  <c r="L1238" i="23"/>
  <c r="L1237" i="23" s="1"/>
  <c r="L1233" i="23"/>
  <c r="L1232" i="23" s="1"/>
  <c r="L1230" i="23"/>
  <c r="L1228" i="23"/>
  <c r="L1223" i="23"/>
  <c r="L1220" i="23"/>
  <c r="L1219" i="23" s="1"/>
  <c r="L1215" i="23"/>
  <c r="L1205" i="23"/>
  <c r="L1201" i="23"/>
  <c r="L1197" i="23"/>
  <c r="L1195" i="23"/>
  <c r="L1192" i="23"/>
  <c r="L1166" i="23"/>
  <c r="L1153" i="23"/>
  <c r="L1144" i="23"/>
  <c r="L1142" i="23"/>
  <c r="L1139" i="23"/>
  <c r="L1129" i="23"/>
  <c r="L1123" i="23"/>
  <c r="L1115" i="23"/>
  <c r="L1102" i="23"/>
  <c r="L1098" i="23"/>
  <c r="L1095" i="23"/>
  <c r="L1093" i="23"/>
  <c r="L1083" i="23"/>
  <c r="L1071" i="23"/>
  <c r="L1069" i="23"/>
  <c r="L1064" i="23"/>
  <c r="L1058" i="23"/>
  <c r="L1054" i="23"/>
  <c r="L1050" i="23"/>
  <c r="L1048" i="23"/>
  <c r="L1045" i="23"/>
  <c r="L1039" i="23"/>
  <c r="L1038" i="23" s="1"/>
  <c r="L1037" i="23" s="1"/>
  <c r="L1036" i="23" s="1"/>
  <c r="L1034" i="23"/>
  <c r="L1033" i="23" s="1"/>
  <c r="L1025" i="23"/>
  <c r="L1023" i="23"/>
  <c r="L1013" i="23"/>
  <c r="L1012" i="23" s="1"/>
  <c r="L1008" i="23"/>
  <c r="L1007" i="23" s="1"/>
  <c r="L1004" i="23"/>
  <c r="L1003" i="23" s="1"/>
  <c r="L1001" i="23"/>
  <c r="L999" i="23"/>
  <c r="L993" i="23"/>
  <c r="L992" i="23" s="1"/>
  <c r="L988" i="23"/>
  <c r="L986" i="23"/>
  <c r="L980" i="23"/>
  <c r="L976" i="23"/>
  <c r="L972" i="23"/>
  <c r="L965" i="23"/>
  <c r="L964" i="23" s="1"/>
  <c r="L960" i="23"/>
  <c r="L957" i="23"/>
  <c r="L954" i="23"/>
  <c r="L905" i="23"/>
  <c r="L904" i="23" s="1"/>
  <c r="L902" i="23"/>
  <c r="L895" i="23"/>
  <c r="L892" i="23"/>
  <c r="L889" i="23"/>
  <c r="L888" i="23" s="1"/>
  <c r="L882" i="23"/>
  <c r="I882" i="23"/>
  <c r="L864" i="23"/>
  <c r="L859" i="23"/>
  <c r="L854" i="23"/>
  <c r="L850" i="23"/>
  <c r="L845" i="23"/>
  <c r="L844" i="23" s="1"/>
  <c r="L842" i="23"/>
  <c r="L837" i="23"/>
  <c r="L826" i="23"/>
  <c r="L824" i="23"/>
  <c r="L816" i="23"/>
  <c r="L810" i="23"/>
  <c r="L806" i="23"/>
  <c r="L801" i="23"/>
  <c r="L799" i="23"/>
  <c r="L797" i="23"/>
  <c r="I797" i="23"/>
  <c r="L792" i="23"/>
  <c r="L791" i="23" s="1"/>
  <c r="L789" i="23"/>
  <c r="L782" i="23"/>
  <c r="L775" i="23"/>
  <c r="L766" i="23"/>
  <c r="L745" i="23"/>
  <c r="L744" i="23" s="1"/>
  <c r="L740" i="23"/>
  <c r="L739" i="23" s="1"/>
  <c r="L738" i="23" s="1"/>
  <c r="L737" i="23" s="1"/>
  <c r="L735" i="23"/>
  <c r="L734" i="23" s="1"/>
  <c r="L733" i="23" s="1"/>
  <c r="L732" i="23" s="1"/>
  <c r="L723" i="23"/>
  <c r="L722" i="23" s="1"/>
  <c r="L721" i="23" s="1"/>
  <c r="L720" i="23" s="1"/>
  <c r="L716" i="23"/>
  <c r="L712" i="23"/>
  <c r="L706" i="23"/>
  <c r="L704" i="23"/>
  <c r="L698" i="23"/>
  <c r="L693" i="23"/>
  <c r="L689" i="23"/>
  <c r="L683" i="23"/>
  <c r="L682" i="23" s="1"/>
  <c r="L679" i="23"/>
  <c r="L678" i="23" s="1"/>
  <c r="L661" i="23"/>
  <c r="L660" i="23" s="1"/>
  <c r="L655" i="23"/>
  <c r="L654" i="23" s="1"/>
  <c r="L623" i="23"/>
  <c r="L622" i="23" s="1"/>
  <c r="L621" i="23" s="1"/>
  <c r="L620" i="23" s="1"/>
  <c r="L610" i="23"/>
  <c r="L606" i="23"/>
  <c r="L575" i="23"/>
  <c r="L574" i="23" s="1"/>
  <c r="L570" i="23"/>
  <c r="L569" i="23" s="1"/>
  <c r="L566" i="23"/>
  <c r="L560" i="23"/>
  <c r="L559" i="23" s="1"/>
  <c r="L553" i="23"/>
  <c r="L533" i="23"/>
  <c r="L532" i="23" s="1"/>
  <c r="L527" i="23"/>
  <c r="L524" i="23"/>
  <c r="L522" i="23"/>
  <c r="L518" i="23"/>
  <c r="L517" i="23" s="1"/>
  <c r="L502" i="23"/>
  <c r="L500" i="23"/>
  <c r="L485" i="23"/>
  <c r="L479" i="23"/>
  <c r="L478" i="23" s="1"/>
  <c r="L472" i="23"/>
  <c r="L471" i="23" s="1"/>
  <c r="L459" i="23"/>
  <c r="L452" i="23"/>
  <c r="L447" i="23"/>
  <c r="L445" i="23"/>
  <c r="L435" i="23"/>
  <c r="L434" i="23" s="1"/>
  <c r="L432" i="23"/>
  <c r="L428" i="23"/>
  <c r="L424" i="23"/>
  <c r="L422" i="23"/>
  <c r="L419" i="23"/>
  <c r="L418" i="23" s="1"/>
  <c r="L410" i="23"/>
  <c r="L409" i="23" s="1"/>
  <c r="L407" i="23"/>
  <c r="L406" i="23" s="1"/>
  <c r="L404" i="23"/>
  <c r="L401" i="23"/>
  <c r="L399" i="23"/>
  <c r="L397" i="23"/>
  <c r="L369" i="23"/>
  <c r="L368" i="23" s="1"/>
  <c r="L365" i="23"/>
  <c r="L364" i="23" s="1"/>
  <c r="L359" i="23"/>
  <c r="L350" i="23"/>
  <c r="L341" i="23"/>
  <c r="L337" i="23"/>
  <c r="L336" i="23" s="1"/>
  <c r="L332" i="23"/>
  <c r="L330" i="23"/>
  <c r="L327" i="23"/>
  <c r="L320" i="23"/>
  <c r="L317" i="23"/>
  <c r="L316" i="23" s="1"/>
  <c r="L314" i="23"/>
  <c r="L310" i="23"/>
  <c r="L308" i="23"/>
  <c r="L293" i="23"/>
  <c r="L290" i="23"/>
  <c r="L267" i="23"/>
  <c r="L265" i="23"/>
  <c r="L260" i="23"/>
  <c r="L257" i="23"/>
  <c r="L256" i="23" s="1"/>
  <c r="L254" i="23"/>
  <c r="L253" i="23" s="1"/>
  <c r="L250" i="23"/>
  <c r="L248" i="23"/>
  <c r="L245" i="23"/>
  <c r="L236" i="23"/>
  <c r="L230" i="23"/>
  <c r="L207" i="23"/>
  <c r="L205" i="23"/>
  <c r="L197" i="23"/>
  <c r="L188" i="23"/>
  <c r="L185" i="23"/>
  <c r="L184" i="23" s="1"/>
  <c r="L177" i="23"/>
  <c r="L176" i="23" s="1"/>
  <c r="L175" i="23" s="1"/>
  <c r="L162" i="23"/>
  <c r="L161" i="23" s="1"/>
  <c r="L157" i="23"/>
  <c r="L156" i="23" s="1"/>
  <c r="L141" i="23"/>
  <c r="L140" i="23" s="1"/>
  <c r="L139" i="23" s="1"/>
  <c r="L138" i="23" s="1"/>
  <c r="L104" i="23"/>
  <c r="L102" i="23"/>
  <c r="L100" i="23"/>
  <c r="L90" i="23"/>
  <c r="L87" i="23"/>
  <c r="L85" i="23"/>
  <c r="L77" i="23"/>
  <c r="L65" i="23"/>
  <c r="L51" i="23"/>
  <c r="L47" i="23"/>
  <c r="L39" i="23"/>
  <c r="L23" i="23"/>
  <c r="L22" i="23" s="1"/>
  <c r="L20" i="23"/>
  <c r="L19" i="23" s="1"/>
  <c r="L16" i="23"/>
  <c r="L15" i="23" s="1"/>
  <c r="L14" i="23" s="1"/>
  <c r="L12" i="23"/>
  <c r="L11" i="23" s="1"/>
  <c r="L10" i="23" s="1"/>
  <c r="L1518" i="23"/>
  <c r="L1516" i="23"/>
  <c r="Q1488" i="23"/>
  <c r="Q1471" i="23"/>
  <c r="Q1468" i="23"/>
  <c r="Q1465" i="23"/>
  <c r="Q1451" i="23"/>
  <c r="Q1449" i="23"/>
  <c r="Q1446" i="23"/>
  <c r="Q1444" i="23"/>
  <c r="Q1438" i="23"/>
  <c r="Q1435" i="23"/>
  <c r="Q1434" i="23" s="1"/>
  <c r="Q1432" i="23"/>
  <c r="Q1431" i="23" s="1"/>
  <c r="Q1427" i="23"/>
  <c r="Q1425" i="23"/>
  <c r="Q1415" i="23"/>
  <c r="Q1409" i="23"/>
  <c r="Q1406" i="23"/>
  <c r="Q1403" i="23"/>
  <c r="Q1402" i="23" s="1"/>
  <c r="Q1392" i="23"/>
  <c r="Q1391" i="23" s="1"/>
  <c r="Q1389" i="23"/>
  <c r="Q1388" i="23" s="1"/>
  <c r="Q1384" i="23"/>
  <c r="Q1383" i="23" s="1"/>
  <c r="Q1382" i="23" s="1"/>
  <c r="Q1381" i="23" s="1"/>
  <c r="Q1379" i="23"/>
  <c r="Q1374" i="23"/>
  <c r="Q1370" i="23"/>
  <c r="Q1367" i="23"/>
  <c r="Q1364" i="23"/>
  <c r="Q1363" i="23" s="1"/>
  <c r="Q1359" i="23"/>
  <c r="Q1355" i="23"/>
  <c r="Q1351" i="23"/>
  <c r="Q1348" i="23"/>
  <c r="Q1345" i="23"/>
  <c r="Q1344" i="23" s="1"/>
  <c r="Q1340" i="23"/>
  <c r="Q1339" i="23" s="1"/>
  <c r="Q1337" i="23"/>
  <c r="Q1334" i="23"/>
  <c r="Q1331" i="23"/>
  <c r="Q1328" i="23"/>
  <c r="Q1324" i="23"/>
  <c r="Q1321" i="23"/>
  <c r="Q1318" i="23"/>
  <c r="Q1317" i="23" s="1"/>
  <c r="Q1313" i="23"/>
  <c r="Q1312" i="23" s="1"/>
  <c r="Q1309" i="23"/>
  <c r="Q1308" i="23" s="1"/>
  <c r="Q1306" i="23"/>
  <c r="Q1301" i="23"/>
  <c r="Q1298" i="23"/>
  <c r="Q1297" i="23" s="1"/>
  <c r="Q1293" i="23"/>
  <c r="Q1292" i="23" s="1"/>
  <c r="Q1291" i="23" s="1"/>
  <c r="Q1284" i="23"/>
  <c r="Q1283" i="23" s="1"/>
  <c r="Q1262" i="23" s="1"/>
  <c r="Q1259" i="23"/>
  <c r="Q1257" i="23"/>
  <c r="Q1255" i="23"/>
  <c r="Q1251" i="23"/>
  <c r="Q1250" i="23" s="1"/>
  <c r="Q1247" i="23"/>
  <c r="Q1246" i="23" s="1"/>
  <c r="Q1244" i="23"/>
  <c r="Q1242" i="23"/>
  <c r="Q1238" i="23"/>
  <c r="Q1237" i="23" s="1"/>
  <c r="Q1233" i="23"/>
  <c r="Q1232" i="23" s="1"/>
  <c r="Q1230" i="23"/>
  <c r="Q1228" i="23"/>
  <c r="Q1223" i="23"/>
  <c r="Q1220" i="23"/>
  <c r="Q1219" i="23" s="1"/>
  <c r="Q1215" i="23"/>
  <c r="Q1211" i="23"/>
  <c r="Q1205" i="23"/>
  <c r="Q1201" i="23"/>
  <c r="Q1197" i="23"/>
  <c r="Q1195" i="23"/>
  <c r="Q1192" i="23"/>
  <c r="Q1187" i="23"/>
  <c r="Q1186" i="23" s="1"/>
  <c r="Q1184" i="23"/>
  <c r="Q1181" i="23"/>
  <c r="Q1171" i="23"/>
  <c r="Q1170" i="23" s="1"/>
  <c r="Q1166" i="23"/>
  <c r="Q1159" i="23"/>
  <c r="Q1153" i="23"/>
  <c r="Q1144" i="23"/>
  <c r="Q1142" i="23"/>
  <c r="Q1139" i="23"/>
  <c r="Q1134" i="23"/>
  <c r="Q1133" i="23" s="1"/>
  <c r="Q1129" i="23"/>
  <c r="Q1123" i="23"/>
  <c r="Q1121" i="23"/>
  <c r="Q1118" i="23"/>
  <c r="Q1117" i="23" s="1"/>
  <c r="Q1115" i="23"/>
  <c r="Q1106" i="23"/>
  <c r="Q1102" i="23"/>
  <c r="Q1098" i="23"/>
  <c r="Q1095" i="23"/>
  <c r="Q1093" i="23"/>
  <c r="Q1088" i="23"/>
  <c r="Q1087" i="23" s="1"/>
  <c r="Q1085" i="23"/>
  <c r="Q1083" i="23"/>
  <c r="Q1077" i="23"/>
  <c r="Q1074" i="23"/>
  <c r="Q1073" i="23" s="1"/>
  <c r="Q1071" i="23"/>
  <c r="Q1069" i="23"/>
  <c r="Q1064" i="23"/>
  <c r="Q1058" i="23"/>
  <c r="Q1054" i="23"/>
  <c r="Q1050" i="23"/>
  <c r="Q1048" i="23"/>
  <c r="Q1045" i="23"/>
  <c r="Q1039" i="23"/>
  <c r="Q1038" i="23" s="1"/>
  <c r="Q1037" i="23" s="1"/>
  <c r="Q1036" i="23" s="1"/>
  <c r="Q1034" i="23"/>
  <c r="Q1033" i="23" s="1"/>
  <c r="Q1031" i="23"/>
  <c r="Q1028" i="23"/>
  <c r="Q1025" i="23"/>
  <c r="Q1023" i="23"/>
  <c r="Q1013" i="23"/>
  <c r="Q1012" i="23" s="1"/>
  <c r="Q1008" i="23"/>
  <c r="Q1007" i="23" s="1"/>
  <c r="Q1004" i="23"/>
  <c r="Q1003" i="23" s="1"/>
  <c r="Q1001" i="23"/>
  <c r="Q999" i="23"/>
  <c r="Q996" i="23"/>
  <c r="Q993" i="23"/>
  <c r="Q992" i="23" s="1"/>
  <c r="Q988" i="23"/>
  <c r="Q986" i="23"/>
  <c r="Q980" i="23"/>
  <c r="Q976" i="23"/>
  <c r="Q972" i="23"/>
  <c r="Q965" i="23"/>
  <c r="Q964" i="23" s="1"/>
  <c r="Q960" i="23"/>
  <c r="Q957" i="23"/>
  <c r="Q954" i="23"/>
  <c r="Q905" i="23"/>
  <c r="Q904" i="23" s="1"/>
  <c r="Q902" i="23"/>
  <c r="Q895" i="23"/>
  <c r="Q892" i="23"/>
  <c r="Q889" i="23"/>
  <c r="Q888" i="23" s="1"/>
  <c r="Q886" i="23"/>
  <c r="Q885" i="23" s="1"/>
  <c r="Q880" i="23"/>
  <c r="Q870" i="23"/>
  <c r="Q864" i="23"/>
  <c r="Q859" i="23"/>
  <c r="Q854" i="23"/>
  <c r="Q850" i="23"/>
  <c r="Q845" i="23"/>
  <c r="Q844" i="23" s="1"/>
  <c r="Q842" i="23"/>
  <c r="Q837" i="23"/>
  <c r="Q832" i="23"/>
  <c r="Q826" i="23"/>
  <c r="Q824" i="23"/>
  <c r="Q816" i="23"/>
  <c r="Q810" i="23"/>
  <c r="Q806" i="23"/>
  <c r="Q801" i="23"/>
  <c r="Q799" i="23"/>
  <c r="Q792" i="23"/>
  <c r="Q791" i="23" s="1"/>
  <c r="Q775" i="23"/>
  <c r="Q766" i="23"/>
  <c r="Q754" i="23"/>
  <c r="Q745" i="23"/>
  <c r="Q744" i="23" s="1"/>
  <c r="Q740" i="23"/>
  <c r="Q739" i="23" s="1"/>
  <c r="Q738" i="23" s="1"/>
  <c r="Q737" i="23" s="1"/>
  <c r="Q735" i="23"/>
  <c r="Q734" i="23" s="1"/>
  <c r="Q733" i="23" s="1"/>
  <c r="Q732" i="23" s="1"/>
  <c r="Q723" i="23"/>
  <c r="Q722" i="23" s="1"/>
  <c r="Q721" i="23" s="1"/>
  <c r="Q720" i="23" s="1"/>
  <c r="Q716" i="23"/>
  <c r="Q712" i="23"/>
  <c r="Q706" i="23"/>
  <c r="Q704" i="23"/>
  <c r="Q698" i="23"/>
  <c r="Q693" i="23"/>
  <c r="Q689" i="23"/>
  <c r="Q683" i="23"/>
  <c r="Q682" i="23" s="1"/>
  <c r="Q679" i="23"/>
  <c r="Q678" i="23" s="1"/>
  <c r="Q661" i="23"/>
  <c r="Q660" i="23" s="1"/>
  <c r="Q655" i="23"/>
  <c r="Q654" i="23" s="1"/>
  <c r="Q647" i="23"/>
  <c r="Q643" i="23"/>
  <c r="Q640" i="23"/>
  <c r="Q637" i="23"/>
  <c r="Q632" i="23"/>
  <c r="Q631" i="23" s="1"/>
  <c r="Q628" i="23"/>
  <c r="Q627" i="23" s="1"/>
  <c r="Q626" i="23" s="1"/>
  <c r="Q623" i="23"/>
  <c r="Q622" i="23" s="1"/>
  <c r="Q621" i="23" s="1"/>
  <c r="Q620" i="23" s="1"/>
  <c r="Q610" i="23"/>
  <c r="Q606" i="23"/>
  <c r="Q575" i="23"/>
  <c r="Q574" i="23" s="1"/>
  <c r="Q570" i="23"/>
  <c r="Q569" i="23" s="1"/>
  <c r="Q566" i="23"/>
  <c r="Q565" i="23" s="1"/>
  <c r="Q560" i="23"/>
  <c r="Q559" i="23" s="1"/>
  <c r="Q553" i="23"/>
  <c r="Q545" i="23"/>
  <c r="Q533" i="23"/>
  <c r="Q532" i="23" s="1"/>
  <c r="Q527" i="23"/>
  <c r="Q524" i="23"/>
  <c r="Q522" i="23"/>
  <c r="Q518" i="23"/>
  <c r="Q517" i="23" s="1"/>
  <c r="Q502" i="23"/>
  <c r="Q500" i="23"/>
  <c r="Q493" i="23"/>
  <c r="Q485" i="23"/>
  <c r="Q479" i="23"/>
  <c r="Q478" i="23" s="1"/>
  <c r="Q472" i="23"/>
  <c r="Q471" i="23" s="1"/>
  <c r="Q459" i="23"/>
  <c r="Q452" i="23"/>
  <c r="Q447" i="23"/>
  <c r="Q445" i="23"/>
  <c r="Q435" i="23"/>
  <c r="Q434" i="23" s="1"/>
  <c r="Q432" i="23"/>
  <c r="Q428" i="23"/>
  <c r="Q424" i="23"/>
  <c r="Q422" i="23"/>
  <c r="Q419" i="23"/>
  <c r="Q418" i="23" s="1"/>
  <c r="Q410" i="23"/>
  <c r="Q409" i="23" s="1"/>
  <c r="Q407" i="23"/>
  <c r="Q406" i="23" s="1"/>
  <c r="Q404" i="23"/>
  <c r="Q401" i="23"/>
  <c r="Q399" i="23"/>
  <c r="Q397" i="23"/>
  <c r="Q369" i="23"/>
  <c r="Q368" i="23" s="1"/>
  <c r="Q365" i="23"/>
  <c r="Q364" i="23" s="1"/>
  <c r="Q359" i="23"/>
  <c r="Q350" i="23"/>
  <c r="Q343" i="23"/>
  <c r="Q341" i="23"/>
  <c r="Q337" i="23"/>
  <c r="Q336" i="23" s="1"/>
  <c r="Q332" i="23"/>
  <c r="Q330" i="23"/>
  <c r="Q327" i="23"/>
  <c r="Q320" i="23"/>
  <c r="Q317" i="23"/>
  <c r="Q316" i="23" s="1"/>
  <c r="Q314" i="23"/>
  <c r="Q308" i="23"/>
  <c r="Q299" i="23"/>
  <c r="Q293" i="23"/>
  <c r="Q290" i="23"/>
  <c r="Q267" i="23"/>
  <c r="Q265" i="23"/>
  <c r="Q260" i="23"/>
  <c r="Q257" i="23"/>
  <c r="Q256" i="23" s="1"/>
  <c r="Q254" i="23"/>
  <c r="Q253" i="23" s="1"/>
  <c r="Q250" i="23"/>
  <c r="Q248" i="23"/>
  <c r="Q245" i="23"/>
  <c r="Q236" i="23"/>
  <c r="Q230" i="23"/>
  <c r="Q223" i="23"/>
  <c r="Q207" i="23"/>
  <c r="Q205" i="23"/>
  <c r="Q197" i="23"/>
  <c r="Q188" i="23"/>
  <c r="Q185" i="23"/>
  <c r="Q184" i="23" s="1"/>
  <c r="Q181" i="23"/>
  <c r="Q180" i="23" s="1"/>
  <c r="Q177" i="23"/>
  <c r="Q176" i="23" s="1"/>
  <c r="Q175" i="23" s="1"/>
  <c r="Q173" i="23"/>
  <c r="Q172" i="23" s="1"/>
  <c r="Q171" i="23" s="1"/>
  <c r="Q162" i="23"/>
  <c r="Q161" i="23" s="1"/>
  <c r="Q157" i="23"/>
  <c r="Q156" i="23" s="1"/>
  <c r="Q141" i="23"/>
  <c r="Q140" i="23" s="1"/>
  <c r="Q139" i="23" s="1"/>
  <c r="Q138" i="23" s="1"/>
  <c r="Q136" i="23"/>
  <c r="Q135" i="23" s="1"/>
  <c r="Q104" i="23"/>
  <c r="Q102" i="23"/>
  <c r="Q100" i="23"/>
  <c r="Q90" i="23"/>
  <c r="Q87" i="23"/>
  <c r="Q85" i="23"/>
  <c r="Q77" i="23"/>
  <c r="Q65" i="23"/>
  <c r="Q57" i="23"/>
  <c r="Q51" i="23"/>
  <c r="Q47" i="23"/>
  <c r="Q39" i="23"/>
  <c r="Q20" i="23"/>
  <c r="Q19" i="23" s="1"/>
  <c r="Q18" i="23" s="1"/>
  <c r="Q16" i="23"/>
  <c r="Q15" i="23" s="1"/>
  <c r="Q14" i="23" s="1"/>
  <c r="Q12" i="23"/>
  <c r="Q11" i="23" s="1"/>
  <c r="Q10" i="23" s="1"/>
  <c r="P1488" i="23"/>
  <c r="P1471" i="23"/>
  <c r="P1468" i="23"/>
  <c r="P1465" i="23"/>
  <c r="P1451" i="23"/>
  <c r="P1449" i="23"/>
  <c r="P1446" i="23"/>
  <c r="P1444" i="23"/>
  <c r="P1438" i="23"/>
  <c r="P1435" i="23"/>
  <c r="P1434" i="23" s="1"/>
  <c r="P1432" i="23"/>
  <c r="P1431" i="23" s="1"/>
  <c r="P1427" i="23"/>
  <c r="P1425" i="23"/>
  <c r="P1415" i="23"/>
  <c r="P1409" i="23"/>
  <c r="P1406" i="23"/>
  <c r="P1403" i="23"/>
  <c r="P1402" i="23" s="1"/>
  <c r="P1392" i="23"/>
  <c r="P1391" i="23" s="1"/>
  <c r="P1389" i="23"/>
  <c r="P1388" i="23" s="1"/>
  <c r="P1384" i="23"/>
  <c r="P1383" i="23" s="1"/>
  <c r="P1382" i="23" s="1"/>
  <c r="P1381" i="23" s="1"/>
  <c r="P1379" i="23"/>
  <c r="P1374" i="23"/>
  <c r="P1370" i="23"/>
  <c r="P1367" i="23"/>
  <c r="P1364" i="23"/>
  <c r="P1363" i="23" s="1"/>
  <c r="P1359" i="23"/>
  <c r="P1355" i="23"/>
  <c r="P1351" i="23"/>
  <c r="P1348" i="23"/>
  <c r="P1345" i="23"/>
  <c r="P1344" i="23" s="1"/>
  <c r="P1340" i="23"/>
  <c r="P1339" i="23" s="1"/>
  <c r="P1337" i="23"/>
  <c r="P1334" i="23"/>
  <c r="P1331" i="23"/>
  <c r="P1328" i="23"/>
  <c r="P1324" i="23"/>
  <c r="P1321" i="23"/>
  <c r="P1318" i="23"/>
  <c r="P1317" i="23" s="1"/>
  <c r="P1313" i="23"/>
  <c r="P1312" i="23" s="1"/>
  <c r="P1309" i="23"/>
  <c r="P1308" i="23" s="1"/>
  <c r="P1306" i="23"/>
  <c r="P1301" i="23"/>
  <c r="P1298" i="23"/>
  <c r="P1297" i="23" s="1"/>
  <c r="P1293" i="23"/>
  <c r="P1292" i="23" s="1"/>
  <c r="P1291" i="23" s="1"/>
  <c r="P1284" i="23"/>
  <c r="P1283" i="23" s="1"/>
  <c r="P1262" i="23" s="1"/>
  <c r="P1259" i="23"/>
  <c r="P1257" i="23"/>
  <c r="P1255" i="23"/>
  <c r="P1251" i="23"/>
  <c r="P1250" i="23" s="1"/>
  <c r="P1247" i="23"/>
  <c r="P1246" i="23" s="1"/>
  <c r="P1244" i="23"/>
  <c r="P1242" i="23"/>
  <c r="P1238" i="23"/>
  <c r="P1237" i="23" s="1"/>
  <c r="P1233" i="23"/>
  <c r="P1232" i="23" s="1"/>
  <c r="P1230" i="23"/>
  <c r="P1228" i="23"/>
  <c r="P1223" i="23"/>
  <c r="P1220" i="23"/>
  <c r="P1219" i="23" s="1"/>
  <c r="P1215" i="23"/>
  <c r="P1211" i="23"/>
  <c r="P1205" i="23"/>
  <c r="P1201" i="23"/>
  <c r="P1197" i="23"/>
  <c r="P1195" i="23"/>
  <c r="P1192" i="23"/>
  <c r="P1187" i="23"/>
  <c r="P1186" i="23" s="1"/>
  <c r="P1184" i="23"/>
  <c r="P1181" i="23"/>
  <c r="P1173" i="23" s="1"/>
  <c r="P1171" i="23"/>
  <c r="P1170" i="23" s="1"/>
  <c r="P1166" i="23"/>
  <c r="P1159" i="23"/>
  <c r="P1153" i="23"/>
  <c r="P1144" i="23"/>
  <c r="P1142" i="23"/>
  <c r="P1139" i="23"/>
  <c r="P1134" i="23"/>
  <c r="P1133" i="23" s="1"/>
  <c r="P1129" i="23"/>
  <c r="P1123" i="23"/>
  <c r="P1121" i="23"/>
  <c r="P1118" i="23"/>
  <c r="P1117" i="23" s="1"/>
  <c r="P1115" i="23"/>
  <c r="P1106" i="23"/>
  <c r="P1102" i="23"/>
  <c r="P1098" i="23"/>
  <c r="P1095" i="23"/>
  <c r="P1093" i="23"/>
  <c r="P1088" i="23"/>
  <c r="P1087" i="23" s="1"/>
  <c r="P1085" i="23"/>
  <c r="P1083" i="23"/>
  <c r="P1077" i="23"/>
  <c r="P1074" i="23"/>
  <c r="P1073" i="23" s="1"/>
  <c r="P1071" i="23"/>
  <c r="P1069" i="23"/>
  <c r="P1064" i="23"/>
  <c r="P1058" i="23"/>
  <c r="P1054" i="23"/>
  <c r="P1050" i="23"/>
  <c r="P1048" i="23"/>
  <c r="P1045" i="23"/>
  <c r="P1039" i="23"/>
  <c r="P1038" i="23" s="1"/>
  <c r="P1037" i="23" s="1"/>
  <c r="P1036" i="23" s="1"/>
  <c r="P1034" i="23"/>
  <c r="P1033" i="23" s="1"/>
  <c r="P1031" i="23"/>
  <c r="P1028" i="23"/>
  <c r="P1025" i="23"/>
  <c r="P1023" i="23"/>
  <c r="P1013" i="23"/>
  <c r="P1012" i="23" s="1"/>
  <c r="P1008" i="23"/>
  <c r="P1007" i="23" s="1"/>
  <c r="P1004" i="23"/>
  <c r="P1003" i="23" s="1"/>
  <c r="P1001" i="23"/>
  <c r="P999" i="23"/>
  <c r="P996" i="23"/>
  <c r="P993" i="23"/>
  <c r="P992" i="23" s="1"/>
  <c r="P988" i="23"/>
  <c r="P986" i="23"/>
  <c r="P980" i="23"/>
  <c r="P976" i="23"/>
  <c r="P972" i="23"/>
  <c r="P965" i="23"/>
  <c r="P964" i="23" s="1"/>
  <c r="P960" i="23"/>
  <c r="P957" i="23"/>
  <c r="P954" i="23"/>
  <c r="P905" i="23"/>
  <c r="P904" i="23" s="1"/>
  <c r="P902" i="23"/>
  <c r="P895" i="23"/>
  <c r="P892" i="23"/>
  <c r="P889" i="23"/>
  <c r="P888" i="23" s="1"/>
  <c r="P886" i="23"/>
  <c r="P885" i="23" s="1"/>
  <c r="P880" i="23"/>
  <c r="P870" i="23"/>
  <c r="P864" i="23"/>
  <c r="P859" i="23"/>
  <c r="P854" i="23"/>
  <c r="P850" i="23"/>
  <c r="P845" i="23"/>
  <c r="P844" i="23" s="1"/>
  <c r="P842" i="23"/>
  <c r="P837" i="23"/>
  <c r="P832" i="23"/>
  <c r="P826" i="23"/>
  <c r="P824" i="23"/>
  <c r="P816" i="23"/>
  <c r="P810" i="23"/>
  <c r="P806" i="23"/>
  <c r="P801" i="23"/>
  <c r="P799" i="23"/>
  <c r="P792" i="23"/>
  <c r="P791" i="23" s="1"/>
  <c r="P775" i="23"/>
  <c r="P766" i="23"/>
  <c r="P754" i="23"/>
  <c r="P745" i="23"/>
  <c r="P744" i="23" s="1"/>
  <c r="P740" i="23"/>
  <c r="P739" i="23" s="1"/>
  <c r="P738" i="23" s="1"/>
  <c r="P737" i="23" s="1"/>
  <c r="P735" i="23"/>
  <c r="P734" i="23" s="1"/>
  <c r="P733" i="23" s="1"/>
  <c r="P732" i="23" s="1"/>
  <c r="P723" i="23"/>
  <c r="P722" i="23" s="1"/>
  <c r="P721" i="23" s="1"/>
  <c r="P720" i="23" s="1"/>
  <c r="P716" i="23"/>
  <c r="P712" i="23"/>
  <c r="P706" i="23"/>
  <c r="P704" i="23"/>
  <c r="P698" i="23"/>
  <c r="P693" i="23"/>
  <c r="P689" i="23"/>
  <c r="P683" i="23"/>
  <c r="P682" i="23" s="1"/>
  <c r="P679" i="23"/>
  <c r="P678" i="23" s="1"/>
  <c r="P661" i="23"/>
  <c r="P660" i="23" s="1"/>
  <c r="P655" i="23"/>
  <c r="P654" i="23" s="1"/>
  <c r="P647" i="23"/>
  <c r="P643" i="23"/>
  <c r="P640" i="23"/>
  <c r="P637" i="23"/>
  <c r="P634" i="23" s="1"/>
  <c r="P632" i="23"/>
  <c r="P631" i="23" s="1"/>
  <c r="P628" i="23"/>
  <c r="P627" i="23" s="1"/>
  <c r="P626" i="23" s="1"/>
  <c r="P623" i="23"/>
  <c r="P622" i="23" s="1"/>
  <c r="P621" i="23" s="1"/>
  <c r="P620" i="23" s="1"/>
  <c r="P610" i="23"/>
  <c r="P606" i="23"/>
  <c r="P575" i="23"/>
  <c r="P574" i="23" s="1"/>
  <c r="P570" i="23"/>
  <c r="P569" i="23" s="1"/>
  <c r="P566" i="23"/>
  <c r="P565" i="23" s="1"/>
  <c r="P560" i="23"/>
  <c r="P559" i="23" s="1"/>
  <c r="P553" i="23"/>
  <c r="P545" i="23"/>
  <c r="P533" i="23"/>
  <c r="P532" i="23" s="1"/>
  <c r="P527" i="23"/>
  <c r="P524" i="23"/>
  <c r="P522" i="23"/>
  <c r="P518" i="23"/>
  <c r="P517" i="23" s="1"/>
  <c r="P502" i="23"/>
  <c r="P500" i="23"/>
  <c r="P493" i="23"/>
  <c r="P485" i="23"/>
  <c r="P479" i="23"/>
  <c r="P478" i="23" s="1"/>
  <c r="P472" i="23"/>
  <c r="P471" i="23" s="1"/>
  <c r="P459" i="23"/>
  <c r="P452" i="23"/>
  <c r="P447" i="23"/>
  <c r="P445" i="23"/>
  <c r="P435" i="23"/>
  <c r="P434" i="23" s="1"/>
  <c r="P432" i="23"/>
  <c r="P428" i="23"/>
  <c r="P424" i="23"/>
  <c r="P422" i="23"/>
  <c r="P419" i="23"/>
  <c r="P418" i="23" s="1"/>
  <c r="P410" i="23"/>
  <c r="P409" i="23" s="1"/>
  <c r="P407" i="23"/>
  <c r="P406" i="23" s="1"/>
  <c r="P404" i="23"/>
  <c r="P401" i="23"/>
  <c r="P399" i="23"/>
  <c r="P397" i="23"/>
  <c r="P369" i="23"/>
  <c r="P368" i="23" s="1"/>
  <c r="P365" i="23"/>
  <c r="P364" i="23" s="1"/>
  <c r="P359" i="23"/>
  <c r="P350" i="23"/>
  <c r="P343" i="23"/>
  <c r="P341" i="23"/>
  <c r="P337" i="23"/>
  <c r="P336" i="23" s="1"/>
  <c r="P332" i="23"/>
  <c r="P330" i="23"/>
  <c r="P327" i="23"/>
  <c r="P320" i="23"/>
  <c r="P317" i="23"/>
  <c r="P316" i="23" s="1"/>
  <c r="P314" i="23"/>
  <c r="P308" i="23"/>
  <c r="P299" i="23"/>
  <c r="P293" i="23"/>
  <c r="P290" i="23"/>
  <c r="P267" i="23"/>
  <c r="P265" i="23"/>
  <c r="P260" i="23"/>
  <c r="P257" i="23"/>
  <c r="P256" i="23" s="1"/>
  <c r="P254" i="23"/>
  <c r="P253" i="23" s="1"/>
  <c r="P250" i="23"/>
  <c r="P248" i="23"/>
  <c r="P245" i="23"/>
  <c r="P236" i="23"/>
  <c r="P230" i="23"/>
  <c r="P223" i="23"/>
  <c r="P207" i="23"/>
  <c r="P205" i="23"/>
  <c r="P197" i="23"/>
  <c r="P188" i="23"/>
  <c r="P185" i="23"/>
  <c r="P184" i="23" s="1"/>
  <c r="P181" i="23"/>
  <c r="P180" i="23" s="1"/>
  <c r="P177" i="23"/>
  <c r="P176" i="23" s="1"/>
  <c r="P175" i="23" s="1"/>
  <c r="P173" i="23"/>
  <c r="P172" i="23" s="1"/>
  <c r="P171" i="23" s="1"/>
  <c r="P162" i="23"/>
  <c r="P161" i="23" s="1"/>
  <c r="P157" i="23"/>
  <c r="P156" i="23" s="1"/>
  <c r="P141" i="23"/>
  <c r="P140" i="23" s="1"/>
  <c r="P139" i="23" s="1"/>
  <c r="P138" i="23" s="1"/>
  <c r="P136" i="23"/>
  <c r="P135" i="23" s="1"/>
  <c r="P104" i="23"/>
  <c r="P102" i="23"/>
  <c r="P100" i="23"/>
  <c r="P90" i="23"/>
  <c r="P87" i="23"/>
  <c r="P85" i="23"/>
  <c r="P77" i="23"/>
  <c r="P65" i="23"/>
  <c r="P57" i="23"/>
  <c r="P51" i="23"/>
  <c r="P47" i="23"/>
  <c r="P39" i="23"/>
  <c r="P20" i="23"/>
  <c r="P19" i="23" s="1"/>
  <c r="P16" i="23"/>
  <c r="P15" i="23" s="1"/>
  <c r="P14" i="23" s="1"/>
  <c r="P12" i="23"/>
  <c r="P11" i="23" s="1"/>
  <c r="P10" i="23" s="1"/>
  <c r="O1488" i="23"/>
  <c r="O1471" i="23"/>
  <c r="O1468" i="23"/>
  <c r="O1465" i="23"/>
  <c r="O1451" i="23"/>
  <c r="O1449" i="23"/>
  <c r="O1446" i="23"/>
  <c r="O1444" i="23"/>
  <c r="O1438" i="23"/>
  <c r="O1435" i="23"/>
  <c r="O1434" i="23" s="1"/>
  <c r="O1432" i="23"/>
  <c r="O1431" i="23" s="1"/>
  <c r="O1427" i="23"/>
  <c r="O1425" i="23"/>
  <c r="O1415" i="23"/>
  <c r="O1409" i="23"/>
  <c r="O1406" i="23"/>
  <c r="O1403" i="23"/>
  <c r="O1402" i="23" s="1"/>
  <c r="O1392" i="23"/>
  <c r="O1391" i="23" s="1"/>
  <c r="O1389" i="23"/>
  <c r="O1388" i="23" s="1"/>
  <c r="O1384" i="23"/>
  <c r="O1383" i="23" s="1"/>
  <c r="O1382" i="23" s="1"/>
  <c r="O1381" i="23" s="1"/>
  <c r="O1379" i="23"/>
  <c r="O1374" i="23"/>
  <c r="O1370" i="23"/>
  <c r="O1367" i="23"/>
  <c r="O1364" i="23"/>
  <c r="O1363" i="23" s="1"/>
  <c r="O1359" i="23"/>
  <c r="O1355" i="23"/>
  <c r="O1351" i="23"/>
  <c r="O1348" i="23"/>
  <c r="O1345" i="23"/>
  <c r="O1344" i="23" s="1"/>
  <c r="O1340" i="23"/>
  <c r="O1339" i="23" s="1"/>
  <c r="O1337" i="23"/>
  <c r="O1334" i="23"/>
  <c r="O1331" i="23"/>
  <c r="O1328" i="23"/>
  <c r="O1324" i="23"/>
  <c r="O1321" i="23"/>
  <c r="O1318" i="23"/>
  <c r="O1317" i="23" s="1"/>
  <c r="O1313" i="23"/>
  <c r="O1309" i="23"/>
  <c r="O1308" i="23" s="1"/>
  <c r="O1306" i="23"/>
  <c r="O1301" i="23"/>
  <c r="O1298" i="23"/>
  <c r="O1297" i="23" s="1"/>
  <c r="O1293" i="23"/>
  <c r="O1292" i="23" s="1"/>
  <c r="O1291" i="23" s="1"/>
  <c r="O1284" i="23"/>
  <c r="O1283" i="23" s="1"/>
  <c r="O1262" i="23" s="1"/>
  <c r="O1259" i="23"/>
  <c r="O1257" i="23"/>
  <c r="O1255" i="23"/>
  <c r="O1251" i="23"/>
  <c r="O1250" i="23" s="1"/>
  <c r="O1247" i="23"/>
  <c r="O1246" i="23" s="1"/>
  <c r="O1244" i="23"/>
  <c r="O1242" i="23"/>
  <c r="O1238" i="23"/>
  <c r="O1237" i="23" s="1"/>
  <c r="O1233" i="23"/>
  <c r="O1232" i="23" s="1"/>
  <c r="O1230" i="23"/>
  <c r="O1228" i="23"/>
  <c r="O1223" i="23"/>
  <c r="O1220" i="23"/>
  <c r="O1219" i="23" s="1"/>
  <c r="O1215" i="23"/>
  <c r="O1211" i="23"/>
  <c r="O1205" i="23"/>
  <c r="O1201" i="23"/>
  <c r="O1197" i="23"/>
  <c r="O1195" i="23"/>
  <c r="O1192" i="23"/>
  <c r="O1187" i="23"/>
  <c r="O1186" i="23" s="1"/>
  <c r="O1184" i="23"/>
  <c r="O1181" i="23"/>
  <c r="O1171" i="23"/>
  <c r="O1170" i="23" s="1"/>
  <c r="O1166" i="23"/>
  <c r="O1159" i="23"/>
  <c r="O1153" i="23"/>
  <c r="O1144" i="23"/>
  <c r="O1142" i="23"/>
  <c r="O1139" i="23"/>
  <c r="O1134" i="23"/>
  <c r="O1133" i="23" s="1"/>
  <c r="O1129" i="23"/>
  <c r="O1123" i="23"/>
  <c r="O1121" i="23"/>
  <c r="O1118" i="23"/>
  <c r="O1117" i="23" s="1"/>
  <c r="O1115" i="23"/>
  <c r="O1106" i="23"/>
  <c r="O1102" i="23"/>
  <c r="O1098" i="23"/>
  <c r="O1095" i="23"/>
  <c r="O1093" i="23"/>
  <c r="O1088" i="23"/>
  <c r="O1087" i="23" s="1"/>
  <c r="O1085" i="23"/>
  <c r="O1083" i="23"/>
  <c r="O1077" i="23"/>
  <c r="O1074" i="23"/>
  <c r="O1073" i="23" s="1"/>
  <c r="O1071" i="23"/>
  <c r="O1069" i="23"/>
  <c r="O1064" i="23"/>
  <c r="O1058" i="23"/>
  <c r="O1054" i="23"/>
  <c r="O1050" i="23"/>
  <c r="O1048" i="23"/>
  <c r="O1045" i="23"/>
  <c r="O1039" i="23"/>
  <c r="O1038" i="23" s="1"/>
  <c r="O1037" i="23" s="1"/>
  <c r="O1036" i="23" s="1"/>
  <c r="O1034" i="23"/>
  <c r="O1033" i="23" s="1"/>
  <c r="O1031" i="23"/>
  <c r="O1028" i="23"/>
  <c r="O1025" i="23"/>
  <c r="O1023" i="23"/>
  <c r="O1013" i="23"/>
  <c r="O1012" i="23" s="1"/>
  <c r="O1008" i="23"/>
  <c r="O1007" i="23" s="1"/>
  <c r="O1004" i="23"/>
  <c r="O1003" i="23" s="1"/>
  <c r="O1001" i="23"/>
  <c r="O999" i="23"/>
  <c r="O996" i="23"/>
  <c r="O993" i="23"/>
  <c r="O992" i="23" s="1"/>
  <c r="O988" i="23"/>
  <c r="O986" i="23"/>
  <c r="O980" i="23"/>
  <c r="O976" i="23"/>
  <c r="O972" i="23"/>
  <c r="O965" i="23"/>
  <c r="O964" i="23" s="1"/>
  <c r="O960" i="23"/>
  <c r="O957" i="23"/>
  <c r="O954" i="23"/>
  <c r="O905" i="23"/>
  <c r="O904" i="23" s="1"/>
  <c r="O902" i="23"/>
  <c r="O895" i="23"/>
  <c r="O892" i="23"/>
  <c r="O889" i="23"/>
  <c r="O888" i="23" s="1"/>
  <c r="O886" i="23"/>
  <c r="O885" i="23" s="1"/>
  <c r="O880" i="23"/>
  <c r="O870" i="23"/>
  <c r="O864" i="23"/>
  <c r="O859" i="23"/>
  <c r="O854" i="23"/>
  <c r="O850" i="23"/>
  <c r="O845" i="23"/>
  <c r="O844" i="23" s="1"/>
  <c r="O842" i="23"/>
  <c r="O837" i="23"/>
  <c r="O832" i="23"/>
  <c r="O826" i="23"/>
  <c r="O824" i="23"/>
  <c r="O816" i="23"/>
  <c r="O810" i="23"/>
  <c r="O806" i="23"/>
  <c r="O801" i="23"/>
  <c r="O799" i="23"/>
  <c r="O792" i="23"/>
  <c r="O791" i="23" s="1"/>
  <c r="O775" i="23"/>
  <c r="O766" i="23"/>
  <c r="O754" i="23"/>
  <c r="O745" i="23"/>
  <c r="O744" i="23" s="1"/>
  <c r="O740" i="23"/>
  <c r="O739" i="23" s="1"/>
  <c r="O738" i="23" s="1"/>
  <c r="O737" i="23" s="1"/>
  <c r="O735" i="23"/>
  <c r="O734" i="23" s="1"/>
  <c r="O733" i="23" s="1"/>
  <c r="O732" i="23" s="1"/>
  <c r="O723" i="23"/>
  <c r="O722" i="23" s="1"/>
  <c r="O721" i="23" s="1"/>
  <c r="O720" i="23" s="1"/>
  <c r="O716" i="23"/>
  <c r="O712" i="23"/>
  <c r="O706" i="23"/>
  <c r="O704" i="23"/>
  <c r="O698" i="23"/>
  <c r="O693" i="23"/>
  <c r="O689" i="23"/>
  <c r="O683" i="23"/>
  <c r="O682" i="23" s="1"/>
  <c r="O679" i="23"/>
  <c r="O678" i="23" s="1"/>
  <c r="O661" i="23"/>
  <c r="O660" i="23" s="1"/>
  <c r="O655" i="23"/>
  <c r="O654" i="23" s="1"/>
  <c r="O647" i="23"/>
  <c r="O643" i="23"/>
  <c r="O640" i="23"/>
  <c r="O637" i="23"/>
  <c r="O634" i="23" s="1"/>
  <c r="O632" i="23"/>
  <c r="O631" i="23" s="1"/>
  <c r="O630" i="23" s="1"/>
  <c r="O628" i="23"/>
  <c r="O627" i="23" s="1"/>
  <c r="O626" i="23" s="1"/>
  <c r="O623" i="23"/>
  <c r="O622" i="23" s="1"/>
  <c r="O621" i="23" s="1"/>
  <c r="O620" i="23" s="1"/>
  <c r="O610" i="23"/>
  <c r="O606" i="23"/>
  <c r="O575" i="23"/>
  <c r="O574" i="23" s="1"/>
  <c r="O570" i="23"/>
  <c r="O569" i="23" s="1"/>
  <c r="O566" i="23"/>
  <c r="O565" i="23" s="1"/>
  <c r="O560" i="23"/>
  <c r="O559" i="23" s="1"/>
  <c r="O553" i="23"/>
  <c r="O545" i="23"/>
  <c r="O533" i="23"/>
  <c r="O532" i="23" s="1"/>
  <c r="O527" i="23"/>
  <c r="O524" i="23"/>
  <c r="O522" i="23"/>
  <c r="O518" i="23"/>
  <c r="O517" i="23" s="1"/>
  <c r="O502" i="23"/>
  <c r="O500" i="23"/>
  <c r="O493" i="23"/>
  <c r="O485" i="23"/>
  <c r="O479" i="23"/>
  <c r="O478" i="23" s="1"/>
  <c r="O472" i="23"/>
  <c r="O471" i="23" s="1"/>
  <c r="O459" i="23"/>
  <c r="O452" i="23"/>
  <c r="O447" i="23"/>
  <c r="O445" i="23"/>
  <c r="O435" i="23"/>
  <c r="O434" i="23" s="1"/>
  <c r="O432" i="23"/>
  <c r="O428" i="23"/>
  <c r="O424" i="23"/>
  <c r="O422" i="23"/>
  <c r="O419" i="23"/>
  <c r="O418" i="23" s="1"/>
  <c r="O410" i="23"/>
  <c r="O409" i="23" s="1"/>
  <c r="O407" i="23"/>
  <c r="O406" i="23" s="1"/>
  <c r="O404" i="23"/>
  <c r="O401" i="23"/>
  <c r="O399" i="23"/>
  <c r="O397" i="23"/>
  <c r="O369" i="23"/>
  <c r="O368" i="23" s="1"/>
  <c r="O365" i="23"/>
  <c r="O364" i="23" s="1"/>
  <c r="O359" i="23"/>
  <c r="O350" i="23"/>
  <c r="O343" i="23"/>
  <c r="O341" i="23"/>
  <c r="O337" i="23"/>
  <c r="O336" i="23" s="1"/>
  <c r="O332" i="23"/>
  <c r="O330" i="23"/>
  <c r="O327" i="23"/>
  <c r="O320" i="23"/>
  <c r="O317" i="23"/>
  <c r="O316" i="23" s="1"/>
  <c r="O314" i="23"/>
  <c r="O308" i="23"/>
  <c r="O299" i="23"/>
  <c r="O293" i="23"/>
  <c r="O290" i="23"/>
  <c r="O267" i="23"/>
  <c r="O265" i="23"/>
  <c r="O260" i="23"/>
  <c r="O257" i="23"/>
  <c r="O256" i="23" s="1"/>
  <c r="O254" i="23"/>
  <c r="O253" i="23" s="1"/>
  <c r="O250" i="23"/>
  <c r="O248" i="23"/>
  <c r="O245" i="23"/>
  <c r="O236" i="23"/>
  <c r="O230" i="23"/>
  <c r="O223" i="23"/>
  <c r="O207" i="23"/>
  <c r="O205" i="23"/>
  <c r="O197" i="23"/>
  <c r="O188" i="23"/>
  <c r="O185" i="23"/>
  <c r="O184" i="23" s="1"/>
  <c r="O181" i="23"/>
  <c r="O180" i="23" s="1"/>
  <c r="O177" i="23"/>
  <c r="O176" i="23" s="1"/>
  <c r="O175" i="23" s="1"/>
  <c r="O173" i="23"/>
  <c r="O172" i="23" s="1"/>
  <c r="O171" i="23" s="1"/>
  <c r="O162" i="23"/>
  <c r="O161" i="23" s="1"/>
  <c r="O157" i="23"/>
  <c r="O156" i="23" s="1"/>
  <c r="O141" i="23"/>
  <c r="O140" i="23" s="1"/>
  <c r="O139" i="23" s="1"/>
  <c r="O138" i="23" s="1"/>
  <c r="O136" i="23"/>
  <c r="O135" i="23" s="1"/>
  <c r="O104" i="23"/>
  <c r="O102" i="23"/>
  <c r="O100" i="23"/>
  <c r="O90" i="23"/>
  <c r="O87" i="23"/>
  <c r="O85" i="23"/>
  <c r="O77" i="23"/>
  <c r="O65" i="23"/>
  <c r="O57" i="23"/>
  <c r="O51" i="23"/>
  <c r="O47" i="23"/>
  <c r="O39" i="23"/>
  <c r="O23" i="23"/>
  <c r="O22" i="23" s="1"/>
  <c r="O20" i="23"/>
  <c r="O19" i="23" s="1"/>
  <c r="O16" i="23"/>
  <c r="O15" i="23" s="1"/>
  <c r="O14" i="23" s="1"/>
  <c r="O12" i="23"/>
  <c r="O11" i="23" s="1"/>
  <c r="O10" i="23" s="1"/>
  <c r="P849" i="23" l="1"/>
  <c r="Q1261" i="23"/>
  <c r="O1518" i="23"/>
  <c r="K23" i="5" s="1"/>
  <c r="O753" i="23"/>
  <c r="O1387" i="23"/>
  <c r="P1261" i="23"/>
  <c r="L521" i="23"/>
  <c r="O849" i="23"/>
  <c r="P753" i="23"/>
  <c r="P743" i="23" s="1"/>
  <c r="P1387" i="23"/>
  <c r="P1386" i="23" s="1"/>
  <c r="Q1173" i="23"/>
  <c r="Q753" i="23"/>
  <c r="Q743" i="23" s="1"/>
  <c r="O1173" i="23"/>
  <c r="P630" i="23"/>
  <c r="Q849" i="23"/>
  <c r="Q1387" i="23"/>
  <c r="Q1386" i="23" s="1"/>
  <c r="O1261" i="23"/>
  <c r="P521" i="23"/>
  <c r="P516" i="23" s="1"/>
  <c r="O521" i="23"/>
  <c r="Q521" i="23"/>
  <c r="L484" i="23"/>
  <c r="L477" i="23" s="1"/>
  <c r="L849" i="23"/>
  <c r="E11" i="5"/>
  <c r="O1464" i="23"/>
  <c r="P1464" i="23"/>
  <c r="Q1464" i="23"/>
  <c r="L781" i="23"/>
  <c r="L18" i="23"/>
  <c r="Q858" i="23"/>
  <c r="O858" i="23"/>
  <c r="P858" i="23"/>
  <c r="L753" i="23"/>
  <c r="L239" i="23"/>
  <c r="L319" i="23"/>
  <c r="L605" i="23"/>
  <c r="L604" i="23" s="1"/>
  <c r="L603" i="23" s="1"/>
  <c r="L711" i="23"/>
  <c r="L1463" i="23"/>
  <c r="L1462" i="23" s="1"/>
  <c r="P319" i="23"/>
  <c r="O319" i="23"/>
  <c r="O1467" i="23"/>
  <c r="Q319" i="23"/>
  <c r="L329" i="23"/>
  <c r="L568" i="23"/>
  <c r="P1516" i="23"/>
  <c r="L21" i="5" s="1"/>
  <c r="Q1467" i="23"/>
  <c r="P1467" i="23"/>
  <c r="P995" i="23"/>
  <c r="O1516" i="23"/>
  <c r="K21" i="5" s="1"/>
  <c r="Q634" i="23"/>
  <c r="Q630" i="23" s="1"/>
  <c r="P1518" i="23"/>
  <c r="L23" i="5" s="1"/>
  <c r="O1483" i="23"/>
  <c r="P239" i="23"/>
  <c r="O805" i="23"/>
  <c r="O1254" i="23"/>
  <c r="O1249" i="23" s="1"/>
  <c r="P1333" i="23"/>
  <c r="Q64" i="23"/>
  <c r="Q56" i="23" s="1"/>
  <c r="Q244" i="23"/>
  <c r="Q642" i="23"/>
  <c r="O642" i="23"/>
  <c r="O711" i="23"/>
  <c r="O1044" i="23"/>
  <c r="O1092" i="23"/>
  <c r="Q444" i="23"/>
  <c r="Q438" i="23" s="1"/>
  <c r="Q437" i="23" s="1"/>
  <c r="O605" i="23"/>
  <c r="O604" i="23" s="1"/>
  <c r="O603" i="23" s="1"/>
  <c r="P711" i="23"/>
  <c r="P1120" i="23"/>
  <c r="Q1120" i="23"/>
  <c r="L796" i="23"/>
  <c r="O1333" i="23"/>
  <c r="P444" i="23"/>
  <c r="P438" i="23" s="1"/>
  <c r="P437" i="23" s="1"/>
  <c r="P1241" i="23"/>
  <c r="P1236" i="23" s="1"/>
  <c r="O18" i="23"/>
  <c r="O1120" i="23"/>
  <c r="P605" i="23"/>
  <c r="P604" i="23" s="1"/>
  <c r="P1513" i="23" s="1"/>
  <c r="L17" i="5" s="1"/>
  <c r="P642" i="23"/>
  <c r="Q711" i="23"/>
  <c r="Q1027" i="23"/>
  <c r="Q1347" i="23"/>
  <c r="Q1343" i="23" s="1"/>
  <c r="Q1342" i="23" s="1"/>
  <c r="Q1448" i="23"/>
  <c r="Q1483" i="23"/>
  <c r="L64" i="23"/>
  <c r="L56" i="23" s="1"/>
  <c r="O46" i="23"/>
  <c r="O43" i="23" s="1"/>
  <c r="O84" i="23"/>
  <c r="O83" i="23" s="1"/>
  <c r="O82" i="23" s="1"/>
  <c r="O155" i="23"/>
  <c r="O154" i="23" s="1"/>
  <c r="O484" i="23"/>
  <c r="O796" i="23"/>
  <c r="O995" i="23"/>
  <c r="O991" i="23" s="1"/>
  <c r="O990" i="23" s="1"/>
  <c r="O1138" i="23"/>
  <c r="P64" i="23"/>
  <c r="P56" i="23" s="1"/>
  <c r="P831" i="23"/>
  <c r="P1254" i="23"/>
  <c r="P1249" i="23" s="1"/>
  <c r="P1448" i="23"/>
  <c r="P1483" i="23"/>
  <c r="Q568" i="23"/>
  <c r="Q1254" i="23"/>
  <c r="Q1249" i="23" s="1"/>
  <c r="Q1333" i="23"/>
  <c r="P220" i="23"/>
  <c r="Q484" i="23"/>
  <c r="Q477" i="23" s="1"/>
  <c r="Q476" i="23" s="1"/>
  <c r="Q1366" i="23"/>
  <c r="Q1362" i="23" s="1"/>
  <c r="Q1361" i="23" s="1"/>
  <c r="L244" i="23"/>
  <c r="L396" i="23"/>
  <c r="L395" i="23" s="1"/>
  <c r="L394" i="23" s="1"/>
  <c r="L444" i="23"/>
  <c r="L438" i="23" s="1"/>
  <c r="L437" i="23" s="1"/>
  <c r="L953" i="23"/>
  <c r="L952" i="23" s="1"/>
  <c r="L971" i="23"/>
  <c r="L963" i="23" s="1"/>
  <c r="L962" i="23" s="1"/>
  <c r="L1044" i="23"/>
  <c r="L1138" i="23"/>
  <c r="L1191" i="23"/>
  <c r="L1222" i="23"/>
  <c r="O187" i="23"/>
  <c r="O183" i="23" s="1"/>
  <c r="O179" i="23" s="1"/>
  <c r="O688" i="23"/>
  <c r="O831" i="23"/>
  <c r="O1448" i="23"/>
  <c r="P1044" i="23"/>
  <c r="P1366" i="23"/>
  <c r="P1362" i="23" s="1"/>
  <c r="P1361" i="23" s="1"/>
  <c r="Q239" i="23"/>
  <c r="Q605" i="23"/>
  <c r="Q604" i="23" s="1"/>
  <c r="Q603" i="23" s="1"/>
  <c r="Q688" i="23"/>
  <c r="Q796" i="23"/>
  <c r="Q831" i="23"/>
  <c r="Q891" i="23"/>
  <c r="Q1044" i="23"/>
  <c r="Q1518" i="23"/>
  <c r="M23" i="5" s="1"/>
  <c r="L1092" i="23"/>
  <c r="L1241" i="23"/>
  <c r="L1236" i="23" s="1"/>
  <c r="L1254" i="23"/>
  <c r="L1249" i="23" s="1"/>
  <c r="Q1241" i="23"/>
  <c r="Q1236" i="23" s="1"/>
  <c r="O1241" i="23"/>
  <c r="O1236" i="23" s="1"/>
  <c r="P1097" i="23"/>
  <c r="L891" i="23"/>
  <c r="O421" i="23"/>
  <c r="O417" i="23" s="1"/>
  <c r="O416" i="23" s="1"/>
  <c r="O444" i="23"/>
  <c r="O438" i="23" s="1"/>
  <c r="O437" i="23" s="1"/>
  <c r="O1015" i="23"/>
  <c r="O1076" i="23"/>
  <c r="O1312" i="23"/>
  <c r="P46" i="23"/>
  <c r="P43" i="23" s="1"/>
  <c r="P187" i="23"/>
  <c r="P183" i="23" s="1"/>
  <c r="P179" i="23" s="1"/>
  <c r="P259" i="23"/>
  <c r="P329" i="23"/>
  <c r="P484" i="23"/>
  <c r="P1092" i="23"/>
  <c r="Q1092" i="23"/>
  <c r="Q1097" i="23"/>
  <c r="Q1138" i="23"/>
  <c r="L155" i="23"/>
  <c r="L259" i="23"/>
  <c r="L653" i="23"/>
  <c r="L688" i="23"/>
  <c r="L805" i="23"/>
  <c r="O1027" i="23"/>
  <c r="O1053" i="23"/>
  <c r="O1191" i="23"/>
  <c r="O1222" i="23"/>
  <c r="P688" i="23"/>
  <c r="P805" i="23"/>
  <c r="Q84" i="23"/>
  <c r="Q83" i="23" s="1"/>
  <c r="Q82" i="23" s="1"/>
  <c r="Q805" i="23"/>
  <c r="Q1053" i="23"/>
  <c r="L46" i="23"/>
  <c r="L43" i="23" s="1"/>
  <c r="L421" i="23"/>
  <c r="L417" i="23" s="1"/>
  <c r="L516" i="23"/>
  <c r="L831" i="23"/>
  <c r="L1053" i="23"/>
  <c r="L343" i="23"/>
  <c r="L340" i="23" s="1"/>
  <c r="L335" i="23" s="1"/>
  <c r="L334" i="23" s="1"/>
  <c r="L223" i="23"/>
  <c r="L220" i="23" s="1"/>
  <c r="L299" i="23"/>
  <c r="L289" i="23" s="1"/>
  <c r="L545" i="23"/>
  <c r="L536" i="23" s="1"/>
  <c r="L531" i="23" s="1"/>
  <c r="L1512" i="23" s="1"/>
  <c r="Q329" i="23"/>
  <c r="L187" i="23"/>
  <c r="L84" i="23"/>
  <c r="L83" i="23" s="1"/>
  <c r="L82" i="23" s="1"/>
  <c r="P289" i="23"/>
  <c r="P396" i="23"/>
  <c r="P395" i="23" s="1"/>
  <c r="P394" i="23" s="1"/>
  <c r="P1053" i="23"/>
  <c r="P1147" i="23"/>
  <c r="Q187" i="23"/>
  <c r="Q183" i="23" s="1"/>
  <c r="Q179" i="23" s="1"/>
  <c r="Q1015" i="23"/>
  <c r="Q1320" i="23"/>
  <c r="O239" i="23"/>
  <c r="O396" i="23"/>
  <c r="O395" i="23" s="1"/>
  <c r="O394" i="23" s="1"/>
  <c r="O536" i="23"/>
  <c r="O531" i="23" s="1"/>
  <c r="O1512" i="23" s="1"/>
  <c r="O64" i="23"/>
  <c r="O56" i="23" s="1"/>
  <c r="O1147" i="23"/>
  <c r="O1437" i="23"/>
  <c r="P18" i="23"/>
  <c r="P84" i="23"/>
  <c r="P83" i="23" s="1"/>
  <c r="P82" i="23" s="1"/>
  <c r="P155" i="23"/>
  <c r="P154" i="23" s="1"/>
  <c r="P796" i="23"/>
  <c r="P891" i="23"/>
  <c r="P1027" i="23"/>
  <c r="P1138" i="23"/>
  <c r="P1347" i="23"/>
  <c r="P1343" i="23" s="1"/>
  <c r="P1342" i="23" s="1"/>
  <c r="Q289" i="23"/>
  <c r="Q1200" i="23"/>
  <c r="O259" i="23"/>
  <c r="O743" i="23"/>
  <c r="O891" i="23"/>
  <c r="O953" i="23"/>
  <c r="O952" i="23" s="1"/>
  <c r="O951" i="23" s="1"/>
  <c r="P653" i="23"/>
  <c r="P1015" i="23"/>
  <c r="P1076" i="23"/>
  <c r="P1222" i="23"/>
  <c r="Q46" i="23"/>
  <c r="Q43" i="23" s="1"/>
  <c r="Q396" i="23"/>
  <c r="Q395" i="23" s="1"/>
  <c r="Q394" i="23" s="1"/>
  <c r="Q653" i="23"/>
  <c r="Q995" i="23"/>
  <c r="Q1191" i="23"/>
  <c r="Q1437" i="23"/>
  <c r="Q1405" i="23"/>
  <c r="P1405" i="23"/>
  <c r="O1405" i="23"/>
  <c r="O1386" i="23"/>
  <c r="O1366" i="23"/>
  <c r="O1362" i="23" s="1"/>
  <c r="O1361" i="23" s="1"/>
  <c r="O1347" i="23"/>
  <c r="O1343" i="23" s="1"/>
  <c r="P1320" i="23"/>
  <c r="O1320" i="23"/>
  <c r="Q1300" i="23"/>
  <c r="Q1296" i="23" s="1"/>
  <c r="Q1295" i="23" s="1"/>
  <c r="O1300" i="23"/>
  <c r="P1300" i="23"/>
  <c r="P1296" i="23" s="1"/>
  <c r="P1295" i="23" s="1"/>
  <c r="Q1222" i="23"/>
  <c r="P1200" i="23"/>
  <c r="O1200" i="23"/>
  <c r="P1191" i="23"/>
  <c r="Q1147" i="23"/>
  <c r="O1097" i="23"/>
  <c r="Q1076" i="23"/>
  <c r="Q971" i="23"/>
  <c r="Q963" i="23" s="1"/>
  <c r="Q962" i="23" s="1"/>
  <c r="P971" i="23"/>
  <c r="P963" i="23" s="1"/>
  <c r="P962" i="23" s="1"/>
  <c r="O971" i="23"/>
  <c r="O963" i="23" s="1"/>
  <c r="O962" i="23" s="1"/>
  <c r="Q953" i="23"/>
  <c r="Q952" i="23" s="1"/>
  <c r="Q951" i="23" s="1"/>
  <c r="P953" i="23"/>
  <c r="P952" i="23" s="1"/>
  <c r="P951" i="23" s="1"/>
  <c r="P568" i="23"/>
  <c r="O568" i="23"/>
  <c r="Q536" i="23"/>
  <c r="Q531" i="23" s="1"/>
  <c r="Q1512" i="23" s="1"/>
  <c r="P536" i="23"/>
  <c r="P531" i="23" s="1"/>
  <c r="P1512" i="23" s="1"/>
  <c r="Q516" i="23"/>
  <c r="O516" i="23"/>
  <c r="P421" i="23"/>
  <c r="P417" i="23" s="1"/>
  <c r="P416" i="23" s="1"/>
  <c r="Q421" i="23"/>
  <c r="Q417" i="23" s="1"/>
  <c r="Q416" i="23" s="1"/>
  <c r="P340" i="23"/>
  <c r="P335" i="23" s="1"/>
  <c r="P334" i="23" s="1"/>
  <c r="Q340" i="23"/>
  <c r="Q335" i="23" s="1"/>
  <c r="Q334" i="23" s="1"/>
  <c r="O340" i="23"/>
  <c r="O335" i="23" s="1"/>
  <c r="O334" i="23" s="1"/>
  <c r="O329" i="23"/>
  <c r="O289" i="23"/>
  <c r="Q259" i="23"/>
  <c r="P244" i="23"/>
  <c r="O244" i="23"/>
  <c r="Q220" i="23"/>
  <c r="O220" i="23"/>
  <c r="Q155" i="23"/>
  <c r="Q154" i="23" s="1"/>
  <c r="P1437" i="23"/>
  <c r="O653" i="23"/>
  <c r="L1509" i="23" l="1"/>
  <c r="O742" i="23"/>
  <c r="Q742" i="23"/>
  <c r="P742" i="23"/>
  <c r="Q1509" i="23"/>
  <c r="M13" i="5" s="1"/>
  <c r="P1509" i="23"/>
  <c r="L13" i="5" s="1"/>
  <c r="O1509" i="23"/>
  <c r="K13" i="5" s="1"/>
  <c r="Q1511" i="23"/>
  <c r="M15" i="5" s="1"/>
  <c r="P515" i="23"/>
  <c r="Q515" i="23"/>
  <c r="Q1137" i="23"/>
  <c r="Q1136" i="23" s="1"/>
  <c r="O1137" i="23"/>
  <c r="O1136" i="23" s="1"/>
  <c r="P1137" i="23"/>
  <c r="P1136" i="23" s="1"/>
  <c r="O515" i="23"/>
  <c r="K16" i="5"/>
  <c r="O477" i="23"/>
  <c r="O476" i="23" s="1"/>
  <c r="P477" i="23"/>
  <c r="P476" i="23" s="1"/>
  <c r="L183" i="23"/>
  <c r="L1511" i="23" s="1"/>
  <c r="L476" i="23"/>
  <c r="L951" i="23"/>
  <c r="O1513" i="23"/>
  <c r="K17" i="5" s="1"/>
  <c r="P1517" i="23"/>
  <c r="L22" i="5" s="1"/>
  <c r="Q1316" i="23"/>
  <c r="Q1315" i="23" s="1"/>
  <c r="L1513" i="23"/>
  <c r="O1296" i="23"/>
  <c r="O1295" i="23" s="1"/>
  <c r="L681" i="23"/>
  <c r="L652" i="23" s="1"/>
  <c r="Q991" i="23"/>
  <c r="Q990" i="23" s="1"/>
  <c r="L1517" i="23"/>
  <c r="O1463" i="23"/>
  <c r="O1462" i="23" s="1"/>
  <c r="P603" i="23"/>
  <c r="Q1513" i="23"/>
  <c r="M17" i="5" s="1"/>
  <c r="O1091" i="23"/>
  <c r="O1401" i="23"/>
  <c r="P795" i="23"/>
  <c r="P794" i="23" s="1"/>
  <c r="O681" i="23"/>
  <c r="O652" i="23" s="1"/>
  <c r="L288" i="23"/>
  <c r="L287" i="23" s="1"/>
  <c r="O795" i="23"/>
  <c r="O794" i="23" s="1"/>
  <c r="P681" i="23"/>
  <c r="P652" i="23" s="1"/>
  <c r="P991" i="23"/>
  <c r="P990" i="23" s="1"/>
  <c r="Q1517" i="23"/>
  <c r="M22" i="5" s="1"/>
  <c r="Q848" i="23"/>
  <c r="Q847" i="23" s="1"/>
  <c r="P1316" i="23"/>
  <c r="P1315" i="23" s="1"/>
  <c r="O1011" i="23"/>
  <c r="O1010" i="23" s="1"/>
  <c r="L743" i="23"/>
  <c r="Q288" i="23"/>
  <c r="Q287" i="23" s="1"/>
  <c r="Q1011" i="23"/>
  <c r="Q1010" i="23" s="1"/>
  <c r="P1091" i="23"/>
  <c r="P1090" i="23" s="1"/>
  <c r="P1011" i="23"/>
  <c r="P1010" i="23" s="1"/>
  <c r="P219" i="23"/>
  <c r="Q795" i="23"/>
  <c r="Q794" i="23" s="1"/>
  <c r="P9" i="23"/>
  <c r="P1463" i="23"/>
  <c r="P1462" i="23" s="1"/>
  <c r="Q1516" i="23"/>
  <c r="M21" i="5" s="1"/>
  <c r="P848" i="23"/>
  <c r="P847" i="23" s="1"/>
  <c r="Q681" i="23"/>
  <c r="Q652" i="23" s="1"/>
  <c r="Q1190" i="23"/>
  <c r="Q1189" i="23" s="1"/>
  <c r="P1190" i="23"/>
  <c r="P1189" i="23" s="1"/>
  <c r="O1316" i="23"/>
  <c r="O1315" i="23" s="1"/>
  <c r="Q1401" i="23"/>
  <c r="Q1463" i="23"/>
  <c r="Q1462" i="23" s="1"/>
  <c r="O1190" i="23"/>
  <c r="O1189" i="23" s="1"/>
  <c r="L9" i="23"/>
  <c r="L1235" i="23"/>
  <c r="P1235" i="23"/>
  <c r="Q219" i="23"/>
  <c r="Q9" i="23"/>
  <c r="P1043" i="23"/>
  <c r="P1042" i="23" s="1"/>
  <c r="L219" i="23"/>
  <c r="O288" i="23"/>
  <c r="O287" i="23" s="1"/>
  <c r="Q1091" i="23"/>
  <c r="Q1090" i="23" s="1"/>
  <c r="P288" i="23"/>
  <c r="P287" i="23" s="1"/>
  <c r="Q1043" i="23"/>
  <c r="Q1042" i="23" s="1"/>
  <c r="O1043" i="23"/>
  <c r="O1042" i="23" s="1"/>
  <c r="L795" i="23"/>
  <c r="L794" i="23" s="1"/>
  <c r="L416" i="23"/>
  <c r="O219" i="23"/>
  <c r="L515" i="23"/>
  <c r="O9" i="23"/>
  <c r="O1517" i="23"/>
  <c r="K22" i="5" s="1"/>
  <c r="O848" i="23"/>
  <c r="O847" i="23" s="1"/>
  <c r="M16" i="5"/>
  <c r="O1342" i="23"/>
  <c r="P1401" i="23"/>
  <c r="L16" i="5"/>
  <c r="Q1235" i="23"/>
  <c r="P625" i="23"/>
  <c r="O1235" i="23"/>
  <c r="O1511" i="23" l="1"/>
  <c r="K15" i="5" s="1"/>
  <c r="Q1515" i="23"/>
  <c r="M20" i="5" s="1"/>
  <c r="P1515" i="23"/>
  <c r="O1515" i="23"/>
  <c r="L1510" i="23"/>
  <c r="P1400" i="23"/>
  <c r="P1514" i="23"/>
  <c r="Q1400" i="23"/>
  <c r="Q1514" i="23"/>
  <c r="M19" i="5" s="1"/>
  <c r="O1400" i="23"/>
  <c r="O1514" i="23"/>
  <c r="K19" i="5" s="1"/>
  <c r="P1511" i="23"/>
  <c r="L15" i="5" s="1"/>
  <c r="O218" i="23"/>
  <c r="O1510" i="23"/>
  <c r="K14" i="5" s="1"/>
  <c r="Q218" i="23"/>
  <c r="Q1510" i="23"/>
  <c r="M14" i="5" s="1"/>
  <c r="P218" i="23"/>
  <c r="P1510" i="23"/>
  <c r="O1090" i="23"/>
  <c r="O625" i="23"/>
  <c r="Q625" i="23"/>
  <c r="L179" i="23"/>
  <c r="L742" i="23"/>
  <c r="L218" i="23"/>
  <c r="L20" i="5" l="1"/>
  <c r="P1521" i="23"/>
  <c r="K20" i="5"/>
  <c r="O1521" i="23"/>
  <c r="L19" i="5"/>
  <c r="R1514" i="23"/>
  <c r="M12" i="5"/>
  <c r="M8" i="5" s="1"/>
  <c r="M7" i="5" s="1"/>
  <c r="K12" i="5"/>
  <c r="K8" i="5" s="1"/>
  <c r="K7" i="5" s="1"/>
  <c r="P1508" i="23"/>
  <c r="P1507" i="23" s="1"/>
  <c r="L14" i="5"/>
  <c r="O1508" i="23"/>
  <c r="O1507" i="23" s="1"/>
  <c r="Q8" i="23"/>
  <c r="Q7" i="23" s="1"/>
  <c r="O8" i="23"/>
  <c r="O7" i="23" s="1"/>
  <c r="P8" i="23"/>
  <c r="P7" i="23" s="1"/>
  <c r="Q1508" i="23"/>
  <c r="Q1507" i="23" s="1"/>
  <c r="L12" i="5" l="1"/>
  <c r="L8" i="5" s="1"/>
  <c r="L7" i="5" s="1"/>
  <c r="F1281" i="23"/>
  <c r="F1280" i="23"/>
  <c r="F1279" i="23" l="1"/>
  <c r="F1274" i="23" s="1"/>
  <c r="D1321" i="23" l="1"/>
  <c r="D1328" i="23"/>
  <c r="C1328" i="23"/>
  <c r="D1324" i="23"/>
  <c r="C1324" i="23"/>
  <c r="C1321" i="23"/>
  <c r="E1318" i="23"/>
  <c r="E1317" i="23" s="1"/>
  <c r="D1318" i="23"/>
  <c r="D1317" i="23" s="1"/>
  <c r="F1307" i="23"/>
  <c r="C1279" i="23" l="1"/>
  <c r="C1274" i="23" s="1"/>
  <c r="F1252" i="23"/>
  <c r="F1214" i="23"/>
  <c r="F1224" i="23"/>
  <c r="F1234" i="23"/>
  <c r="F1233" i="23" s="1"/>
  <c r="D1171" i="23"/>
  <c r="D1170" i="23" s="1"/>
  <c r="E1171" i="23"/>
  <c r="E1170" i="23" s="1"/>
  <c r="G1171" i="23"/>
  <c r="G1170" i="23" s="1"/>
  <c r="H1171" i="23"/>
  <c r="H1170" i="23" s="1"/>
  <c r="I1171" i="23"/>
  <c r="I1170" i="23" s="1"/>
  <c r="M1171" i="23"/>
  <c r="M1170" i="23" s="1"/>
  <c r="N1171" i="23"/>
  <c r="N1170" i="23" s="1"/>
  <c r="C1171" i="23"/>
  <c r="C1170" i="23" s="1"/>
  <c r="F1172" i="23"/>
  <c r="F1171" i="23" s="1"/>
  <c r="F1170" i="23" s="1"/>
  <c r="E1217" i="23" l="1"/>
  <c r="F1218" i="23"/>
  <c r="F1217" i="23" s="1"/>
  <c r="D1217" i="23"/>
  <c r="C1217" i="23"/>
  <c r="C1168" i="23"/>
  <c r="E1168" i="23"/>
  <c r="D1168" i="23"/>
  <c r="F1041" i="23" l="1"/>
  <c r="D996" i="23"/>
  <c r="E996" i="23"/>
  <c r="C996" i="23"/>
  <c r="D882" i="23"/>
  <c r="E882" i="23"/>
  <c r="C882" i="23"/>
  <c r="D880" i="23"/>
  <c r="E880" i="23"/>
  <c r="C880" i="23"/>
  <c r="D745" i="23"/>
  <c r="E745" i="23"/>
  <c r="E744" i="23" s="1"/>
  <c r="C745" i="23"/>
  <c r="D758" i="23"/>
  <c r="E758" i="23"/>
  <c r="C758" i="23"/>
  <c r="I782" i="23"/>
  <c r="I789" i="23"/>
  <c r="E782" i="23"/>
  <c r="G782" i="23"/>
  <c r="H782" i="23"/>
  <c r="C782" i="23"/>
  <c r="C766" i="23"/>
  <c r="C754" i="23"/>
  <c r="D754" i="23"/>
  <c r="E754" i="23"/>
  <c r="F694" i="23"/>
  <c r="D693" i="23"/>
  <c r="E693" i="23"/>
  <c r="C693" i="23"/>
  <c r="D661" i="23"/>
  <c r="E661" i="23"/>
  <c r="E660" i="23" s="1"/>
  <c r="C661" i="23"/>
  <c r="F534" i="23"/>
  <c r="D533" i="23"/>
  <c r="E533" i="23"/>
  <c r="G533" i="23"/>
  <c r="H533" i="23"/>
  <c r="I533" i="23"/>
  <c r="M533" i="23"/>
  <c r="N533" i="23"/>
  <c r="C533" i="23"/>
  <c r="D518" i="23"/>
  <c r="E518" i="23"/>
  <c r="G518" i="23"/>
  <c r="H518" i="23"/>
  <c r="I518" i="23"/>
  <c r="M518" i="23"/>
  <c r="N518" i="23"/>
  <c r="C518" i="23"/>
  <c r="F519" i="23"/>
  <c r="F496" i="23"/>
  <c r="F354" i="23"/>
  <c r="F338" i="23"/>
  <c r="F178" i="23"/>
  <c r="F177" i="23" s="1"/>
  <c r="F176" i="23" s="1"/>
  <c r="F175" i="23" s="1"/>
  <c r="E177" i="23"/>
  <c r="E176" i="23" s="1"/>
  <c r="E175" i="23" s="1"/>
  <c r="G177" i="23"/>
  <c r="G176" i="23" s="1"/>
  <c r="G175" i="23" s="1"/>
  <c r="H177" i="23"/>
  <c r="H176" i="23" s="1"/>
  <c r="H175" i="23" s="1"/>
  <c r="I177" i="23"/>
  <c r="I176" i="23" s="1"/>
  <c r="I175" i="23" s="1"/>
  <c r="M177" i="23"/>
  <c r="M176" i="23" s="1"/>
  <c r="M175" i="23" s="1"/>
  <c r="N177" i="23"/>
  <c r="N176" i="23" s="1"/>
  <c r="N175" i="23" s="1"/>
  <c r="F323" i="23"/>
  <c r="F249" i="23"/>
  <c r="F248" i="23" s="1"/>
  <c r="D248" i="23"/>
  <c r="E248" i="23"/>
  <c r="G248" i="23"/>
  <c r="H248" i="23"/>
  <c r="I248" i="23"/>
  <c r="M248" i="23"/>
  <c r="N248" i="23"/>
  <c r="C248" i="23"/>
  <c r="F246" i="23"/>
  <c r="G190" i="23"/>
  <c r="H190" i="23"/>
  <c r="I190" i="23"/>
  <c r="D190" i="23"/>
  <c r="E190" i="23"/>
  <c r="C190" i="23"/>
  <c r="C87" i="23"/>
  <c r="D87" i="23"/>
  <c r="F86" i="23"/>
  <c r="F69" i="23"/>
  <c r="F70" i="23"/>
  <c r="D51" i="23"/>
  <c r="E51" i="23"/>
  <c r="G51" i="23"/>
  <c r="H51" i="23"/>
  <c r="I51" i="23"/>
  <c r="M51" i="23"/>
  <c r="N51" i="23"/>
  <c r="F52" i="23"/>
  <c r="F51" i="23" s="1"/>
  <c r="G26" i="23"/>
  <c r="H26" i="23"/>
  <c r="M26" i="23"/>
  <c r="N26" i="23"/>
  <c r="D26" i="23"/>
  <c r="E26" i="23"/>
  <c r="F28" i="23"/>
  <c r="F26" i="23" s="1"/>
  <c r="I781" i="23" l="1"/>
  <c r="I157" i="23" l="1"/>
  <c r="I156" i="23" s="1"/>
  <c r="I162" i="23"/>
  <c r="I161" i="23" s="1"/>
  <c r="I174" i="23"/>
  <c r="I173" i="23" l="1"/>
  <c r="I172" i="23" s="1"/>
  <c r="I171" i="23" s="1"/>
  <c r="L174" i="23"/>
  <c r="L173" i="23" s="1"/>
  <c r="L172" i="23" s="1"/>
  <c r="L171" i="23" s="1"/>
  <c r="I155" i="23"/>
  <c r="I154" i="23" l="1"/>
  <c r="L154" i="23"/>
  <c r="I1030" i="23"/>
  <c r="L1030" i="23" s="1"/>
  <c r="L1028" i="23" s="1"/>
  <c r="I878" i="23"/>
  <c r="L878" i="23" s="1"/>
  <c r="L870" i="23" s="1"/>
  <c r="I1185" i="23"/>
  <c r="L1185" i="23" s="1"/>
  <c r="L1184" i="23" s="1"/>
  <c r="I1183" i="23"/>
  <c r="L1183" i="23" s="1"/>
  <c r="I1182" i="23"/>
  <c r="L1182" i="23" s="1"/>
  <c r="I1179" i="23"/>
  <c r="I1302" i="23"/>
  <c r="L1302" i="23" s="1"/>
  <c r="L1301" i="23" s="1"/>
  <c r="L1300" i="23" s="1"/>
  <c r="I1311" i="23"/>
  <c r="L1311" i="23" s="1"/>
  <c r="L1309" i="23" s="1"/>
  <c r="L1308" i="23" s="1"/>
  <c r="I1314" i="23"/>
  <c r="L1314" i="23" s="1"/>
  <c r="L1313" i="23" s="1"/>
  <c r="L1312" i="23" s="1"/>
  <c r="I1341" i="23"/>
  <c r="L1341" i="23" s="1"/>
  <c r="L1340" i="23" s="1"/>
  <c r="L1339" i="23" s="1"/>
  <c r="I1336" i="23"/>
  <c r="L1336" i="23" s="1"/>
  <c r="I1335" i="23"/>
  <c r="L1335" i="23" s="1"/>
  <c r="I1214" i="23"/>
  <c r="L1214" i="23" s="1"/>
  <c r="L1211" i="23" s="1"/>
  <c r="L1200" i="23" s="1"/>
  <c r="L1190" i="23" s="1"/>
  <c r="L1189" i="23" s="1"/>
  <c r="I1188" i="23"/>
  <c r="L1188" i="23" s="1"/>
  <c r="L1187" i="23" s="1"/>
  <c r="L1186" i="23" s="1"/>
  <c r="I1164" i="23"/>
  <c r="L1164" i="23" s="1"/>
  <c r="I1160" i="23"/>
  <c r="L1160" i="23" s="1"/>
  <c r="I1135" i="23"/>
  <c r="L1135" i="23" s="1"/>
  <c r="I1122" i="23"/>
  <c r="L1122" i="23" s="1"/>
  <c r="L1121" i="23" s="1"/>
  <c r="L1120" i="23" s="1"/>
  <c r="I1119" i="23"/>
  <c r="L1119" i="23" s="1"/>
  <c r="L1118" i="23" s="1"/>
  <c r="L1117" i="23" s="1"/>
  <c r="I1113" i="23"/>
  <c r="L1113" i="23" s="1"/>
  <c r="I1112" i="23"/>
  <c r="L1112" i="23" s="1"/>
  <c r="I1089" i="23"/>
  <c r="L1089" i="23" s="1"/>
  <c r="L1088" i="23" s="1"/>
  <c r="L1087" i="23" s="1"/>
  <c r="I1086" i="23"/>
  <c r="L1086" i="23" s="1"/>
  <c r="L1085" i="23" s="1"/>
  <c r="I1080" i="23"/>
  <c r="L1080" i="23" s="1"/>
  <c r="L1077" i="23" s="1"/>
  <c r="I1075" i="23"/>
  <c r="L1075" i="23" s="1"/>
  <c r="L1074" i="23" s="1"/>
  <c r="L1073" i="23" s="1"/>
  <c r="I1032" i="23"/>
  <c r="L1032" i="23" s="1"/>
  <c r="L1031" i="23" s="1"/>
  <c r="I1017" i="23"/>
  <c r="I1016" i="23" s="1"/>
  <c r="I997" i="23"/>
  <c r="L997" i="23" s="1"/>
  <c r="L996" i="23" s="1"/>
  <c r="L995" i="23" s="1"/>
  <c r="I639" i="23"/>
  <c r="L639" i="23" s="1"/>
  <c r="L637" i="23" s="1"/>
  <c r="L634" i="23" s="1"/>
  <c r="L630" i="23" l="1"/>
  <c r="L625" i="23" s="1"/>
  <c r="L991" i="23"/>
  <c r="L990" i="23" s="1"/>
  <c r="L858" i="23"/>
  <c r="L848" i="23" s="1"/>
  <c r="L1017" i="23"/>
  <c r="L1296" i="23"/>
  <c r="L1295" i="23" s="1"/>
  <c r="L1106" i="23"/>
  <c r="L1097" i="23" s="1"/>
  <c r="L1179" i="23"/>
  <c r="L1176" i="23" s="1"/>
  <c r="L1173" i="23" s="1"/>
  <c r="I1176" i="23"/>
  <c r="L1134" i="23"/>
  <c r="L1133" i="23" s="1"/>
  <c r="L1181" i="23"/>
  <c r="L1027" i="23"/>
  <c r="L1076" i="23"/>
  <c r="L1043" i="23" s="1"/>
  <c r="L1042" i="23" s="1"/>
  <c r="L1159" i="23"/>
  <c r="L1334" i="23"/>
  <c r="L1333" i="23" s="1"/>
  <c r="L1316" i="23" s="1"/>
  <c r="L1315" i="23" s="1"/>
  <c r="I1150" i="23"/>
  <c r="L1150" i="23" s="1"/>
  <c r="L1148" i="23" s="1"/>
  <c r="L847" i="23" l="1"/>
  <c r="L1016" i="23"/>
  <c r="L1015" i="23" s="1"/>
  <c r="L1011" i="23" s="1"/>
  <c r="L1010" i="23" s="1"/>
  <c r="L1091" i="23"/>
  <c r="L1090" i="23" s="1"/>
  <c r="L1147" i="23"/>
  <c r="L1137" i="23" l="1"/>
  <c r="L1136" i="23" s="1"/>
  <c r="M1355" i="23"/>
  <c r="N1355" i="23"/>
  <c r="M1334" i="23"/>
  <c r="N1334" i="23"/>
  <c r="M1328" i="23"/>
  <c r="N1328" i="23"/>
  <c r="M1324" i="23"/>
  <c r="N1324" i="23"/>
  <c r="M1321" i="23"/>
  <c r="N1321" i="23"/>
  <c r="M1223" i="23"/>
  <c r="N1223" i="23"/>
  <c r="M1211" i="23"/>
  <c r="N1211" i="23"/>
  <c r="M1205" i="23"/>
  <c r="N1205" i="23"/>
  <c r="M1201" i="23"/>
  <c r="N1201" i="23"/>
  <c r="M1192" i="23"/>
  <c r="N1192" i="23"/>
  <c r="M1195" i="23"/>
  <c r="N1195" i="23"/>
  <c r="M1197" i="23"/>
  <c r="N1197" i="23"/>
  <c r="M1181" i="23"/>
  <c r="N1181" i="23"/>
  <c r="M1159" i="23"/>
  <c r="N1159" i="23"/>
  <c r="M1153" i="23"/>
  <c r="N1153" i="23"/>
  <c r="M1123" i="23"/>
  <c r="N1123" i="23"/>
  <c r="M1106" i="23"/>
  <c r="N1106" i="23"/>
  <c r="M1102" i="23"/>
  <c r="N1102" i="23"/>
  <c r="M1098" i="23"/>
  <c r="N1098" i="23"/>
  <c r="M1077" i="23"/>
  <c r="N1077" i="23"/>
  <c r="M1064" i="23"/>
  <c r="N1064" i="23"/>
  <c r="M1058" i="23"/>
  <c r="N1058" i="23"/>
  <c r="M1054" i="23"/>
  <c r="N1054" i="23"/>
  <c r="M1028" i="23"/>
  <c r="N1028" i="23"/>
  <c r="M980" i="23"/>
  <c r="N980" i="23"/>
  <c r="M972" i="23"/>
  <c r="N972" i="23"/>
  <c r="M957" i="23"/>
  <c r="N957" i="23"/>
  <c r="M954" i="23"/>
  <c r="N954" i="23"/>
  <c r="M560" i="23"/>
  <c r="N560" i="23"/>
  <c r="M553" i="23"/>
  <c r="N553" i="23"/>
  <c r="M545" i="23"/>
  <c r="N545" i="23"/>
  <c r="M524" i="23"/>
  <c r="N524" i="23"/>
  <c r="M493" i="23"/>
  <c r="N493" i="23"/>
  <c r="M485" i="23"/>
  <c r="N485" i="23"/>
  <c r="H432" i="23"/>
  <c r="G432" i="23"/>
  <c r="C432" i="23"/>
  <c r="M432" i="23"/>
  <c r="N432" i="23"/>
  <c r="I432" i="23"/>
  <c r="M428" i="23"/>
  <c r="N428" i="23"/>
  <c r="M424" i="23"/>
  <c r="N424" i="23"/>
  <c r="M369" i="23"/>
  <c r="N369" i="23"/>
  <c r="M359" i="23"/>
  <c r="N359" i="23"/>
  <c r="M350" i="23"/>
  <c r="N350" i="23"/>
  <c r="M343" i="23"/>
  <c r="N343" i="23"/>
  <c r="M332" i="23"/>
  <c r="N332" i="23"/>
  <c r="M330" i="23"/>
  <c r="N330" i="23"/>
  <c r="M327" i="23"/>
  <c r="N327" i="23"/>
  <c r="M320" i="23"/>
  <c r="N320" i="23"/>
  <c r="M317" i="23"/>
  <c r="M316" i="23" s="1"/>
  <c r="N317" i="23"/>
  <c r="N316" i="23" s="1"/>
  <c r="M314" i="23"/>
  <c r="N314" i="23"/>
  <c r="M310" i="23"/>
  <c r="N310" i="23"/>
  <c r="M308" i="23"/>
  <c r="N308" i="23"/>
  <c r="M299" i="23"/>
  <c r="N299" i="23"/>
  <c r="M293" i="23"/>
  <c r="N293" i="23"/>
  <c r="M290" i="23"/>
  <c r="N290" i="23"/>
  <c r="I290" i="23"/>
  <c r="I293" i="23"/>
  <c r="M267" i="23"/>
  <c r="N267" i="23"/>
  <c r="M265" i="23"/>
  <c r="N265" i="23"/>
  <c r="M260" i="23"/>
  <c r="N260" i="23"/>
  <c r="M250" i="23"/>
  <c r="N250" i="23"/>
  <c r="M236" i="23"/>
  <c r="N236" i="23"/>
  <c r="M230" i="23"/>
  <c r="N230" i="23"/>
  <c r="M223" i="23"/>
  <c r="N223" i="23"/>
  <c r="L1515" i="23" l="1"/>
  <c r="N259" i="23"/>
  <c r="N289" i="23"/>
  <c r="N319" i="23"/>
  <c r="N329" i="23"/>
  <c r="N1191" i="23"/>
  <c r="M1191" i="23"/>
  <c r="M329" i="23"/>
  <c r="M319" i="23"/>
  <c r="M289" i="23"/>
  <c r="M259" i="23"/>
  <c r="N288" i="23" l="1"/>
  <c r="N287" i="23" s="1"/>
  <c r="M288" i="23"/>
  <c r="M287" i="23" s="1"/>
  <c r="D1233" i="23" l="1"/>
  <c r="D1232" i="23" s="1"/>
  <c r="E1233" i="23"/>
  <c r="E1232" i="23" s="1"/>
  <c r="G1233" i="23"/>
  <c r="G1232" i="23" s="1"/>
  <c r="H1233" i="23"/>
  <c r="H1232" i="23" s="1"/>
  <c r="I1233" i="23"/>
  <c r="I1232" i="23" s="1"/>
  <c r="M1233" i="23"/>
  <c r="M1232" i="23" s="1"/>
  <c r="N1233" i="23"/>
  <c r="N1232" i="23" s="1"/>
  <c r="F1232" i="23"/>
  <c r="D1230" i="23"/>
  <c r="E1230" i="23"/>
  <c r="F1230" i="23"/>
  <c r="G1230" i="23"/>
  <c r="H1230" i="23"/>
  <c r="I1230" i="23"/>
  <c r="M1230" i="23"/>
  <c r="N1230" i="23"/>
  <c r="D1228" i="23"/>
  <c r="E1228" i="23"/>
  <c r="F1228" i="23"/>
  <c r="G1228" i="23"/>
  <c r="H1228" i="23"/>
  <c r="I1228" i="23"/>
  <c r="M1228" i="23"/>
  <c r="N1228" i="23"/>
  <c r="C1228" i="23"/>
  <c r="D1223" i="23"/>
  <c r="E1223" i="23"/>
  <c r="F1223" i="23"/>
  <c r="G1223" i="23"/>
  <c r="H1223" i="23"/>
  <c r="I1223" i="23"/>
  <c r="C1223" i="23"/>
  <c r="D1215" i="23"/>
  <c r="E1215" i="23"/>
  <c r="F1215" i="23"/>
  <c r="G1215" i="23"/>
  <c r="H1215" i="23"/>
  <c r="I1215" i="23"/>
  <c r="M1215" i="23"/>
  <c r="M1200" i="23" s="1"/>
  <c r="N1215" i="23"/>
  <c r="N1200" i="23" s="1"/>
  <c r="D1211" i="23"/>
  <c r="E1211" i="23"/>
  <c r="F1211" i="23"/>
  <c r="G1211" i="23"/>
  <c r="H1211" i="23"/>
  <c r="I1211" i="23"/>
  <c r="C1211" i="23"/>
  <c r="D1205" i="23"/>
  <c r="E1205" i="23"/>
  <c r="F1205" i="23"/>
  <c r="G1205" i="23"/>
  <c r="H1205" i="23"/>
  <c r="I1205" i="23"/>
  <c r="D1201" i="23"/>
  <c r="E1201" i="23"/>
  <c r="G1201" i="23"/>
  <c r="H1201" i="23"/>
  <c r="I1201" i="23"/>
  <c r="D1197" i="23"/>
  <c r="E1197" i="23"/>
  <c r="G1197" i="23"/>
  <c r="H1197" i="23"/>
  <c r="I1197" i="23"/>
  <c r="D1195" i="23"/>
  <c r="E1195" i="23"/>
  <c r="G1195" i="23"/>
  <c r="H1195" i="23"/>
  <c r="I1195" i="23"/>
  <c r="D1192" i="23"/>
  <c r="E1192" i="23"/>
  <c r="G1192" i="23"/>
  <c r="H1192" i="23"/>
  <c r="I1192" i="23"/>
  <c r="C1233" i="23"/>
  <c r="C1232" i="23" s="1"/>
  <c r="C1230" i="23"/>
  <c r="F1221" i="23"/>
  <c r="F1220" i="23" s="1"/>
  <c r="F1219" i="23" s="1"/>
  <c r="N1220" i="23"/>
  <c r="N1219" i="23" s="1"/>
  <c r="M1220" i="23"/>
  <c r="M1219" i="23" s="1"/>
  <c r="I1220" i="23"/>
  <c r="I1219" i="23" s="1"/>
  <c r="H1220" i="23"/>
  <c r="H1219" i="23" s="1"/>
  <c r="G1220" i="23"/>
  <c r="G1219" i="23" s="1"/>
  <c r="E1220" i="23"/>
  <c r="E1219" i="23" s="1"/>
  <c r="D1220" i="23"/>
  <c r="D1219" i="23" s="1"/>
  <c r="C1220" i="23"/>
  <c r="C1219" i="23" s="1"/>
  <c r="C1215" i="23"/>
  <c r="H1222" i="23" l="1"/>
  <c r="E1200" i="23"/>
  <c r="E1191" i="23"/>
  <c r="G1222" i="23"/>
  <c r="F1222" i="23"/>
  <c r="E1222" i="23"/>
  <c r="D1222" i="23"/>
  <c r="H1200" i="23"/>
  <c r="G1200" i="23"/>
  <c r="N1222" i="23"/>
  <c r="N1190" i="23" s="1"/>
  <c r="N1189" i="23" s="1"/>
  <c r="H1191" i="23"/>
  <c r="G1191" i="23"/>
  <c r="M1222" i="23"/>
  <c r="M1190" i="23" s="1"/>
  <c r="M1189" i="23" s="1"/>
  <c r="D1191" i="23"/>
  <c r="D1200" i="23"/>
  <c r="I1200" i="23"/>
  <c r="I1191" i="23"/>
  <c r="I1222" i="23"/>
  <c r="C1222" i="23"/>
  <c r="C1205" i="23"/>
  <c r="C1201" i="23"/>
  <c r="C1200" i="23" l="1"/>
  <c r="E1190" i="23"/>
  <c r="E1189" i="23" s="1"/>
  <c r="D1190" i="23"/>
  <c r="D1189" i="23" s="1"/>
  <c r="G1190" i="23"/>
  <c r="G1189" i="23" s="1"/>
  <c r="H1190" i="23"/>
  <c r="H1189" i="23" s="1"/>
  <c r="I1190" i="23"/>
  <c r="I1189" i="23" s="1"/>
  <c r="C1192" i="23" l="1"/>
  <c r="F1203" i="23"/>
  <c r="F1202" i="23"/>
  <c r="F1201" i="23" l="1"/>
  <c r="F1200" i="23" s="1"/>
  <c r="F1199" i="23"/>
  <c r="F1198" i="23"/>
  <c r="C1197" i="23"/>
  <c r="F1196" i="23"/>
  <c r="F1195" i="23" s="1"/>
  <c r="C1195" i="23"/>
  <c r="F1193" i="23"/>
  <c r="F1192" i="23" s="1"/>
  <c r="C1191" i="23" l="1"/>
  <c r="C1190" i="23" s="1"/>
  <c r="C1189" i="23" s="1"/>
  <c r="F1197" i="23"/>
  <c r="N1488" i="23"/>
  <c r="M1488" i="23"/>
  <c r="I1488" i="23"/>
  <c r="H1488" i="23"/>
  <c r="H1484" i="23"/>
  <c r="H1481" i="23"/>
  <c r="H1474" i="23"/>
  <c r="M1471" i="23"/>
  <c r="I1471" i="23"/>
  <c r="H1471" i="23"/>
  <c r="N1468" i="23"/>
  <c r="M1468" i="23"/>
  <c r="I1468" i="23"/>
  <c r="H1468" i="23"/>
  <c r="N1465" i="23"/>
  <c r="M1465" i="23"/>
  <c r="I1465" i="23"/>
  <c r="I1464" i="23" s="1"/>
  <c r="H1465" i="23"/>
  <c r="N1464" i="23" l="1"/>
  <c r="M1464" i="23"/>
  <c r="H1464" i="23"/>
  <c r="H1483" i="23"/>
  <c r="F1191" i="23"/>
  <c r="F1190" i="23" s="1"/>
  <c r="F1189" i="23" s="1"/>
  <c r="M1483" i="23"/>
  <c r="H1467" i="23"/>
  <c r="I1483" i="23"/>
  <c r="M1467" i="23"/>
  <c r="I1467" i="23"/>
  <c r="N1471" i="23"/>
  <c r="N1467" i="23" s="1"/>
  <c r="N1483" i="23"/>
  <c r="H1458" i="23" l="1"/>
  <c r="H1463" i="23"/>
  <c r="H1462" i="23" s="1"/>
  <c r="H1453" i="23" s="1"/>
  <c r="M1463" i="23"/>
  <c r="M1462" i="23" s="1"/>
  <c r="N1463" i="23"/>
  <c r="N1462" i="23" s="1"/>
  <c r="I1463" i="23"/>
  <c r="I1462" i="23" s="1"/>
  <c r="I1457" i="23" s="1"/>
  <c r="N1443" i="23" l="1"/>
  <c r="M1443" i="23"/>
  <c r="N1424" i="23"/>
  <c r="M1424" i="23"/>
  <c r="N1422" i="23"/>
  <c r="M1422" i="23"/>
  <c r="N1407" i="23"/>
  <c r="M1407" i="23"/>
  <c r="N1404" i="23"/>
  <c r="M1404" i="23"/>
  <c r="M1451" i="23" l="1"/>
  <c r="N1451" i="23"/>
  <c r="I1451" i="23"/>
  <c r="N1450" i="23"/>
  <c r="N1449" i="23" s="1"/>
  <c r="M1450" i="23"/>
  <c r="M1449" i="23" s="1"/>
  <c r="M1446" i="23"/>
  <c r="N1446" i="23"/>
  <c r="I1446" i="23"/>
  <c r="I1438" i="23"/>
  <c r="N1444" i="23"/>
  <c r="M1444" i="23"/>
  <c r="N1441" i="23"/>
  <c r="M1441" i="23"/>
  <c r="N1439" i="23"/>
  <c r="M1439" i="23"/>
  <c r="N1436" i="23"/>
  <c r="N1435" i="23" s="1"/>
  <c r="N1434" i="23" s="1"/>
  <c r="M1436" i="23"/>
  <c r="M1435" i="23" s="1"/>
  <c r="M1434" i="23" s="1"/>
  <c r="M1432" i="23"/>
  <c r="M1431" i="23" s="1"/>
  <c r="N1432" i="23"/>
  <c r="N1431" i="23" s="1"/>
  <c r="I1432" i="23"/>
  <c r="I1431" i="23" s="1"/>
  <c r="N1428" i="23"/>
  <c r="N1427" i="23" s="1"/>
  <c r="M1428" i="23"/>
  <c r="M1427" i="23" s="1"/>
  <c r="I1427" i="23"/>
  <c r="M1425" i="23"/>
  <c r="N1425" i="23"/>
  <c r="I1425" i="23"/>
  <c r="N1420" i="23"/>
  <c r="M1420" i="23"/>
  <c r="N1418" i="23"/>
  <c r="M1418" i="23"/>
  <c r="N1412" i="23"/>
  <c r="N1409" i="23" s="1"/>
  <c r="M1412" i="23"/>
  <c r="M1409" i="23" s="1"/>
  <c r="I1409" i="23"/>
  <c r="N1408" i="23"/>
  <c r="N1406" i="23" s="1"/>
  <c r="M1408" i="23"/>
  <c r="M1406" i="23" s="1"/>
  <c r="I1408" i="23"/>
  <c r="N1403" i="23"/>
  <c r="N1402" i="23" s="1"/>
  <c r="M1403" i="23"/>
  <c r="M1402" i="23" s="1"/>
  <c r="I1449" i="23"/>
  <c r="I1435" i="23"/>
  <c r="I1434" i="23" s="1"/>
  <c r="I1444" i="23"/>
  <c r="M1448" i="23" l="1"/>
  <c r="I1406" i="23"/>
  <c r="L1408" i="23"/>
  <c r="L1406" i="23" s="1"/>
  <c r="L1405" i="23" s="1"/>
  <c r="I1403" i="23"/>
  <c r="I1402" i="23" s="1"/>
  <c r="L1404" i="23"/>
  <c r="L1403" i="23" s="1"/>
  <c r="L1402" i="23" s="1"/>
  <c r="M1415" i="23"/>
  <c r="M1405" i="23" s="1"/>
  <c r="I1448" i="23"/>
  <c r="N1448" i="23"/>
  <c r="N1415" i="23"/>
  <c r="N1405" i="23" s="1"/>
  <c r="N1438" i="23"/>
  <c r="N1437" i="23" s="1"/>
  <c r="M1438" i="23"/>
  <c r="M1437" i="23" s="1"/>
  <c r="I1437" i="23"/>
  <c r="I1415" i="23"/>
  <c r="I1405" i="23" l="1"/>
  <c r="L1401" i="23"/>
  <c r="I1401" i="23"/>
  <c r="I1400" i="23" s="1"/>
  <c r="N1401" i="23"/>
  <c r="N1400" i="23" s="1"/>
  <c r="M1401" i="23"/>
  <c r="M1400" i="23" s="1"/>
  <c r="D640" i="23"/>
  <c r="E640" i="23"/>
  <c r="F640" i="23"/>
  <c r="G640" i="23"/>
  <c r="H640" i="23"/>
  <c r="I640" i="23"/>
  <c r="M640" i="23"/>
  <c r="N640" i="23"/>
  <c r="G637" i="23"/>
  <c r="H637" i="23"/>
  <c r="I637" i="23"/>
  <c r="M637" i="23"/>
  <c r="N637" i="23"/>
  <c r="D643" i="23"/>
  <c r="E643" i="23"/>
  <c r="G643" i="23"/>
  <c r="H643" i="23"/>
  <c r="I643" i="23"/>
  <c r="M643" i="23"/>
  <c r="N643" i="23"/>
  <c r="D647" i="23"/>
  <c r="E647" i="23"/>
  <c r="F647" i="23"/>
  <c r="G647" i="23"/>
  <c r="H647" i="23"/>
  <c r="I647" i="23"/>
  <c r="M647" i="23"/>
  <c r="N647" i="23"/>
  <c r="C647" i="23"/>
  <c r="F645" i="23"/>
  <c r="F643" i="23" s="1"/>
  <c r="C643" i="23"/>
  <c r="C640" i="23"/>
  <c r="D637" i="23"/>
  <c r="E637" i="23"/>
  <c r="C637" i="23"/>
  <c r="F632" i="23"/>
  <c r="F631" i="23" s="1"/>
  <c r="N632" i="23"/>
  <c r="N631" i="23" s="1"/>
  <c r="M632" i="23"/>
  <c r="M631" i="23" s="1"/>
  <c r="I632" i="23"/>
  <c r="I631" i="23" s="1"/>
  <c r="H632" i="23"/>
  <c r="H631" i="23" s="1"/>
  <c r="G632" i="23"/>
  <c r="G631" i="23" s="1"/>
  <c r="E632" i="23"/>
  <c r="E631" i="23" s="1"/>
  <c r="D632" i="23"/>
  <c r="D631" i="23" s="1"/>
  <c r="C632" i="23"/>
  <c r="C631" i="23" s="1"/>
  <c r="M1379" i="23"/>
  <c r="N1379" i="23"/>
  <c r="I1379" i="23"/>
  <c r="M1374" i="23"/>
  <c r="N1374" i="23"/>
  <c r="I1374" i="23"/>
  <c r="F1377" i="23"/>
  <c r="F1375" i="23"/>
  <c r="H1374" i="23"/>
  <c r="G1374" i="23"/>
  <c r="E1374" i="23"/>
  <c r="F1374" i="23" s="1"/>
  <c r="F1372" i="23"/>
  <c r="F1371" i="23"/>
  <c r="N1370" i="23"/>
  <c r="M1370" i="23"/>
  <c r="I1370" i="23"/>
  <c r="H1370" i="23"/>
  <c r="G1370" i="23"/>
  <c r="E1370" i="23"/>
  <c r="F1370" i="23" s="1"/>
  <c r="F1369" i="23"/>
  <c r="F1368" i="23"/>
  <c r="N1367" i="23"/>
  <c r="M1367" i="23"/>
  <c r="I1367" i="23"/>
  <c r="H1367" i="23"/>
  <c r="G1367" i="23"/>
  <c r="E1367" i="23"/>
  <c r="F1367" i="23" s="1"/>
  <c r="D1366" i="23"/>
  <c r="C1366" i="23"/>
  <c r="F1365" i="23"/>
  <c r="F1364" i="23" s="1"/>
  <c r="F1363" i="23" s="1"/>
  <c r="N1364" i="23"/>
  <c r="N1363" i="23" s="1"/>
  <c r="M1364" i="23"/>
  <c r="M1363" i="23" s="1"/>
  <c r="I1364" i="23"/>
  <c r="I1363" i="23" s="1"/>
  <c r="H1364" i="23"/>
  <c r="H1363" i="23" s="1"/>
  <c r="G1364" i="23"/>
  <c r="G1363" i="23" s="1"/>
  <c r="E1364" i="23"/>
  <c r="E1363" i="23" s="1"/>
  <c r="D1364" i="23"/>
  <c r="C1364" i="23"/>
  <c r="M205" i="23"/>
  <c r="M1389" i="23"/>
  <c r="M1388" i="23" s="1"/>
  <c r="N1389" i="23"/>
  <c r="N1388" i="23" s="1"/>
  <c r="I1389" i="23"/>
  <c r="I1388" i="23" s="1"/>
  <c r="M1384" i="23"/>
  <c r="M1383" i="23" s="1"/>
  <c r="M1382" i="23" s="1"/>
  <c r="M1381" i="23" s="1"/>
  <c r="N1384" i="23"/>
  <c r="N1383" i="23" s="1"/>
  <c r="N1382" i="23" s="1"/>
  <c r="N1381" i="23" s="1"/>
  <c r="I1384" i="23"/>
  <c r="I1383" i="23" s="1"/>
  <c r="I1382" i="23" s="1"/>
  <c r="I1381" i="23" s="1"/>
  <c r="M1392" i="23"/>
  <c r="M1391" i="23" s="1"/>
  <c r="N1392" i="23"/>
  <c r="N1391" i="23" s="1"/>
  <c r="I1392" i="23"/>
  <c r="I1391" i="23" s="1"/>
  <c r="L1400" i="23" l="1"/>
  <c r="L8" i="23" s="1"/>
  <c r="L7" i="23" s="1"/>
  <c r="L1514" i="23"/>
  <c r="N1366" i="23"/>
  <c r="N1362" i="23" s="1"/>
  <c r="N1361" i="23" s="1"/>
  <c r="G1366" i="23"/>
  <c r="G1362" i="23" s="1"/>
  <c r="G1361" i="23" s="1"/>
  <c r="M1366" i="23"/>
  <c r="M1362" i="23" s="1"/>
  <c r="M1361" i="23" s="1"/>
  <c r="D642" i="23"/>
  <c r="F642" i="23"/>
  <c r="I634" i="23"/>
  <c r="I630" i="23" s="1"/>
  <c r="I625" i="23" s="1"/>
  <c r="C634" i="23"/>
  <c r="M634" i="23"/>
  <c r="M630" i="23" s="1"/>
  <c r="D634" i="23"/>
  <c r="H642" i="23"/>
  <c r="N642" i="23"/>
  <c r="G642" i="23"/>
  <c r="I642" i="23"/>
  <c r="C642" i="23"/>
  <c r="M642" i="23"/>
  <c r="E642" i="23"/>
  <c r="H634" i="23"/>
  <c r="E634" i="23"/>
  <c r="N634" i="23"/>
  <c r="N630" i="23" s="1"/>
  <c r="G634" i="23"/>
  <c r="I1366" i="23"/>
  <c r="I1362" i="23" s="1"/>
  <c r="I1361" i="23" s="1"/>
  <c r="D1363" i="23"/>
  <c r="D1362" i="23" s="1"/>
  <c r="D1361" i="23" s="1"/>
  <c r="H1366" i="23"/>
  <c r="H1362" i="23" s="1"/>
  <c r="H1361" i="23" s="1"/>
  <c r="C1363" i="23"/>
  <c r="C1362" i="23" s="1"/>
  <c r="E1366" i="23"/>
  <c r="E1362" i="23" s="1"/>
  <c r="E1361" i="23" s="1"/>
  <c r="N1387" i="23"/>
  <c r="N1386" i="23" s="1"/>
  <c r="M1387" i="23"/>
  <c r="M1386" i="23" s="1"/>
  <c r="I1387" i="23"/>
  <c r="I1386" i="23" s="1"/>
  <c r="F1360" i="23"/>
  <c r="N1359" i="23"/>
  <c r="M1359" i="23"/>
  <c r="I1359" i="23"/>
  <c r="H1359" i="23"/>
  <c r="G1359" i="23"/>
  <c r="E1359" i="23"/>
  <c r="D1359" i="23"/>
  <c r="C1359" i="23"/>
  <c r="F1358" i="23"/>
  <c r="F1356" i="23"/>
  <c r="I1355" i="23"/>
  <c r="H1355" i="23"/>
  <c r="G1355" i="23"/>
  <c r="E1355" i="23"/>
  <c r="F1355" i="23" s="1"/>
  <c r="F1353" i="23"/>
  <c r="F1352" i="23"/>
  <c r="N1351" i="23"/>
  <c r="M1351" i="23"/>
  <c r="I1351" i="23"/>
  <c r="H1351" i="23"/>
  <c r="G1351" i="23"/>
  <c r="E1351" i="23"/>
  <c r="F1351" i="23" s="1"/>
  <c r="F1350" i="23"/>
  <c r="F1349" i="23"/>
  <c r="N1348" i="23"/>
  <c r="M1348" i="23"/>
  <c r="I1348" i="23"/>
  <c r="H1348" i="23"/>
  <c r="G1348" i="23"/>
  <c r="E1348" i="23"/>
  <c r="F1348" i="23" s="1"/>
  <c r="D1347" i="23"/>
  <c r="C1347" i="23"/>
  <c r="F1346" i="23"/>
  <c r="F1345" i="23" s="1"/>
  <c r="F1344" i="23" s="1"/>
  <c r="N1345" i="23"/>
  <c r="N1344" i="23" s="1"/>
  <c r="M1345" i="23"/>
  <c r="M1344" i="23" s="1"/>
  <c r="I1345" i="23"/>
  <c r="I1344" i="23" s="1"/>
  <c r="H1345" i="23"/>
  <c r="H1344" i="23" s="1"/>
  <c r="G1345" i="23"/>
  <c r="G1344" i="23" s="1"/>
  <c r="E1345" i="23"/>
  <c r="E1344" i="23" s="1"/>
  <c r="D1345" i="23"/>
  <c r="C1345" i="23"/>
  <c r="H1337" i="23"/>
  <c r="I1337" i="23"/>
  <c r="M1337" i="23"/>
  <c r="M1333" i="23" s="1"/>
  <c r="N1337" i="23"/>
  <c r="N1333" i="23" s="1"/>
  <c r="G1337" i="23"/>
  <c r="C1337" i="23"/>
  <c r="F1337" i="23" s="1"/>
  <c r="F1332" i="23"/>
  <c r="N1331" i="23"/>
  <c r="N1320" i="23" s="1"/>
  <c r="M1331" i="23"/>
  <c r="M1320" i="23" s="1"/>
  <c r="I1331" i="23"/>
  <c r="H1331" i="23"/>
  <c r="G1331" i="23"/>
  <c r="E1331" i="23"/>
  <c r="D1331" i="23"/>
  <c r="D1320" i="23" s="1"/>
  <c r="C1331" i="23"/>
  <c r="C1320" i="23" s="1"/>
  <c r="H1324" i="23"/>
  <c r="I1324" i="23"/>
  <c r="G1324" i="23"/>
  <c r="F1305" i="23"/>
  <c r="D1301" i="23"/>
  <c r="E1301" i="23"/>
  <c r="G1301" i="23"/>
  <c r="H1301" i="23"/>
  <c r="I1301" i="23"/>
  <c r="M1301" i="23"/>
  <c r="N1301" i="23"/>
  <c r="C1301" i="23"/>
  <c r="F1302" i="23"/>
  <c r="F1301" i="23" s="1"/>
  <c r="D502" i="23"/>
  <c r="E502" i="23"/>
  <c r="F502" i="23"/>
  <c r="G502" i="23"/>
  <c r="H502" i="23"/>
  <c r="I502" i="23"/>
  <c r="M502" i="23"/>
  <c r="N502" i="23"/>
  <c r="D207" i="23"/>
  <c r="E207" i="23"/>
  <c r="F207" i="23"/>
  <c r="G207" i="23"/>
  <c r="H207" i="23"/>
  <c r="I207" i="23"/>
  <c r="M207" i="23"/>
  <c r="N207" i="23"/>
  <c r="F85" i="23"/>
  <c r="N85" i="23"/>
  <c r="M85" i="23"/>
  <c r="I85" i="23"/>
  <c r="H85" i="23"/>
  <c r="G85" i="23"/>
  <c r="E85" i="23"/>
  <c r="D85" i="23"/>
  <c r="C85" i="23"/>
  <c r="L1508" i="23" l="1"/>
  <c r="L1507" i="23" s="1"/>
  <c r="N1347" i="23"/>
  <c r="N1343" i="23" s="1"/>
  <c r="N1342" i="23" s="1"/>
  <c r="M1347" i="23"/>
  <c r="M1343" i="23" s="1"/>
  <c r="M1342" i="23" s="1"/>
  <c r="G1347" i="23"/>
  <c r="G1343" i="23" s="1"/>
  <c r="G1342" i="23" s="1"/>
  <c r="D630" i="23"/>
  <c r="H1347" i="23"/>
  <c r="H1343" i="23" s="1"/>
  <c r="H1342" i="23" s="1"/>
  <c r="H630" i="23"/>
  <c r="C630" i="23"/>
  <c r="E630" i="23"/>
  <c r="F1359" i="23"/>
  <c r="G630" i="23"/>
  <c r="F1366" i="23"/>
  <c r="F1362" i="23" s="1"/>
  <c r="F1361" i="23" s="1"/>
  <c r="D1344" i="23"/>
  <c r="D1343" i="23" s="1"/>
  <c r="D1342" i="23" s="1"/>
  <c r="I1347" i="23"/>
  <c r="I1343" i="23" s="1"/>
  <c r="I1342" i="23" s="1"/>
  <c r="C1344" i="23"/>
  <c r="E1347" i="23"/>
  <c r="E1343" i="23" s="1"/>
  <c r="E1342" i="23" s="1"/>
  <c r="F1331" i="23"/>
  <c r="N1129" i="23"/>
  <c r="C1343" i="23" l="1"/>
  <c r="C1342" i="23" s="1"/>
  <c r="F1347" i="23"/>
  <c r="F1343" i="23" s="1"/>
  <c r="F1342" i="23" s="1"/>
  <c r="H1144" i="23" l="1"/>
  <c r="H1142" i="23"/>
  <c r="H1139" i="23"/>
  <c r="G1144" i="23"/>
  <c r="G1142" i="23"/>
  <c r="G1139" i="23"/>
  <c r="H1102" i="23"/>
  <c r="G1102" i="23"/>
  <c r="H1098" i="23"/>
  <c r="G1098" i="23"/>
  <c r="H1095" i="23"/>
  <c r="G1095" i="23"/>
  <c r="H1093" i="23"/>
  <c r="G1093" i="23"/>
  <c r="H1050" i="23"/>
  <c r="H1048" i="23"/>
  <c r="H1045" i="23"/>
  <c r="G1050" i="23"/>
  <c r="G1048" i="23"/>
  <c r="G1045" i="23"/>
  <c r="H988" i="23"/>
  <c r="H986" i="23"/>
  <c r="H980" i="23"/>
  <c r="H976" i="23"/>
  <c r="H972" i="23"/>
  <c r="H968" i="23"/>
  <c r="H965" i="23"/>
  <c r="H964" i="23" s="1"/>
  <c r="G988" i="23"/>
  <c r="G986" i="23"/>
  <c r="G980" i="23"/>
  <c r="G976" i="23"/>
  <c r="G972" i="23"/>
  <c r="G968" i="23"/>
  <c r="G965" i="23"/>
  <c r="G964" i="23" s="1"/>
  <c r="H960" i="23"/>
  <c r="H957" i="23"/>
  <c r="H954" i="23"/>
  <c r="G960" i="23"/>
  <c r="G957" i="23"/>
  <c r="G954" i="23"/>
  <c r="H575" i="23"/>
  <c r="H574" i="23" s="1"/>
  <c r="H572" i="23"/>
  <c r="H570" i="23"/>
  <c r="H569" i="23" s="1"/>
  <c r="H566" i="23"/>
  <c r="H565" i="23" s="1"/>
  <c r="H560" i="23"/>
  <c r="H559" i="23" s="1"/>
  <c r="H557" i="23"/>
  <c r="H553" i="23"/>
  <c r="H545" i="23"/>
  <c r="H540" i="23"/>
  <c r="H537" i="23"/>
  <c r="H532" i="23"/>
  <c r="H529" i="23"/>
  <c r="H527" i="23"/>
  <c r="H524" i="23"/>
  <c r="H522" i="23"/>
  <c r="H517" i="23"/>
  <c r="G575" i="23"/>
  <c r="G574" i="23" s="1"/>
  <c r="G572" i="23"/>
  <c r="G570" i="23"/>
  <c r="G569" i="23" s="1"/>
  <c r="G566" i="23"/>
  <c r="G565" i="23" s="1"/>
  <c r="G560" i="23"/>
  <c r="G559" i="23" s="1"/>
  <c r="G557" i="23"/>
  <c r="G553" i="23"/>
  <c r="G545" i="23"/>
  <c r="G540" i="23"/>
  <c r="G537" i="23"/>
  <c r="G532" i="23"/>
  <c r="G529" i="23"/>
  <c r="G527" i="23"/>
  <c r="G524" i="23"/>
  <c r="G522" i="23"/>
  <c r="G517" i="23"/>
  <c r="H435" i="23"/>
  <c r="H434" i="23" s="1"/>
  <c r="H428" i="23"/>
  <c r="H424" i="23"/>
  <c r="H422" i="23"/>
  <c r="H419" i="23"/>
  <c r="H418" i="23" s="1"/>
  <c r="G435" i="23"/>
  <c r="G434" i="23" s="1"/>
  <c r="G428" i="23"/>
  <c r="G424" i="23"/>
  <c r="G422" i="23"/>
  <c r="G419" i="23"/>
  <c r="G418" i="23" s="1"/>
  <c r="H369" i="23"/>
  <c r="H368" i="23" s="1"/>
  <c r="H365" i="23"/>
  <c r="H364" i="23" s="1"/>
  <c r="H359" i="23"/>
  <c r="H350" i="23"/>
  <c r="H343" i="23"/>
  <c r="H341" i="23"/>
  <c r="H337" i="23"/>
  <c r="H336" i="23" s="1"/>
  <c r="G369" i="23"/>
  <c r="G368" i="23" s="1"/>
  <c r="G365" i="23"/>
  <c r="G364" i="23" s="1"/>
  <c r="G359" i="23"/>
  <c r="G350" i="23"/>
  <c r="G343" i="23"/>
  <c r="G341" i="23"/>
  <c r="G337" i="23"/>
  <c r="G336" i="23" s="1"/>
  <c r="H332" i="23"/>
  <c r="H330" i="23"/>
  <c r="H327" i="23"/>
  <c r="H325" i="23"/>
  <c r="H320" i="23"/>
  <c r="H317" i="23"/>
  <c r="H316" i="23" s="1"/>
  <c r="H314" i="23"/>
  <c r="H310" i="23"/>
  <c r="H308" i="23"/>
  <c r="H299" i="23"/>
  <c r="H293" i="23"/>
  <c r="H290" i="23"/>
  <c r="G332" i="23"/>
  <c r="G330" i="23"/>
  <c r="G327" i="23"/>
  <c r="G325" i="23"/>
  <c r="G320" i="23"/>
  <c r="G317" i="23"/>
  <c r="G316" i="23" s="1"/>
  <c r="G314" i="23"/>
  <c r="G310" i="23"/>
  <c r="G308" i="23"/>
  <c r="G299" i="23"/>
  <c r="G293" i="23"/>
  <c r="G290" i="23"/>
  <c r="G953" i="23" l="1"/>
  <c r="G952" i="23" s="1"/>
  <c r="G951" i="23" s="1"/>
  <c r="H953" i="23"/>
  <c r="H952" i="23" s="1"/>
  <c r="H951" i="23" s="1"/>
  <c r="G329" i="23"/>
  <c r="H329" i="23"/>
  <c r="H340" i="23"/>
  <c r="H335" i="23" s="1"/>
  <c r="H334" i="23" s="1"/>
  <c r="H421" i="23"/>
  <c r="H417" i="23" s="1"/>
  <c r="H416" i="23" s="1"/>
  <c r="G568" i="23"/>
  <c r="G340" i="23"/>
  <c r="G335" i="23" s="1"/>
  <c r="G334" i="23" s="1"/>
  <c r="H521" i="23"/>
  <c r="H516" i="23" s="1"/>
  <c r="H536" i="23"/>
  <c r="H531" i="23" s="1"/>
  <c r="G536" i="23"/>
  <c r="G531" i="23" s="1"/>
  <c r="H568" i="23"/>
  <c r="G319" i="23"/>
  <c r="H319" i="23"/>
  <c r="H289" i="23"/>
  <c r="G421" i="23"/>
  <c r="G417" i="23" s="1"/>
  <c r="G416" i="23" s="1"/>
  <c r="G521" i="23"/>
  <c r="G516" i="23" s="1"/>
  <c r="H971" i="23"/>
  <c r="H963" i="23" s="1"/>
  <c r="H962" i="23" s="1"/>
  <c r="G971" i="23"/>
  <c r="G963" i="23" s="1"/>
  <c r="G962" i="23" s="1"/>
  <c r="H515" i="23" l="1"/>
  <c r="G515" i="23"/>
  <c r="N1340" i="23" l="1"/>
  <c r="N1339" i="23" s="1"/>
  <c r="N1318" i="23"/>
  <c r="N1317" i="23" s="1"/>
  <c r="N1313" i="23"/>
  <c r="N1309" i="23"/>
  <c r="N1308" i="23" s="1"/>
  <c r="N1306" i="23"/>
  <c r="N1298" i="23"/>
  <c r="N1297" i="23" s="1"/>
  <c r="N1293" i="23"/>
  <c r="N1292" i="23" s="1"/>
  <c r="N1291" i="23" s="1"/>
  <c r="N1284" i="23"/>
  <c r="N1283" i="23" s="1"/>
  <c r="N1262" i="23" s="1"/>
  <c r="N1259" i="23"/>
  <c r="N1257" i="23"/>
  <c r="N1255" i="23"/>
  <c r="N1251" i="23"/>
  <c r="N1250" i="23" s="1"/>
  <c r="N1247" i="23"/>
  <c r="N1246" i="23" s="1"/>
  <c r="N1244" i="23"/>
  <c r="N1242" i="23"/>
  <c r="N1238" i="23"/>
  <c r="N1237" i="23" s="1"/>
  <c r="N1187" i="23"/>
  <c r="N1186" i="23" s="1"/>
  <c r="N1184" i="23"/>
  <c r="N1173" i="23" s="1"/>
  <c r="N1166" i="23"/>
  <c r="N1147" i="23" s="1"/>
  <c r="N1144" i="23"/>
  <c r="N1142" i="23"/>
  <c r="N1139" i="23"/>
  <c r="N1134" i="23"/>
  <c r="N1133" i="23" s="1"/>
  <c r="N1121" i="23"/>
  <c r="N1120" i="23" s="1"/>
  <c r="N1118" i="23"/>
  <c r="N1117" i="23" s="1"/>
  <c r="N1115" i="23"/>
  <c r="N1097" i="23" s="1"/>
  <c r="N1095" i="23"/>
  <c r="N1093" i="23"/>
  <c r="N1088" i="23"/>
  <c r="N1087" i="23" s="1"/>
  <c r="N1085" i="23"/>
  <c r="N1083" i="23"/>
  <c r="N1074" i="23"/>
  <c r="N1073" i="23" s="1"/>
  <c r="N1071" i="23"/>
  <c r="N1069" i="23"/>
  <c r="N1050" i="23"/>
  <c r="N1048" i="23"/>
  <c r="N1045" i="23"/>
  <c r="N1039" i="23"/>
  <c r="N1038" i="23" s="1"/>
  <c r="N1037" i="23" s="1"/>
  <c r="N1036" i="23" s="1"/>
  <c r="N1034" i="23"/>
  <c r="N1033" i="23" s="1"/>
  <c r="N1031" i="23"/>
  <c r="N1027" i="23" s="1"/>
  <c r="N1025" i="23"/>
  <c r="N1023" i="23"/>
  <c r="N1013" i="23"/>
  <c r="N1012" i="23" s="1"/>
  <c r="N1008" i="23"/>
  <c r="N1007" i="23" s="1"/>
  <c r="N1004" i="23"/>
  <c r="N1003" i="23" s="1"/>
  <c r="N1001" i="23"/>
  <c r="N999" i="23"/>
  <c r="N996" i="23"/>
  <c r="N993" i="23"/>
  <c r="N992" i="23" s="1"/>
  <c r="N988" i="23"/>
  <c r="N986" i="23"/>
  <c r="N976" i="23"/>
  <c r="N965" i="23"/>
  <c r="N964" i="23" s="1"/>
  <c r="N960" i="23"/>
  <c r="N953" i="23" s="1"/>
  <c r="N905" i="23"/>
  <c r="N904" i="23" s="1"/>
  <c r="N902" i="23"/>
  <c r="N895" i="23"/>
  <c r="N892" i="23"/>
  <c r="N889" i="23"/>
  <c r="N888" i="23" s="1"/>
  <c r="N886" i="23"/>
  <c r="N885" i="23" s="1"/>
  <c r="N880" i="23"/>
  <c r="N870" i="23"/>
  <c r="N864" i="23"/>
  <c r="N859" i="23"/>
  <c r="N854" i="23"/>
  <c r="N850" i="23"/>
  <c r="N849" i="23" s="1"/>
  <c r="N845" i="23"/>
  <c r="N844" i="23" s="1"/>
  <c r="N842" i="23"/>
  <c r="N837" i="23"/>
  <c r="N832" i="23"/>
  <c r="N826" i="23"/>
  <c r="N824" i="23"/>
  <c r="N816" i="23"/>
  <c r="N810" i="23"/>
  <c r="N806" i="23"/>
  <c r="N801" i="23"/>
  <c r="N799" i="23"/>
  <c r="N792" i="23"/>
  <c r="N791" i="23" s="1"/>
  <c r="N775" i="23"/>
  <c r="N766" i="23"/>
  <c r="N745" i="23"/>
  <c r="N744" i="23" s="1"/>
  <c r="N740" i="23"/>
  <c r="N739" i="23" s="1"/>
  <c r="N738" i="23" s="1"/>
  <c r="N737" i="23" s="1"/>
  <c r="N735" i="23"/>
  <c r="N734" i="23" s="1"/>
  <c r="N733" i="23" s="1"/>
  <c r="N732" i="23" s="1"/>
  <c r="N723" i="23"/>
  <c r="N722" i="23" s="1"/>
  <c r="N721" i="23" s="1"/>
  <c r="N720" i="23" s="1"/>
  <c r="N716" i="23"/>
  <c r="N712" i="23"/>
  <c r="N706" i="23"/>
  <c r="N704" i="23"/>
  <c r="N698" i="23"/>
  <c r="N693" i="23"/>
  <c r="N689" i="23"/>
  <c r="N683" i="23"/>
  <c r="N682" i="23" s="1"/>
  <c r="N679" i="23"/>
  <c r="N678" i="23" s="1"/>
  <c r="N661" i="23"/>
  <c r="N660" i="23" s="1"/>
  <c r="N655" i="23"/>
  <c r="N654" i="23" s="1"/>
  <c r="N628" i="23"/>
  <c r="N627" i="23" s="1"/>
  <c r="N626" i="23" s="1"/>
  <c r="N625" i="23" s="1"/>
  <c r="N623" i="23"/>
  <c r="N622" i="23" s="1"/>
  <c r="N621" i="23" s="1"/>
  <c r="N620" i="23" s="1"/>
  <c r="N610" i="23"/>
  <c r="N606" i="23"/>
  <c r="N575" i="23"/>
  <c r="N574" i="23" s="1"/>
  <c r="N570" i="23"/>
  <c r="N569" i="23" s="1"/>
  <c r="N566" i="23"/>
  <c r="N565" i="23" s="1"/>
  <c r="N559" i="23"/>
  <c r="N536" i="23"/>
  <c r="N532" i="23"/>
  <c r="N527" i="23"/>
  <c r="N522" i="23"/>
  <c r="N517" i="23"/>
  <c r="N500" i="23"/>
  <c r="N479" i="23"/>
  <c r="N478" i="23" s="1"/>
  <c r="N472" i="23"/>
  <c r="N471" i="23" s="1"/>
  <c r="N459" i="23"/>
  <c r="N452" i="23"/>
  <c r="N447" i="23"/>
  <c r="N445" i="23"/>
  <c r="N435" i="23"/>
  <c r="N434" i="23" s="1"/>
  <c r="N422" i="23"/>
  <c r="N421" i="23" s="1"/>
  <c r="N419" i="23"/>
  <c r="N418" i="23" s="1"/>
  <c r="N410" i="23"/>
  <c r="N409" i="23" s="1"/>
  <c r="N407" i="23"/>
  <c r="N406" i="23" s="1"/>
  <c r="N404" i="23"/>
  <c r="N401" i="23"/>
  <c r="N399" i="23"/>
  <c r="N397" i="23"/>
  <c r="N368" i="23"/>
  <c r="N365" i="23"/>
  <c r="N364" i="23" s="1"/>
  <c r="N341" i="23"/>
  <c r="N340" i="23" s="1"/>
  <c r="N337" i="23"/>
  <c r="N336" i="23" s="1"/>
  <c r="N257" i="23"/>
  <c r="N256" i="23" s="1"/>
  <c r="N254" i="23"/>
  <c r="N253" i="23" s="1"/>
  <c r="N245" i="23"/>
  <c r="N244" i="23" s="1"/>
  <c r="N220" i="23"/>
  <c r="N205" i="23"/>
  <c r="N197" i="23"/>
  <c r="N188" i="23"/>
  <c r="N185" i="23"/>
  <c r="N184" i="23" s="1"/>
  <c r="N181" i="23"/>
  <c r="N180" i="23" s="1"/>
  <c r="N173" i="23"/>
  <c r="N172" i="23" s="1"/>
  <c r="N171" i="23" s="1"/>
  <c r="N162" i="23"/>
  <c r="N161" i="23" s="1"/>
  <c r="N157" i="23"/>
  <c r="N156" i="23" s="1"/>
  <c r="N141" i="23"/>
  <c r="N140" i="23" s="1"/>
  <c r="N139" i="23" s="1"/>
  <c r="N138" i="23" s="1"/>
  <c r="N136" i="23"/>
  <c r="N135" i="23" s="1"/>
  <c r="N104" i="23"/>
  <c r="N102" i="23"/>
  <c r="N100" i="23"/>
  <c r="N90" i="23"/>
  <c r="N87" i="23"/>
  <c r="N77" i="23"/>
  <c r="N65" i="23"/>
  <c r="N57" i="23"/>
  <c r="N47" i="23"/>
  <c r="N40" i="23"/>
  <c r="N39" i="23" s="1"/>
  <c r="N23" i="23"/>
  <c r="N22" i="23" s="1"/>
  <c r="N20" i="23"/>
  <c r="N19" i="23" s="1"/>
  <c r="N16" i="23"/>
  <c r="N15" i="23" s="1"/>
  <c r="N14" i="23" s="1"/>
  <c r="N12" i="23"/>
  <c r="N11" i="23" s="1"/>
  <c r="N10" i="23" s="1"/>
  <c r="M1340" i="23"/>
  <c r="M1339" i="23" s="1"/>
  <c r="M1318" i="23"/>
  <c r="M1317" i="23" s="1"/>
  <c r="M1313" i="23"/>
  <c r="M1309" i="23"/>
  <c r="M1308" i="23" s="1"/>
  <c r="M1306" i="23"/>
  <c r="M1298" i="23"/>
  <c r="M1297" i="23" s="1"/>
  <c r="M1293" i="23"/>
  <c r="M1292" i="23" s="1"/>
  <c r="M1291" i="23" s="1"/>
  <c r="M1284" i="23"/>
  <c r="M1283" i="23" s="1"/>
  <c r="M1262" i="23" s="1"/>
  <c r="M1259" i="23"/>
  <c r="M1257" i="23"/>
  <c r="M1255" i="23"/>
  <c r="M1251" i="23"/>
  <c r="M1250" i="23" s="1"/>
  <c r="M1247" i="23"/>
  <c r="M1246" i="23" s="1"/>
  <c r="M1244" i="23"/>
  <c r="M1242" i="23"/>
  <c r="M1238" i="23"/>
  <c r="M1237" i="23" s="1"/>
  <c r="M1187" i="23"/>
  <c r="M1186" i="23" s="1"/>
  <c r="M1184" i="23"/>
  <c r="M1173" i="23" s="1"/>
  <c r="M1166" i="23"/>
  <c r="M1147" i="23" s="1"/>
  <c r="M1144" i="23"/>
  <c r="M1142" i="23"/>
  <c r="M1139" i="23"/>
  <c r="M1134" i="23"/>
  <c r="M1133" i="23" s="1"/>
  <c r="M1129" i="23"/>
  <c r="M1121" i="23"/>
  <c r="M1118" i="23"/>
  <c r="M1117" i="23" s="1"/>
  <c r="M1115" i="23"/>
  <c r="M1097" i="23" s="1"/>
  <c r="M1095" i="23"/>
  <c r="M1093" i="23"/>
  <c r="M1088" i="23"/>
  <c r="M1087" i="23" s="1"/>
  <c r="M1085" i="23"/>
  <c r="M1083" i="23"/>
  <c r="M1074" i="23"/>
  <c r="M1073" i="23" s="1"/>
  <c r="M1071" i="23"/>
  <c r="M1069" i="23"/>
  <c r="M1050" i="23"/>
  <c r="M1048" i="23"/>
  <c r="M1045" i="23"/>
  <c r="M1039" i="23"/>
  <c r="M1038" i="23" s="1"/>
  <c r="M1037" i="23" s="1"/>
  <c r="M1036" i="23" s="1"/>
  <c r="M1034" i="23"/>
  <c r="M1033" i="23" s="1"/>
  <c r="M1031" i="23"/>
  <c r="M1027" i="23" s="1"/>
  <c r="M1025" i="23"/>
  <c r="M1023" i="23"/>
  <c r="M1013" i="23"/>
  <c r="M1012" i="23" s="1"/>
  <c r="M1008" i="23"/>
  <c r="M1007" i="23" s="1"/>
  <c r="M1004" i="23"/>
  <c r="M1003" i="23" s="1"/>
  <c r="M1001" i="23"/>
  <c r="M999" i="23"/>
  <c r="M996" i="23"/>
  <c r="M993" i="23"/>
  <c r="M992" i="23" s="1"/>
  <c r="M988" i="23"/>
  <c r="M986" i="23"/>
  <c r="M976" i="23"/>
  <c r="M965" i="23"/>
  <c r="M964" i="23" s="1"/>
  <c r="M960" i="23"/>
  <c r="M953" i="23" s="1"/>
  <c r="M905" i="23"/>
  <c r="M904" i="23" s="1"/>
  <c r="M902" i="23"/>
  <c r="M895" i="23"/>
  <c r="M892" i="23"/>
  <c r="M889" i="23"/>
  <c r="M888" i="23" s="1"/>
  <c r="M886" i="23"/>
  <c r="M885" i="23" s="1"/>
  <c r="M880" i="23"/>
  <c r="M870" i="23"/>
  <c r="M864" i="23"/>
  <c r="M859" i="23"/>
  <c r="M854" i="23"/>
  <c r="M850" i="23"/>
  <c r="M845" i="23"/>
  <c r="M844" i="23" s="1"/>
  <c r="M842" i="23"/>
  <c r="M837" i="23"/>
  <c r="M832" i="23"/>
  <c r="M826" i="23"/>
  <c r="M824" i="23"/>
  <c r="M816" i="23"/>
  <c r="M810" i="23"/>
  <c r="M806" i="23"/>
  <c r="M801" i="23"/>
  <c r="M799" i="23"/>
  <c r="M792" i="23"/>
  <c r="M791" i="23" s="1"/>
  <c r="M775" i="23"/>
  <c r="M766" i="23"/>
  <c r="M754" i="23"/>
  <c r="M745" i="23"/>
  <c r="M744" i="23" s="1"/>
  <c r="M740" i="23"/>
  <c r="M739" i="23" s="1"/>
  <c r="M738" i="23" s="1"/>
  <c r="M737" i="23" s="1"/>
  <c r="M735" i="23"/>
  <c r="M734" i="23" s="1"/>
  <c r="M733" i="23" s="1"/>
  <c r="M732" i="23" s="1"/>
  <c r="M723" i="23"/>
  <c r="M722" i="23" s="1"/>
  <c r="M721" i="23" s="1"/>
  <c r="M720" i="23" s="1"/>
  <c r="M716" i="23"/>
  <c r="M712" i="23"/>
  <c r="M706" i="23"/>
  <c r="M704" i="23"/>
  <c r="M698" i="23"/>
  <c r="M693" i="23"/>
  <c r="M689" i="23"/>
  <c r="M683" i="23"/>
  <c r="M682" i="23" s="1"/>
  <c r="M679" i="23"/>
  <c r="M678" i="23" s="1"/>
  <c r="M661" i="23"/>
  <c r="M660" i="23" s="1"/>
  <c r="M655" i="23"/>
  <c r="M654" i="23" s="1"/>
  <c r="M628" i="23"/>
  <c r="M627" i="23" s="1"/>
  <c r="M626" i="23" s="1"/>
  <c r="M625" i="23" s="1"/>
  <c r="M623" i="23"/>
  <c r="M622" i="23" s="1"/>
  <c r="M621" i="23" s="1"/>
  <c r="M620" i="23" s="1"/>
  <c r="M610" i="23"/>
  <c r="M606" i="23"/>
  <c r="M575" i="23"/>
  <c r="M574" i="23" s="1"/>
  <c r="M570" i="23"/>
  <c r="M569" i="23" s="1"/>
  <c r="M566" i="23"/>
  <c r="M565" i="23" s="1"/>
  <c r="M559" i="23"/>
  <c r="M536" i="23"/>
  <c r="M532" i="23"/>
  <c r="M527" i="23"/>
  <c r="M522" i="23"/>
  <c r="M517" i="23"/>
  <c r="M500" i="23"/>
  <c r="M484" i="23" s="1"/>
  <c r="M479" i="23"/>
  <c r="M478" i="23" s="1"/>
  <c r="M472" i="23"/>
  <c r="M471" i="23" s="1"/>
  <c r="M459" i="23"/>
  <c r="M452" i="23"/>
  <c r="M447" i="23"/>
  <c r="M445" i="23"/>
  <c r="M435" i="23"/>
  <c r="M434" i="23" s="1"/>
  <c r="M422" i="23"/>
  <c r="M421" i="23" s="1"/>
  <c r="M419" i="23"/>
  <c r="M418" i="23" s="1"/>
  <c r="M410" i="23"/>
  <c r="M409" i="23" s="1"/>
  <c r="M407" i="23"/>
  <c r="M406" i="23" s="1"/>
  <c r="M404" i="23"/>
  <c r="M401" i="23"/>
  <c r="M399" i="23"/>
  <c r="M397" i="23"/>
  <c r="M368" i="23"/>
  <c r="M365" i="23"/>
  <c r="M364" i="23" s="1"/>
  <c r="M341" i="23"/>
  <c r="M340" i="23" s="1"/>
  <c r="M337" i="23"/>
  <c r="M336" i="23" s="1"/>
  <c r="M257" i="23"/>
  <c r="M256" i="23" s="1"/>
  <c r="M254" i="23"/>
  <c r="M253" i="23" s="1"/>
  <c r="M245" i="23"/>
  <c r="M244" i="23" s="1"/>
  <c r="M220" i="23"/>
  <c r="M197" i="23"/>
  <c r="M188" i="23"/>
  <c r="M185" i="23"/>
  <c r="M184" i="23" s="1"/>
  <c r="M181" i="23"/>
  <c r="M180" i="23" s="1"/>
  <c r="M173" i="23"/>
  <c r="M172" i="23" s="1"/>
  <c r="M171" i="23" s="1"/>
  <c r="M162" i="23"/>
  <c r="M161" i="23" s="1"/>
  <c r="M157" i="23"/>
  <c r="M156" i="23" s="1"/>
  <c r="M141" i="23"/>
  <c r="M140" i="23" s="1"/>
  <c r="M139" i="23" s="1"/>
  <c r="M138" i="23" s="1"/>
  <c r="M136" i="23"/>
  <c r="M135" i="23" s="1"/>
  <c r="M104" i="23"/>
  <c r="M102" i="23"/>
  <c r="M100" i="23"/>
  <c r="M90" i="23"/>
  <c r="M87" i="23"/>
  <c r="M77" i="23"/>
  <c r="M65" i="23"/>
  <c r="M57" i="23"/>
  <c r="M47" i="23"/>
  <c r="M40" i="23"/>
  <c r="M39" i="23" s="1"/>
  <c r="M23" i="23"/>
  <c r="M22" i="23" s="1"/>
  <c r="M20" i="23"/>
  <c r="M19" i="23" s="1"/>
  <c r="M16" i="23"/>
  <c r="M15" i="23" s="1"/>
  <c r="M14" i="23" s="1"/>
  <c r="M12" i="23"/>
  <c r="M11" i="23" s="1"/>
  <c r="M10" i="23" s="1"/>
  <c r="I1340" i="23"/>
  <c r="I1339" i="23" s="1"/>
  <c r="I1334" i="23"/>
  <c r="I1333" i="23" s="1"/>
  <c r="I1328" i="23"/>
  <c r="I1321" i="23"/>
  <c r="I1318" i="23"/>
  <c r="I1317" i="23" s="1"/>
  <c r="I1313" i="23"/>
  <c r="I1309" i="23"/>
  <c r="I1308" i="23" s="1"/>
  <c r="I1306" i="23"/>
  <c r="I1303" i="23"/>
  <c r="I1298" i="23"/>
  <c r="I1297" i="23" s="1"/>
  <c r="I1293" i="23"/>
  <c r="I1292" i="23" s="1"/>
  <c r="I1291" i="23" s="1"/>
  <c r="I1518" i="23" s="1"/>
  <c r="C23" i="5" s="1"/>
  <c r="H23" i="5" s="1"/>
  <c r="I1284" i="23"/>
  <c r="I1283" i="23" s="1"/>
  <c r="I1262" i="23" s="1"/>
  <c r="I1259" i="23"/>
  <c r="I1257" i="23"/>
  <c r="I1255" i="23"/>
  <c r="I1251" i="23"/>
  <c r="I1250" i="23" s="1"/>
  <c r="I1247" i="23"/>
  <c r="I1246" i="23" s="1"/>
  <c r="I1244" i="23"/>
  <c r="I1242" i="23"/>
  <c r="I1238" i="23"/>
  <c r="I1237" i="23" s="1"/>
  <c r="I1187" i="23"/>
  <c r="I1186" i="23" s="1"/>
  <c r="I1184" i="23"/>
  <c r="I1181" i="23"/>
  <c r="I1166" i="23"/>
  <c r="I1159" i="23"/>
  <c r="I1153" i="23"/>
  <c r="I1148" i="23"/>
  <c r="I1144" i="23"/>
  <c r="I1142" i="23"/>
  <c r="I1139" i="23"/>
  <c r="I1134" i="23"/>
  <c r="I1133" i="23" s="1"/>
  <c r="I1129" i="23"/>
  <c r="I1123" i="23"/>
  <c r="I1121" i="23"/>
  <c r="I1118" i="23"/>
  <c r="I1117" i="23" s="1"/>
  <c r="I1115" i="23"/>
  <c r="I1106" i="23"/>
  <c r="I1102" i="23"/>
  <c r="I1098" i="23"/>
  <c r="I1095" i="23"/>
  <c r="I1093" i="23"/>
  <c r="I1088" i="23"/>
  <c r="I1087" i="23" s="1"/>
  <c r="I1085" i="23"/>
  <c r="I1083" i="23"/>
  <c r="I1077" i="23"/>
  <c r="I1074" i="23"/>
  <c r="I1073" i="23" s="1"/>
  <c r="I1071" i="23"/>
  <c r="I1069" i="23"/>
  <c r="I1064" i="23"/>
  <c r="I1058" i="23"/>
  <c r="I1054" i="23"/>
  <c r="I1050" i="23"/>
  <c r="I1048" i="23"/>
  <c r="I1045" i="23"/>
  <c r="I1039" i="23"/>
  <c r="I1038" i="23" s="1"/>
  <c r="I1037" i="23" s="1"/>
  <c r="I1036" i="23" s="1"/>
  <c r="I1034" i="23"/>
  <c r="I1033" i="23" s="1"/>
  <c r="I1031" i="23"/>
  <c r="I1028" i="23"/>
  <c r="I1025" i="23"/>
  <c r="I1023" i="23"/>
  <c r="I1013" i="23"/>
  <c r="I1012" i="23" s="1"/>
  <c r="I1008" i="23"/>
  <c r="I1007" i="23" s="1"/>
  <c r="I1004" i="23"/>
  <c r="I1003" i="23" s="1"/>
  <c r="I1001" i="23"/>
  <c r="I999" i="23"/>
  <c r="I993" i="23"/>
  <c r="I992" i="23" s="1"/>
  <c r="I988" i="23"/>
  <c r="I986" i="23"/>
  <c r="I980" i="23"/>
  <c r="I976" i="23"/>
  <c r="I972" i="23"/>
  <c r="I965" i="23"/>
  <c r="I964" i="23" s="1"/>
  <c r="I960" i="23"/>
  <c r="I957" i="23"/>
  <c r="I954" i="23"/>
  <c r="I905" i="23"/>
  <c r="I904" i="23" s="1"/>
  <c r="I902" i="23"/>
  <c r="I895" i="23"/>
  <c r="I892" i="23"/>
  <c r="I889" i="23"/>
  <c r="I888" i="23" s="1"/>
  <c r="I886" i="23"/>
  <c r="I885" i="23" s="1"/>
  <c r="I870" i="23"/>
  <c r="I864" i="23"/>
  <c r="I859" i="23"/>
  <c r="I854" i="23"/>
  <c r="I850" i="23"/>
  <c r="I845" i="23"/>
  <c r="I844" i="23" s="1"/>
  <c r="I842" i="23"/>
  <c r="I837" i="23"/>
  <c r="I832" i="23"/>
  <c r="I826" i="23"/>
  <c r="I824" i="23"/>
  <c r="I816" i="23"/>
  <c r="I810" i="23"/>
  <c r="I806" i="23"/>
  <c r="I801" i="23"/>
  <c r="I799" i="23"/>
  <c r="I792" i="23"/>
  <c r="I791" i="23" s="1"/>
  <c r="I775" i="23"/>
  <c r="I766" i="23"/>
  <c r="I744" i="23"/>
  <c r="I740" i="23"/>
  <c r="I739" i="23" s="1"/>
  <c r="I738" i="23" s="1"/>
  <c r="I737" i="23" s="1"/>
  <c r="I735" i="23"/>
  <c r="I734" i="23" s="1"/>
  <c r="I733" i="23" s="1"/>
  <c r="I732" i="23" s="1"/>
  <c r="I723" i="23"/>
  <c r="I722" i="23" s="1"/>
  <c r="I721" i="23" s="1"/>
  <c r="I720" i="23" s="1"/>
  <c r="I716" i="23"/>
  <c r="I712" i="23"/>
  <c r="I706" i="23"/>
  <c r="I704" i="23"/>
  <c r="I698" i="23"/>
  <c r="I693" i="23"/>
  <c r="I689" i="23"/>
  <c r="I683" i="23"/>
  <c r="I682" i="23" s="1"/>
  <c r="I679" i="23"/>
  <c r="I678" i="23" s="1"/>
  <c r="I661" i="23"/>
  <c r="I660" i="23" s="1"/>
  <c r="I655" i="23"/>
  <c r="I654" i="23" s="1"/>
  <c r="I628" i="23"/>
  <c r="I627" i="23" s="1"/>
  <c r="I626" i="23" s="1"/>
  <c r="I623" i="23"/>
  <c r="I622" i="23" s="1"/>
  <c r="I621" i="23" s="1"/>
  <c r="I620" i="23" s="1"/>
  <c r="I610" i="23"/>
  <c r="I606" i="23"/>
  <c r="I575" i="23"/>
  <c r="I574" i="23" s="1"/>
  <c r="I570" i="23"/>
  <c r="I569" i="23" s="1"/>
  <c r="I566" i="23"/>
  <c r="I565" i="23" s="1"/>
  <c r="I560" i="23"/>
  <c r="I559" i="23" s="1"/>
  <c r="I553" i="23"/>
  <c r="I545" i="23"/>
  <c r="I532" i="23"/>
  <c r="I527" i="23"/>
  <c r="I524" i="23"/>
  <c r="I522" i="23"/>
  <c r="I517" i="23"/>
  <c r="I500" i="23"/>
  <c r="I493" i="23"/>
  <c r="I485" i="23"/>
  <c r="I479" i="23"/>
  <c r="I478" i="23" s="1"/>
  <c r="I472" i="23"/>
  <c r="I471" i="23" s="1"/>
  <c r="I459" i="23"/>
  <c r="I452" i="23"/>
  <c r="I447" i="23"/>
  <c r="I445" i="23"/>
  <c r="I435" i="23"/>
  <c r="I434" i="23" s="1"/>
  <c r="I428" i="23"/>
  <c r="I424" i="23"/>
  <c r="I422" i="23"/>
  <c r="I419" i="23"/>
  <c r="I418" i="23" s="1"/>
  <c r="I410" i="23"/>
  <c r="I409" i="23" s="1"/>
  <c r="I407" i="23"/>
  <c r="I406" i="23" s="1"/>
  <c r="I404" i="23"/>
  <c r="I401" i="23"/>
  <c r="I399" i="23"/>
  <c r="I397" i="23"/>
  <c r="I369" i="23"/>
  <c r="I368" i="23" s="1"/>
  <c r="I365" i="23"/>
  <c r="I364" i="23" s="1"/>
  <c r="I359" i="23"/>
  <c r="I350" i="23"/>
  <c r="I343" i="23"/>
  <c r="I341" i="23"/>
  <c r="I337" i="23"/>
  <c r="I336" i="23" s="1"/>
  <c r="I332" i="23"/>
  <c r="I330" i="23"/>
  <c r="I327" i="23"/>
  <c r="I320" i="23"/>
  <c r="I317" i="23"/>
  <c r="I316" i="23" s="1"/>
  <c r="I314" i="23"/>
  <c r="I310" i="23"/>
  <c r="I308" i="23"/>
  <c r="I299" i="23"/>
  <c r="I267" i="23"/>
  <c r="I265" i="23"/>
  <c r="I260" i="23"/>
  <c r="I257" i="23"/>
  <c r="I256" i="23" s="1"/>
  <c r="I254" i="23"/>
  <c r="I253" i="23" s="1"/>
  <c r="I250" i="23"/>
  <c r="I245" i="23"/>
  <c r="I236" i="23"/>
  <c r="I230" i="23"/>
  <c r="I223" i="23"/>
  <c r="I205" i="23"/>
  <c r="I197" i="23"/>
  <c r="I188" i="23"/>
  <c r="I185" i="23"/>
  <c r="I184" i="23" s="1"/>
  <c r="I181" i="23"/>
  <c r="I180" i="23" s="1"/>
  <c r="I141" i="23"/>
  <c r="I140" i="23" s="1"/>
  <c r="I139" i="23" s="1"/>
  <c r="I138" i="23" s="1"/>
  <c r="I136" i="23"/>
  <c r="I135" i="23" s="1"/>
  <c r="I104" i="23"/>
  <c r="I102" i="23"/>
  <c r="I100" i="23"/>
  <c r="I90" i="23"/>
  <c r="I87" i="23"/>
  <c r="I77" i="23"/>
  <c r="I65" i="23"/>
  <c r="I57" i="23"/>
  <c r="I47" i="23"/>
  <c r="I46" i="23" s="1"/>
  <c r="I43" i="23" s="1"/>
  <c r="I39" i="23"/>
  <c r="I23" i="23"/>
  <c r="I22" i="23" s="1"/>
  <c r="I20" i="23"/>
  <c r="I19" i="23" s="1"/>
  <c r="I16" i="23"/>
  <c r="I15" i="23" s="1"/>
  <c r="I14" i="23" s="1"/>
  <c r="I12" i="23"/>
  <c r="I11" i="23" s="1"/>
  <c r="I10" i="23" s="1"/>
  <c r="H1340" i="23"/>
  <c r="H1339" i="23" s="1"/>
  <c r="H1334" i="23"/>
  <c r="H1333" i="23" s="1"/>
  <c r="H1328" i="23"/>
  <c r="H1321" i="23"/>
  <c r="H1318" i="23"/>
  <c r="H1317" i="23" s="1"/>
  <c r="H1313" i="23"/>
  <c r="H1309" i="23"/>
  <c r="H1308" i="23" s="1"/>
  <c r="H1306" i="23"/>
  <c r="H1303" i="23"/>
  <c r="H1298" i="23"/>
  <c r="H1297" i="23" s="1"/>
  <c r="H1293" i="23"/>
  <c r="H1292" i="23" s="1"/>
  <c r="H1284" i="23"/>
  <c r="H1283" i="23" s="1"/>
  <c r="H1266" i="23"/>
  <c r="H1259" i="23"/>
  <c r="H1257" i="23"/>
  <c r="H1255" i="23"/>
  <c r="H1251" i="23"/>
  <c r="H1250" i="23" s="1"/>
  <c r="H1247" i="23"/>
  <c r="H1246" i="23" s="1"/>
  <c r="H1244" i="23"/>
  <c r="H1242" i="23"/>
  <c r="H1238" i="23"/>
  <c r="H1237" i="23" s="1"/>
  <c r="H1187" i="23"/>
  <c r="H1186" i="23" s="1"/>
  <c r="H1184" i="23"/>
  <c r="H1181" i="23"/>
  <c r="H1168" i="23"/>
  <c r="H1166" i="23"/>
  <c r="H1159" i="23"/>
  <c r="H1153" i="23"/>
  <c r="H1148" i="23"/>
  <c r="H1138" i="23"/>
  <c r="H1134" i="23"/>
  <c r="H1133" i="23"/>
  <c r="H1129" i="23"/>
  <c r="H1123" i="23"/>
  <c r="H1121" i="23"/>
  <c r="H1118" i="23"/>
  <c r="H1117" i="23" s="1"/>
  <c r="H1115" i="23"/>
  <c r="H1106" i="23"/>
  <c r="H1092" i="23"/>
  <c r="H1088" i="23"/>
  <c r="H1087" i="23" s="1"/>
  <c r="H1085" i="23"/>
  <c r="H1083" i="23"/>
  <c r="H1077" i="23"/>
  <c r="H1074" i="23"/>
  <c r="H1073" i="23" s="1"/>
  <c r="H1071" i="23"/>
  <c r="H1069" i="23"/>
  <c r="H1064" i="23"/>
  <c r="H1058" i="23"/>
  <c r="H1054" i="23"/>
  <c r="H1044" i="23"/>
  <c r="H1039" i="23"/>
  <c r="H1038" i="23" s="1"/>
  <c r="H1037" i="23" s="1"/>
  <c r="H1036" i="23" s="1"/>
  <c r="H1034" i="23"/>
  <c r="H1033" i="23" s="1"/>
  <c r="H1031" i="23"/>
  <c r="H1028" i="23"/>
  <c r="H1025" i="23"/>
  <c r="H1023" i="23"/>
  <c r="H1016" i="23"/>
  <c r="H1013" i="23"/>
  <c r="H1012" i="23" s="1"/>
  <c r="H1008" i="23"/>
  <c r="H1007" i="23" s="1"/>
  <c r="H1004" i="23"/>
  <c r="H1001" i="23"/>
  <c r="H999" i="23"/>
  <c r="H996" i="23"/>
  <c r="H993" i="23"/>
  <c r="H992" i="23" s="1"/>
  <c r="H905" i="23"/>
  <c r="H904" i="23" s="1"/>
  <c r="H902" i="23"/>
  <c r="H895" i="23"/>
  <c r="H892" i="23"/>
  <c r="H889" i="23"/>
  <c r="H888" i="23" s="1"/>
  <c r="H886" i="23"/>
  <c r="H885" i="23" s="1"/>
  <c r="H880" i="23"/>
  <c r="H870" i="23"/>
  <c r="H864" i="23"/>
  <c r="H859" i="23"/>
  <c r="H854" i="23"/>
  <c r="H850" i="23"/>
  <c r="H845" i="23"/>
  <c r="H844" i="23" s="1"/>
  <c r="H842" i="23"/>
  <c r="H837" i="23"/>
  <c r="H832" i="23"/>
  <c r="H826" i="23"/>
  <c r="H824" i="23"/>
  <c r="H816" i="23"/>
  <c r="H810" i="23"/>
  <c r="H806" i="23"/>
  <c r="H801" i="23"/>
  <c r="H799" i="23"/>
  <c r="H797" i="23"/>
  <c r="H792" i="23"/>
  <c r="H791" i="23" s="1"/>
  <c r="H781" i="23"/>
  <c r="H775" i="23"/>
  <c r="H766" i="23"/>
  <c r="H754" i="23"/>
  <c r="H745" i="23"/>
  <c r="H744" i="23" s="1"/>
  <c r="H740" i="23"/>
  <c r="H739" i="23" s="1"/>
  <c r="H738" i="23" s="1"/>
  <c r="H737" i="23" s="1"/>
  <c r="H735" i="23"/>
  <c r="H734" i="23" s="1"/>
  <c r="H733" i="23" s="1"/>
  <c r="H732" i="23" s="1"/>
  <c r="H723" i="23"/>
  <c r="H722" i="23" s="1"/>
  <c r="H721" i="23" s="1"/>
  <c r="H720" i="23" s="1"/>
  <c r="H716" i="23"/>
  <c r="H712" i="23"/>
  <c r="H706" i="23"/>
  <c r="H704" i="23"/>
  <c r="H698" i="23"/>
  <c r="H693" i="23"/>
  <c r="H689" i="23"/>
  <c r="H683" i="23"/>
  <c r="H682" i="23" s="1"/>
  <c r="H679" i="23"/>
  <c r="H678" i="23" s="1"/>
  <c r="H661" i="23"/>
  <c r="H660" i="23" s="1"/>
  <c r="H655" i="23"/>
  <c r="H654" i="23" s="1"/>
  <c r="H628" i="23"/>
  <c r="H627" i="23" s="1"/>
  <c r="H626" i="23" s="1"/>
  <c r="H625" i="23" s="1"/>
  <c r="H623" i="23"/>
  <c r="H622" i="23" s="1"/>
  <c r="H621" i="23" s="1"/>
  <c r="H620" i="23" s="1"/>
  <c r="H610" i="23"/>
  <c r="H606" i="23"/>
  <c r="H500" i="23"/>
  <c r="H493" i="23"/>
  <c r="H485" i="23"/>
  <c r="H479" i="23"/>
  <c r="H478" i="23" s="1"/>
  <c r="H472" i="23"/>
  <c r="H471" i="23" s="1"/>
  <c r="H459" i="23"/>
  <c r="H452" i="23"/>
  <c r="H447" i="23"/>
  <c r="H445" i="23"/>
  <c r="H410" i="23"/>
  <c r="H409" i="23" s="1"/>
  <c r="H407" i="23"/>
  <c r="H406" i="23" s="1"/>
  <c r="H404" i="23"/>
  <c r="H401" i="23"/>
  <c r="H399" i="23"/>
  <c r="H397" i="23"/>
  <c r="H267" i="23"/>
  <c r="H265" i="23"/>
  <c r="H260" i="23"/>
  <c r="H257" i="23"/>
  <c r="H256" i="23" s="1"/>
  <c r="H254" i="23"/>
  <c r="H253" i="23" s="1"/>
  <c r="H250" i="23"/>
  <c r="H245" i="23"/>
  <c r="H242" i="23"/>
  <c r="H240" i="23"/>
  <c r="H236" i="23"/>
  <c r="H230" i="23"/>
  <c r="H223" i="23"/>
  <c r="H221" i="23"/>
  <c r="H205" i="23"/>
  <c r="H197" i="23"/>
  <c r="H188" i="23"/>
  <c r="H185" i="23"/>
  <c r="H184" i="23" s="1"/>
  <c r="H181" i="23"/>
  <c r="H180" i="23" s="1"/>
  <c r="H173" i="23"/>
  <c r="H172" i="23" s="1"/>
  <c r="H171" i="23" s="1"/>
  <c r="H162" i="23"/>
  <c r="H161" i="23" s="1"/>
  <c r="H157" i="23"/>
  <c r="H156" i="23" s="1"/>
  <c r="H141" i="23"/>
  <c r="H140" i="23" s="1"/>
  <c r="H139" i="23" s="1"/>
  <c r="H138" i="23" s="1"/>
  <c r="H136" i="23"/>
  <c r="H135" i="23" s="1"/>
  <c r="H104" i="23"/>
  <c r="H102" i="23"/>
  <c r="H100" i="23"/>
  <c r="H90" i="23"/>
  <c r="H87" i="23"/>
  <c r="H77" i="23"/>
  <c r="H65" i="23"/>
  <c r="H57" i="23"/>
  <c r="H47" i="23"/>
  <c r="H46" i="23" s="1"/>
  <c r="H40" i="23"/>
  <c r="H39" i="23" s="1"/>
  <c r="H23" i="23"/>
  <c r="H22" i="23" s="1"/>
  <c r="H20" i="23"/>
  <c r="H19" i="23" s="1"/>
  <c r="H16" i="23"/>
  <c r="H15" i="23" s="1"/>
  <c r="H14" i="23" s="1"/>
  <c r="H12" i="23"/>
  <c r="H11" i="23" s="1"/>
  <c r="H10" i="23" s="1"/>
  <c r="G1340" i="23"/>
  <c r="G1339" i="23" s="1"/>
  <c r="G1334" i="23"/>
  <c r="G1333" i="23" s="1"/>
  <c r="G1328" i="23"/>
  <c r="G1321" i="23"/>
  <c r="G1318" i="23"/>
  <c r="G1317" i="23" s="1"/>
  <c r="G1313" i="23"/>
  <c r="G1309" i="23"/>
  <c r="G1308" i="23" s="1"/>
  <c r="G1306" i="23"/>
  <c r="G1303" i="23"/>
  <c r="G1298" i="23"/>
  <c r="G1297" i="23" s="1"/>
  <c r="G1293" i="23"/>
  <c r="G1292" i="23" s="1"/>
  <c r="G1284" i="23"/>
  <c r="G1283" i="23" s="1"/>
  <c r="G1266" i="23"/>
  <c r="G1259" i="23"/>
  <c r="G1257" i="23"/>
  <c r="G1255" i="23"/>
  <c r="G1251" i="23"/>
  <c r="G1250" i="23" s="1"/>
  <c r="G1247" i="23"/>
  <c r="G1246" i="23" s="1"/>
  <c r="G1244" i="23"/>
  <c r="G1242" i="23"/>
  <c r="G1238" i="23"/>
  <c r="G1237" i="23" s="1"/>
  <c r="G1187" i="23"/>
  <c r="G1186" i="23" s="1"/>
  <c r="G1184" i="23"/>
  <c r="G1181" i="23"/>
  <c r="G1168" i="23"/>
  <c r="G1166" i="23"/>
  <c r="G1159" i="23"/>
  <c r="G1153" i="23"/>
  <c r="G1148" i="23"/>
  <c r="G1138" i="23"/>
  <c r="G1134" i="23"/>
  <c r="G1133" i="23"/>
  <c r="G1129" i="23"/>
  <c r="G1123" i="23"/>
  <c r="G1121" i="23"/>
  <c r="G1118" i="23"/>
  <c r="G1117" i="23" s="1"/>
  <c r="G1115" i="23"/>
  <c r="G1106" i="23"/>
  <c r="G1092" i="23"/>
  <c r="G1088" i="23"/>
  <c r="G1087" i="23" s="1"/>
  <c r="G1085" i="23"/>
  <c r="G1083" i="23"/>
  <c r="G1077" i="23"/>
  <c r="G1074" i="23"/>
  <c r="G1073" i="23" s="1"/>
  <c r="G1071" i="23"/>
  <c r="G1069" i="23"/>
  <c r="G1064" i="23"/>
  <c r="G1058" i="23"/>
  <c r="G1054" i="23"/>
  <c r="G1044" i="23"/>
  <c r="G1039" i="23"/>
  <c r="G1038" i="23" s="1"/>
  <c r="G1037" i="23" s="1"/>
  <c r="G1036" i="23" s="1"/>
  <c r="G1034" i="23"/>
  <c r="G1033" i="23" s="1"/>
  <c r="G1031" i="23"/>
  <c r="G1028" i="23"/>
  <c r="G1025" i="23"/>
  <c r="G1023" i="23"/>
  <c r="G1016" i="23"/>
  <c r="G1013" i="23"/>
  <c r="G1012" i="23" s="1"/>
  <c r="G1008" i="23"/>
  <c r="G1007" i="23" s="1"/>
  <c r="G1004" i="23"/>
  <c r="G1001" i="23"/>
  <c r="G999" i="23"/>
  <c r="G996" i="23"/>
  <c r="G993" i="23"/>
  <c r="G992" i="23" s="1"/>
  <c r="G905" i="23"/>
  <c r="G904" i="23" s="1"/>
  <c r="G902" i="23"/>
  <c r="G895" i="23"/>
  <c r="G892" i="23"/>
  <c r="G889" i="23"/>
  <c r="G888" i="23" s="1"/>
  <c r="G886" i="23"/>
  <c r="G885" i="23" s="1"/>
  <c r="G880" i="23"/>
  <c r="G870" i="23"/>
  <c r="G864" i="23"/>
  <c r="G859" i="23"/>
  <c r="G854" i="23"/>
  <c r="G850" i="23"/>
  <c r="G845" i="23"/>
  <c r="G844" i="23" s="1"/>
  <c r="G842" i="23"/>
  <c r="G837" i="23"/>
  <c r="G832" i="23"/>
  <c r="G826" i="23"/>
  <c r="G824" i="23"/>
  <c r="G816" i="23"/>
  <c r="G810" i="23"/>
  <c r="G806" i="23"/>
  <c r="G801" i="23"/>
  <c r="G799" i="23"/>
  <c r="G797" i="23"/>
  <c r="G792" i="23"/>
  <c r="G791" i="23" s="1"/>
  <c r="G781" i="23"/>
  <c r="G775" i="23"/>
  <c r="G766" i="23"/>
  <c r="G754" i="23"/>
  <c r="G745" i="23"/>
  <c r="G744" i="23" s="1"/>
  <c r="G740" i="23"/>
  <c r="G739" i="23" s="1"/>
  <c r="G738" i="23" s="1"/>
  <c r="G737" i="23" s="1"/>
  <c r="G735" i="23"/>
  <c r="G734" i="23" s="1"/>
  <c r="G733" i="23" s="1"/>
  <c r="G732" i="23" s="1"/>
  <c r="G723" i="23"/>
  <c r="G722" i="23" s="1"/>
  <c r="G721" i="23" s="1"/>
  <c r="G720" i="23" s="1"/>
  <c r="G716" i="23"/>
  <c r="G712" i="23"/>
  <c r="G706" i="23"/>
  <c r="G704" i="23"/>
  <c r="G698" i="23"/>
  <c r="G693" i="23"/>
  <c r="G689" i="23"/>
  <c r="G683" i="23"/>
  <c r="G682" i="23" s="1"/>
  <c r="G679" i="23"/>
  <c r="G678" i="23" s="1"/>
  <c r="G661" i="23"/>
  <c r="G660" i="23" s="1"/>
  <c r="G655" i="23"/>
  <c r="G654" i="23" s="1"/>
  <c r="G628" i="23"/>
  <c r="G627" i="23" s="1"/>
  <c r="G626" i="23" s="1"/>
  <c r="G625" i="23" s="1"/>
  <c r="G623" i="23"/>
  <c r="G622" i="23" s="1"/>
  <c r="G621" i="23" s="1"/>
  <c r="G620" i="23" s="1"/>
  <c r="G610" i="23"/>
  <c r="G606" i="23"/>
  <c r="G500" i="23"/>
  <c r="G493" i="23"/>
  <c r="G485" i="23"/>
  <c r="G479" i="23"/>
  <c r="G478" i="23" s="1"/>
  <c r="G472" i="23"/>
  <c r="G471" i="23" s="1"/>
  <c r="G459" i="23"/>
  <c r="G452" i="23"/>
  <c r="G447" i="23"/>
  <c r="G445" i="23"/>
  <c r="G410" i="23"/>
  <c r="G409" i="23" s="1"/>
  <c r="G407" i="23"/>
  <c r="G406" i="23" s="1"/>
  <c r="G404" i="23"/>
  <c r="G401" i="23"/>
  <c r="G399" i="23"/>
  <c r="G397" i="23"/>
  <c r="G289" i="23"/>
  <c r="G267" i="23"/>
  <c r="G265" i="23"/>
  <c r="G260" i="23"/>
  <c r="G257" i="23"/>
  <c r="G256" i="23" s="1"/>
  <c r="G254" i="23"/>
  <c r="G253" i="23" s="1"/>
  <c r="G250" i="23"/>
  <c r="G245" i="23"/>
  <c r="G242" i="23"/>
  <c r="G240" i="23"/>
  <c r="G236" i="23"/>
  <c r="G230" i="23"/>
  <c r="G223" i="23"/>
  <c r="G221" i="23"/>
  <c r="G205" i="23"/>
  <c r="G197" i="23"/>
  <c r="G188" i="23"/>
  <c r="G185" i="23"/>
  <c r="G184" i="23" s="1"/>
  <c r="G181" i="23"/>
  <c r="G180" i="23" s="1"/>
  <c r="G173" i="23"/>
  <c r="G172" i="23" s="1"/>
  <c r="G171" i="23" s="1"/>
  <c r="G162" i="23"/>
  <c r="G161" i="23" s="1"/>
  <c r="G157" i="23"/>
  <c r="G156" i="23" s="1"/>
  <c r="G141" i="23"/>
  <c r="G140" i="23" s="1"/>
  <c r="G139" i="23" s="1"/>
  <c r="G136" i="23"/>
  <c r="G135" i="23" s="1"/>
  <c r="G104" i="23"/>
  <c r="G102" i="23"/>
  <c r="G100" i="23"/>
  <c r="G90" i="23"/>
  <c r="G87" i="23"/>
  <c r="G77" i="23"/>
  <c r="G65" i="23"/>
  <c r="G57" i="23"/>
  <c r="G47" i="23"/>
  <c r="G46" i="23" s="1"/>
  <c r="G40" i="23"/>
  <c r="G39" i="23" s="1"/>
  <c r="G23" i="23"/>
  <c r="G22" i="23" s="1"/>
  <c r="G20" i="23"/>
  <c r="G19" i="23" s="1"/>
  <c r="G16" i="23"/>
  <c r="G15" i="23" s="1"/>
  <c r="G14" i="23" s="1"/>
  <c r="G12" i="23"/>
  <c r="G11" i="23" s="1"/>
  <c r="G10" i="23" s="1"/>
  <c r="F639" i="23"/>
  <c r="F637" i="23" s="1"/>
  <c r="F634" i="23" s="1"/>
  <c r="F630" i="23" s="1"/>
  <c r="F1341" i="23"/>
  <c r="F1340" i="23" s="1"/>
  <c r="F1339" i="23" s="1"/>
  <c r="E1340" i="23"/>
  <c r="E1339" i="23" s="1"/>
  <c r="D1340" i="23"/>
  <c r="D1339" i="23" s="1"/>
  <c r="C1340" i="23"/>
  <c r="C1339" i="23" s="1"/>
  <c r="F1336" i="23"/>
  <c r="F1335" i="23"/>
  <c r="E1334" i="23"/>
  <c r="E1333" i="23" s="1"/>
  <c r="D1334" i="23"/>
  <c r="D1333" i="23" s="1"/>
  <c r="C1334" i="23"/>
  <c r="C1333" i="23" s="1"/>
  <c r="F1330" i="23"/>
  <c r="F1329" i="23"/>
  <c r="E1328" i="23"/>
  <c r="F1328" i="23" s="1"/>
  <c r="F1326" i="23"/>
  <c r="F1325" i="23"/>
  <c r="E1324" i="23"/>
  <c r="F1324" i="23" s="1"/>
  <c r="F1323" i="23"/>
  <c r="F1322" i="23"/>
  <c r="E1321" i="23"/>
  <c r="F1319" i="23"/>
  <c r="F1318" i="23" s="1"/>
  <c r="F1317" i="23" s="1"/>
  <c r="C1318" i="23"/>
  <c r="C1317" i="23" s="1"/>
  <c r="F1314" i="23"/>
  <c r="E1313" i="23"/>
  <c r="D1313" i="23"/>
  <c r="C1313" i="23"/>
  <c r="C1291" i="23" s="1"/>
  <c r="F1311" i="23"/>
  <c r="F1310" i="23"/>
  <c r="E1309" i="23"/>
  <c r="E1308" i="23" s="1"/>
  <c r="D1309" i="23"/>
  <c r="C1309" i="23"/>
  <c r="C1308" i="23" s="1"/>
  <c r="E1306" i="23"/>
  <c r="D1306" i="23"/>
  <c r="C1306" i="23"/>
  <c r="F1303" i="23"/>
  <c r="E1303" i="23"/>
  <c r="D1303" i="23"/>
  <c r="C1303" i="23"/>
  <c r="F1299" i="23"/>
  <c r="F1298" i="23" s="1"/>
  <c r="F1297" i="23" s="1"/>
  <c r="E1298" i="23"/>
  <c r="E1297" i="23" s="1"/>
  <c r="D1298" i="23"/>
  <c r="D1297" i="23" s="1"/>
  <c r="C1298" i="23"/>
  <c r="C1297" i="23" s="1"/>
  <c r="F1294" i="23"/>
  <c r="E1293" i="23"/>
  <c r="E1292" i="23" s="1"/>
  <c r="D1293" i="23"/>
  <c r="D1292" i="23" s="1"/>
  <c r="C1293" i="23"/>
  <c r="C1292" i="23" s="1"/>
  <c r="F1287" i="23"/>
  <c r="F1286" i="23"/>
  <c r="F1285" i="23"/>
  <c r="E1284" i="23"/>
  <c r="E1283" i="23" s="1"/>
  <c r="D1284" i="23"/>
  <c r="D1283" i="23" s="1"/>
  <c r="C1284" i="23"/>
  <c r="C1283" i="23" s="1"/>
  <c r="D1272" i="23"/>
  <c r="C1272" i="23"/>
  <c r="F1269" i="23"/>
  <c r="F1267" i="23" s="1"/>
  <c r="E1266" i="23"/>
  <c r="D1266" i="23"/>
  <c r="C1266" i="23"/>
  <c r="F1260" i="23"/>
  <c r="F1259" i="23" s="1"/>
  <c r="E1259" i="23"/>
  <c r="D1259" i="23"/>
  <c r="C1259" i="23"/>
  <c r="D1257" i="23"/>
  <c r="C1257" i="23"/>
  <c r="E1257" i="23"/>
  <c r="F1256" i="23"/>
  <c r="F1255" i="23" s="1"/>
  <c r="E1255" i="23"/>
  <c r="D1255" i="23"/>
  <c r="E1251" i="23"/>
  <c r="E1250" i="23" s="1"/>
  <c r="D1251" i="23"/>
  <c r="D1250" i="23" s="1"/>
  <c r="F1248" i="23"/>
  <c r="F1247" i="23" s="1"/>
  <c r="F1246" i="23" s="1"/>
  <c r="E1247" i="23"/>
  <c r="E1246" i="23" s="1"/>
  <c r="D1247" i="23"/>
  <c r="D1246" i="23" s="1"/>
  <c r="F1245" i="23"/>
  <c r="F1244" i="23" s="1"/>
  <c r="E1244" i="23"/>
  <c r="D1244" i="23"/>
  <c r="C1244" i="23"/>
  <c r="F1243" i="23"/>
  <c r="F1242" i="23" s="1"/>
  <c r="E1242" i="23"/>
  <c r="D1242" i="23"/>
  <c r="C1242" i="23"/>
  <c r="F1240" i="23"/>
  <c r="F1239" i="23"/>
  <c r="E1238" i="23"/>
  <c r="E1237" i="23" s="1"/>
  <c r="D1238" i="23"/>
  <c r="D1237" i="23" s="1"/>
  <c r="C1238" i="23"/>
  <c r="C1237" i="23" s="1"/>
  <c r="F1188" i="23"/>
  <c r="F1187" i="23" s="1"/>
  <c r="F1186" i="23" s="1"/>
  <c r="E1187" i="23"/>
  <c r="E1186" i="23" s="1"/>
  <c r="D1187" i="23"/>
  <c r="D1186" i="23" s="1"/>
  <c r="C1187" i="23"/>
  <c r="C1186" i="23" s="1"/>
  <c r="F1185" i="23"/>
  <c r="F1184" i="23" s="1"/>
  <c r="E1184" i="23"/>
  <c r="D1184" i="23"/>
  <c r="C1184" i="23"/>
  <c r="F1183" i="23"/>
  <c r="F1182" i="23"/>
  <c r="E1181" i="23"/>
  <c r="D1181" i="23"/>
  <c r="C1181" i="23"/>
  <c r="F1180" i="23"/>
  <c r="F1179" i="23"/>
  <c r="F1178" i="23"/>
  <c r="F1169" i="23"/>
  <c r="F1168" i="23" s="1"/>
  <c r="F1167" i="23"/>
  <c r="F1166" i="23" s="1"/>
  <c r="E1166" i="23"/>
  <c r="D1166" i="23"/>
  <c r="C1166" i="23"/>
  <c r="F1165" i="23"/>
  <c r="F1164" i="23"/>
  <c r="F1163" i="23"/>
  <c r="F1162" i="23"/>
  <c r="F1161" i="23"/>
  <c r="F1160" i="23"/>
  <c r="E1159" i="23"/>
  <c r="D1159" i="23"/>
  <c r="C1159" i="23"/>
  <c r="F1158" i="23"/>
  <c r="F1157" i="23"/>
  <c r="F1156" i="23"/>
  <c r="F1155" i="23"/>
  <c r="F1154" i="23"/>
  <c r="E1153" i="23"/>
  <c r="D1153" i="23"/>
  <c r="C1153" i="23"/>
  <c r="F1151" i="23"/>
  <c r="F1150" i="23"/>
  <c r="F1149" i="23"/>
  <c r="E1148" i="23"/>
  <c r="D1148" i="23"/>
  <c r="C1148" i="23"/>
  <c r="F1146" i="23"/>
  <c r="F1145" i="23"/>
  <c r="E1144" i="23"/>
  <c r="D1144" i="23"/>
  <c r="C1144" i="23"/>
  <c r="F1143" i="23"/>
  <c r="F1142" i="23" s="1"/>
  <c r="E1142" i="23"/>
  <c r="D1142" i="23"/>
  <c r="C1142" i="23"/>
  <c r="F1141" i="23"/>
  <c r="F1140" i="23"/>
  <c r="E1139" i="23"/>
  <c r="D1139" i="23"/>
  <c r="C1139" i="23"/>
  <c r="F1135" i="23"/>
  <c r="F1134" i="23" s="1"/>
  <c r="E1134" i="23"/>
  <c r="D1134" i="23"/>
  <c r="C1134" i="23"/>
  <c r="E1133" i="23"/>
  <c r="D1133" i="23"/>
  <c r="C1133" i="23"/>
  <c r="F1130" i="23"/>
  <c r="F1129" i="23" s="1"/>
  <c r="E1129" i="23"/>
  <c r="D1129" i="23"/>
  <c r="C1129" i="23"/>
  <c r="F1128" i="23"/>
  <c r="F1127" i="23"/>
  <c r="F1126" i="23"/>
  <c r="F1125" i="23"/>
  <c r="F1124" i="23"/>
  <c r="E1123" i="23"/>
  <c r="D1123" i="23"/>
  <c r="C1123" i="23"/>
  <c r="F1122" i="23"/>
  <c r="F1121" i="23" s="1"/>
  <c r="E1121" i="23"/>
  <c r="D1121" i="23"/>
  <c r="C1121" i="23"/>
  <c r="F1119" i="23"/>
  <c r="F1118" i="23" s="1"/>
  <c r="F1117" i="23" s="1"/>
  <c r="E1118" i="23"/>
  <c r="E1117" i="23" s="1"/>
  <c r="D1118" i="23"/>
  <c r="D1117" i="23" s="1"/>
  <c r="C1118" i="23"/>
  <c r="C1117" i="23" s="1"/>
  <c r="F1116" i="23"/>
  <c r="F1115" i="23" s="1"/>
  <c r="E1115" i="23"/>
  <c r="D1115" i="23"/>
  <c r="C1115" i="23"/>
  <c r="F1114" i="23"/>
  <c r="F1113" i="23"/>
  <c r="F1112" i="23"/>
  <c r="F1111" i="23"/>
  <c r="F1110" i="23"/>
  <c r="F1109" i="23"/>
  <c r="F1108" i="23"/>
  <c r="F1107" i="23"/>
  <c r="E1106" i="23"/>
  <c r="D1106" i="23"/>
  <c r="C1106" i="23"/>
  <c r="F1105" i="23"/>
  <c r="F1104" i="23"/>
  <c r="F1103" i="23"/>
  <c r="E1102" i="23"/>
  <c r="D1102" i="23"/>
  <c r="C1102" i="23"/>
  <c r="F1101" i="23"/>
  <c r="F1100" i="23"/>
  <c r="F1099" i="23"/>
  <c r="E1098" i="23"/>
  <c r="D1098" i="23"/>
  <c r="C1098" i="23"/>
  <c r="F1096" i="23"/>
  <c r="F1095" i="23" s="1"/>
  <c r="E1095" i="23"/>
  <c r="D1095" i="23"/>
  <c r="C1095" i="23"/>
  <c r="F1094" i="23"/>
  <c r="F1093" i="23" s="1"/>
  <c r="E1093" i="23"/>
  <c r="D1093" i="23"/>
  <c r="C1093" i="23"/>
  <c r="F1089" i="23"/>
  <c r="F1088" i="23" s="1"/>
  <c r="F1087" i="23" s="1"/>
  <c r="E1088" i="23"/>
  <c r="E1087" i="23" s="1"/>
  <c r="D1088" i="23"/>
  <c r="D1087" i="23" s="1"/>
  <c r="C1088" i="23"/>
  <c r="C1087" i="23" s="1"/>
  <c r="F1086" i="23"/>
  <c r="F1085" i="23" s="1"/>
  <c r="E1085" i="23"/>
  <c r="D1085" i="23"/>
  <c r="C1085" i="23"/>
  <c r="F1084" i="23"/>
  <c r="F1083" i="23" s="1"/>
  <c r="E1083" i="23"/>
  <c r="D1083" i="23"/>
  <c r="C1083" i="23"/>
  <c r="F1082" i="23"/>
  <c r="F1080" i="23"/>
  <c r="F1079" i="23"/>
  <c r="F1078" i="23"/>
  <c r="E1077" i="23"/>
  <c r="D1077" i="23"/>
  <c r="C1077" i="23"/>
  <c r="F1075" i="23"/>
  <c r="F1074" i="23" s="1"/>
  <c r="F1073" i="23" s="1"/>
  <c r="E1074" i="23"/>
  <c r="E1073" i="23" s="1"/>
  <c r="D1074" i="23"/>
  <c r="D1073" i="23" s="1"/>
  <c r="C1074" i="23"/>
  <c r="C1073" i="23" s="1"/>
  <c r="F1072" i="23"/>
  <c r="F1071" i="23" s="1"/>
  <c r="E1071" i="23"/>
  <c r="D1071" i="23"/>
  <c r="C1071" i="23"/>
  <c r="F1070" i="23"/>
  <c r="F1069" i="23" s="1"/>
  <c r="E1069" i="23"/>
  <c r="D1069" i="23"/>
  <c r="C1069" i="23"/>
  <c r="F1068" i="23"/>
  <c r="F1067" i="23"/>
  <c r="F1066" i="23"/>
  <c r="F1065" i="23"/>
  <c r="E1064" i="23"/>
  <c r="D1064" i="23"/>
  <c r="C1064" i="23"/>
  <c r="F1063" i="23"/>
  <c r="F1062" i="23"/>
  <c r="F1061" i="23"/>
  <c r="F1060" i="23"/>
  <c r="F1059" i="23"/>
  <c r="E1058" i="23"/>
  <c r="D1058" i="23"/>
  <c r="C1058" i="23"/>
  <c r="F1057" i="23"/>
  <c r="F1056" i="23"/>
  <c r="F1055" i="23"/>
  <c r="E1054" i="23"/>
  <c r="D1054" i="23"/>
  <c r="C1054" i="23"/>
  <c r="F1052" i="23"/>
  <c r="F1051" i="23"/>
  <c r="E1050" i="23"/>
  <c r="D1050" i="23"/>
  <c r="C1050" i="23"/>
  <c r="F1049" i="23"/>
  <c r="F1048" i="23" s="1"/>
  <c r="E1048" i="23"/>
  <c r="D1048" i="23"/>
  <c r="C1048" i="23"/>
  <c r="F1047" i="23"/>
  <c r="F1046" i="23"/>
  <c r="E1045" i="23"/>
  <c r="D1045" i="23"/>
  <c r="C1045" i="23"/>
  <c r="F1040" i="23"/>
  <c r="E1039" i="23"/>
  <c r="E1038" i="23" s="1"/>
  <c r="E1037" i="23" s="1"/>
  <c r="E1036" i="23" s="1"/>
  <c r="D1039" i="23"/>
  <c r="D1038" i="23" s="1"/>
  <c r="D1037" i="23" s="1"/>
  <c r="D1036" i="23" s="1"/>
  <c r="C1039" i="23"/>
  <c r="C1038" i="23" s="1"/>
  <c r="C1037" i="23" s="1"/>
  <c r="C1036" i="23" s="1"/>
  <c r="F1035" i="23"/>
  <c r="F1034" i="23" s="1"/>
  <c r="F1033" i="23" s="1"/>
  <c r="E1034" i="23"/>
  <c r="E1033" i="23" s="1"/>
  <c r="D1034" i="23"/>
  <c r="D1033" i="23" s="1"/>
  <c r="C1034" i="23"/>
  <c r="C1033" i="23" s="1"/>
  <c r="F1032" i="23"/>
  <c r="F1031" i="23" s="1"/>
  <c r="E1031" i="23"/>
  <c r="D1031" i="23"/>
  <c r="C1031" i="23"/>
  <c r="F1030" i="23"/>
  <c r="F1029" i="23"/>
  <c r="E1028" i="23"/>
  <c r="D1028" i="23"/>
  <c r="C1028" i="23"/>
  <c r="F1026" i="23"/>
  <c r="F1025" i="23" s="1"/>
  <c r="E1025" i="23"/>
  <c r="D1025" i="23"/>
  <c r="C1025" i="23"/>
  <c r="F1024" i="23"/>
  <c r="F1023" i="23" s="1"/>
  <c r="E1023" i="23"/>
  <c r="D1023" i="23"/>
  <c r="C1023" i="23"/>
  <c r="F1022" i="23"/>
  <c r="F1021" i="23"/>
  <c r="F1017" i="23"/>
  <c r="F1019" i="23"/>
  <c r="E1016" i="23"/>
  <c r="D1016" i="23"/>
  <c r="C1016" i="23"/>
  <c r="F1014" i="23"/>
  <c r="F1013" i="23" s="1"/>
  <c r="F1012" i="23" s="1"/>
  <c r="E1013" i="23"/>
  <c r="E1012" i="23" s="1"/>
  <c r="D1013" i="23"/>
  <c r="D1012" i="23" s="1"/>
  <c r="C1013" i="23"/>
  <c r="C1012" i="23" s="1"/>
  <c r="F1009" i="23"/>
  <c r="F1008" i="23" s="1"/>
  <c r="F1007" i="23" s="1"/>
  <c r="E1008" i="23"/>
  <c r="E1007" i="23" s="1"/>
  <c r="D1008" i="23"/>
  <c r="D1007" i="23" s="1"/>
  <c r="C1008" i="23"/>
  <c r="C1007" i="23" s="1"/>
  <c r="F1006" i="23"/>
  <c r="F1005" i="23"/>
  <c r="E1004" i="23"/>
  <c r="D1004" i="23"/>
  <c r="D1003" i="23" s="1"/>
  <c r="C1004" i="23"/>
  <c r="C1003" i="23" s="1"/>
  <c r="F1002" i="23"/>
  <c r="F1001" i="23" s="1"/>
  <c r="E1001" i="23"/>
  <c r="D1001" i="23"/>
  <c r="C1001" i="23"/>
  <c r="F1000" i="23"/>
  <c r="F999" i="23" s="1"/>
  <c r="E999" i="23"/>
  <c r="D999" i="23"/>
  <c r="C999" i="23"/>
  <c r="F998" i="23"/>
  <c r="I996" i="23" s="1"/>
  <c r="F997" i="23"/>
  <c r="F994" i="23"/>
  <c r="F993" i="23" s="1"/>
  <c r="F992" i="23" s="1"/>
  <c r="E993" i="23"/>
  <c r="E992" i="23" s="1"/>
  <c r="D993" i="23"/>
  <c r="D992" i="23" s="1"/>
  <c r="C993" i="23"/>
  <c r="C992" i="23" s="1"/>
  <c r="F989" i="23"/>
  <c r="F988" i="23" s="1"/>
  <c r="E988" i="23"/>
  <c r="D988" i="23"/>
  <c r="C988" i="23"/>
  <c r="F987" i="23"/>
  <c r="F986" i="23" s="1"/>
  <c r="E986" i="23"/>
  <c r="D986" i="23"/>
  <c r="C986" i="23"/>
  <c r="F985" i="23"/>
  <c r="F984" i="23"/>
  <c r="F983" i="23"/>
  <c r="F982" i="23"/>
  <c r="E980" i="23"/>
  <c r="D980" i="23"/>
  <c r="C980" i="23"/>
  <c r="F977" i="23"/>
  <c r="F976" i="23" s="1"/>
  <c r="E976" i="23"/>
  <c r="D976" i="23"/>
  <c r="C976" i="23"/>
  <c r="F974" i="23"/>
  <c r="F973" i="23"/>
  <c r="E972" i="23"/>
  <c r="D972" i="23"/>
  <c r="C972" i="23"/>
  <c r="D968" i="23"/>
  <c r="C968" i="23"/>
  <c r="F966" i="23"/>
  <c r="F965" i="23" s="1"/>
  <c r="F964" i="23" s="1"/>
  <c r="E965" i="23"/>
  <c r="E964" i="23" s="1"/>
  <c r="D965" i="23"/>
  <c r="D964" i="23" s="1"/>
  <c r="C965" i="23"/>
  <c r="C964" i="23" s="1"/>
  <c r="F961" i="23"/>
  <c r="F960" i="23" s="1"/>
  <c r="E960" i="23"/>
  <c r="D960" i="23"/>
  <c r="C960" i="23"/>
  <c r="F959" i="23"/>
  <c r="F958" i="23"/>
  <c r="E957" i="23"/>
  <c r="D957" i="23"/>
  <c r="C957" i="23"/>
  <c r="F956" i="23"/>
  <c r="F955" i="23"/>
  <c r="E954" i="23"/>
  <c r="D954" i="23"/>
  <c r="C954" i="23"/>
  <c r="D949" i="23"/>
  <c r="C949" i="23"/>
  <c r="D944" i="23"/>
  <c r="C944" i="23"/>
  <c r="D942" i="23"/>
  <c r="C942" i="23"/>
  <c r="D934" i="23"/>
  <c r="C934" i="23"/>
  <c r="D927" i="23"/>
  <c r="C927" i="23"/>
  <c r="D923" i="23"/>
  <c r="C923" i="23"/>
  <c r="D919" i="23"/>
  <c r="C919" i="23"/>
  <c r="D916" i="23"/>
  <c r="C916" i="23"/>
  <c r="D912" i="23"/>
  <c r="C912" i="23"/>
  <c r="D909" i="23"/>
  <c r="C909" i="23"/>
  <c r="F906" i="23"/>
  <c r="F905" i="23" s="1"/>
  <c r="F904" i="23" s="1"/>
  <c r="E905" i="23"/>
  <c r="E904" i="23" s="1"/>
  <c r="D905" i="23"/>
  <c r="D904" i="23" s="1"/>
  <c r="C905" i="23"/>
  <c r="C904" i="23" s="1"/>
  <c r="F903" i="23"/>
  <c r="F902" i="23" s="1"/>
  <c r="E902" i="23"/>
  <c r="D902" i="23"/>
  <c r="C902" i="23"/>
  <c r="F901" i="23"/>
  <c r="F900" i="23"/>
  <c r="F899" i="23"/>
  <c r="F898" i="23"/>
  <c r="F897" i="23"/>
  <c r="F896" i="23"/>
  <c r="E895" i="23"/>
  <c r="D895" i="23"/>
  <c r="C895" i="23"/>
  <c r="F894" i="23"/>
  <c r="F892" i="23" s="1"/>
  <c r="E892" i="23"/>
  <c r="D892" i="23"/>
  <c r="C892" i="23"/>
  <c r="F890" i="23"/>
  <c r="F889" i="23" s="1"/>
  <c r="F888" i="23" s="1"/>
  <c r="E889" i="23"/>
  <c r="E888" i="23" s="1"/>
  <c r="D889" i="23"/>
  <c r="D888" i="23" s="1"/>
  <c r="C889" i="23"/>
  <c r="C888" i="23" s="1"/>
  <c r="F887" i="23"/>
  <c r="F886" i="23" s="1"/>
  <c r="F885" i="23" s="1"/>
  <c r="E886" i="23"/>
  <c r="E885" i="23" s="1"/>
  <c r="D886" i="23"/>
  <c r="D885" i="23" s="1"/>
  <c r="C886" i="23"/>
  <c r="C885" i="23" s="1"/>
  <c r="F883" i="23"/>
  <c r="F882" i="23" s="1"/>
  <c r="F881" i="23"/>
  <c r="F880" i="23" s="1"/>
  <c r="F879" i="23"/>
  <c r="F878" i="23"/>
  <c r="F877" i="23"/>
  <c r="F876" i="23"/>
  <c r="F875" i="23"/>
  <c r="F874" i="23"/>
  <c r="F873" i="23"/>
  <c r="F872" i="23"/>
  <c r="F871" i="23"/>
  <c r="E870" i="23"/>
  <c r="D870" i="23"/>
  <c r="C870" i="23"/>
  <c r="F869" i="23"/>
  <c r="F868" i="23"/>
  <c r="F867" i="23"/>
  <c r="F866" i="23"/>
  <c r="F865" i="23"/>
  <c r="E864" i="23"/>
  <c r="D864" i="23"/>
  <c r="C864" i="23"/>
  <c r="F862" i="23"/>
  <c r="F861" i="23"/>
  <c r="F860" i="23"/>
  <c r="E859" i="23"/>
  <c r="D859" i="23"/>
  <c r="C859" i="23"/>
  <c r="F856" i="23"/>
  <c r="F854" i="23" s="1"/>
  <c r="E854" i="23"/>
  <c r="D854" i="23"/>
  <c r="C854" i="23"/>
  <c r="D852" i="23"/>
  <c r="C852" i="23"/>
  <c r="F851" i="23"/>
  <c r="F850" i="23" s="1"/>
  <c r="E850" i="23"/>
  <c r="D850" i="23"/>
  <c r="C850" i="23"/>
  <c r="F846" i="23"/>
  <c r="F845" i="23" s="1"/>
  <c r="F844" i="23" s="1"/>
  <c r="E845" i="23"/>
  <c r="E844" i="23" s="1"/>
  <c r="D845" i="23"/>
  <c r="D844" i="23" s="1"/>
  <c r="C845" i="23"/>
  <c r="C844" i="23" s="1"/>
  <c r="F843" i="23"/>
  <c r="F842" i="23" s="1"/>
  <c r="E842" i="23"/>
  <c r="D842" i="23"/>
  <c r="C842" i="23"/>
  <c r="D840" i="23"/>
  <c r="C840" i="23"/>
  <c r="F838" i="23"/>
  <c r="F837" i="23" s="1"/>
  <c r="E837" i="23"/>
  <c r="D837" i="23"/>
  <c r="C837" i="23"/>
  <c r="F836" i="23"/>
  <c r="F835" i="23"/>
  <c r="F834" i="23"/>
  <c r="F833" i="23"/>
  <c r="E832" i="23"/>
  <c r="D832" i="23"/>
  <c r="C832" i="23"/>
  <c r="D829" i="23"/>
  <c r="C829" i="23"/>
  <c r="F828" i="23"/>
  <c r="F826" i="23" s="1"/>
  <c r="E826" i="23"/>
  <c r="D826" i="23"/>
  <c r="C826" i="23"/>
  <c r="F825" i="23"/>
  <c r="F824" i="23" s="1"/>
  <c r="E824" i="23"/>
  <c r="D824" i="23"/>
  <c r="C824" i="23"/>
  <c r="F823" i="23"/>
  <c r="F822" i="23"/>
  <c r="F821" i="23"/>
  <c r="F820" i="23"/>
  <c r="F819" i="23"/>
  <c r="F818" i="23"/>
  <c r="F817" i="23"/>
  <c r="E816" i="23"/>
  <c r="D816" i="23"/>
  <c r="C816" i="23"/>
  <c r="F815" i="23"/>
  <c r="F814" i="23"/>
  <c r="F813" i="23"/>
  <c r="F812" i="23"/>
  <c r="F811" i="23"/>
  <c r="E810" i="23"/>
  <c r="D810" i="23"/>
  <c r="C810" i="23"/>
  <c r="F809" i="23"/>
  <c r="F808" i="23"/>
  <c r="F807" i="23"/>
  <c r="E806" i="23"/>
  <c r="D806" i="23"/>
  <c r="C806" i="23"/>
  <c r="F803" i="23"/>
  <c r="F801" i="23" s="1"/>
  <c r="E801" i="23"/>
  <c r="D801" i="23"/>
  <c r="C801" i="23"/>
  <c r="F800" i="23"/>
  <c r="F799" i="23" s="1"/>
  <c r="E799" i="23"/>
  <c r="D799" i="23"/>
  <c r="C799" i="23"/>
  <c r="F798" i="23"/>
  <c r="F797" i="23" s="1"/>
  <c r="E797" i="23"/>
  <c r="D797" i="23"/>
  <c r="C797" i="23"/>
  <c r="F793" i="23"/>
  <c r="F792" i="23" s="1"/>
  <c r="F791" i="23" s="1"/>
  <c r="E792" i="23"/>
  <c r="E791" i="23" s="1"/>
  <c r="D792" i="23"/>
  <c r="D791" i="23" s="1"/>
  <c r="C792" i="23"/>
  <c r="C791" i="23" s="1"/>
  <c r="D789" i="23"/>
  <c r="C789" i="23"/>
  <c r="D787" i="23"/>
  <c r="C787" i="23"/>
  <c r="F785" i="23"/>
  <c r="F784" i="23"/>
  <c r="F783" i="23"/>
  <c r="E781" i="23"/>
  <c r="D779" i="23"/>
  <c r="C779" i="23"/>
  <c r="D777" i="23"/>
  <c r="C777" i="23"/>
  <c r="F776" i="23"/>
  <c r="F775" i="23" s="1"/>
  <c r="E775" i="23"/>
  <c r="D775" i="23"/>
  <c r="C775" i="23"/>
  <c r="F774" i="23"/>
  <c r="F773" i="23"/>
  <c r="F772" i="23"/>
  <c r="F770" i="23"/>
  <c r="F769" i="23"/>
  <c r="F768" i="23"/>
  <c r="E766" i="23"/>
  <c r="D766" i="23"/>
  <c r="F763" i="23"/>
  <c r="F762" i="23"/>
  <c r="F761" i="23"/>
  <c r="F760" i="23"/>
  <c r="F759" i="23"/>
  <c r="F757" i="23"/>
  <c r="F756" i="23"/>
  <c r="F755" i="23"/>
  <c r="F751" i="23"/>
  <c r="F750" i="23"/>
  <c r="D749" i="23"/>
  <c r="C749" i="23"/>
  <c r="F748" i="23"/>
  <c r="D747" i="23"/>
  <c r="C747" i="23"/>
  <c r="F746" i="23"/>
  <c r="F745" i="23" s="1"/>
  <c r="F741" i="23"/>
  <c r="F740" i="23" s="1"/>
  <c r="F739" i="23" s="1"/>
  <c r="F738" i="23" s="1"/>
  <c r="F737" i="23" s="1"/>
  <c r="E740" i="23"/>
  <c r="E739" i="23" s="1"/>
  <c r="E738" i="23" s="1"/>
  <c r="E737" i="23" s="1"/>
  <c r="D740" i="23"/>
  <c r="D739" i="23" s="1"/>
  <c r="D738" i="23" s="1"/>
  <c r="D737" i="23" s="1"/>
  <c r="C740" i="23"/>
  <c r="C739" i="23" s="1"/>
  <c r="C738" i="23" s="1"/>
  <c r="C737" i="23" s="1"/>
  <c r="F736" i="23"/>
  <c r="F735" i="23" s="1"/>
  <c r="F734" i="23" s="1"/>
  <c r="F733" i="23" s="1"/>
  <c r="F732" i="23" s="1"/>
  <c r="E735" i="23"/>
  <c r="E734" i="23" s="1"/>
  <c r="E733" i="23" s="1"/>
  <c r="E732" i="23" s="1"/>
  <c r="D735" i="23"/>
  <c r="D734" i="23" s="1"/>
  <c r="D733" i="23" s="1"/>
  <c r="D732" i="23" s="1"/>
  <c r="C735" i="23"/>
  <c r="C734" i="23" s="1"/>
  <c r="C733" i="23" s="1"/>
  <c r="C732" i="23" s="1"/>
  <c r="D728" i="23"/>
  <c r="C728" i="23"/>
  <c r="F727" i="23"/>
  <c r="F726" i="23"/>
  <c r="F725" i="23"/>
  <c r="F724" i="23"/>
  <c r="E723" i="23"/>
  <c r="E722" i="23" s="1"/>
  <c r="E721" i="23" s="1"/>
  <c r="E720" i="23" s="1"/>
  <c r="D723" i="23"/>
  <c r="D722" i="23" s="1"/>
  <c r="D721" i="23" s="1"/>
  <c r="D720" i="23" s="1"/>
  <c r="C723" i="23"/>
  <c r="C722" i="23" s="1"/>
  <c r="C721" i="23" s="1"/>
  <c r="C720" i="23" s="1"/>
  <c r="F719" i="23"/>
  <c r="F718" i="23"/>
  <c r="F717" i="23"/>
  <c r="E716" i="23"/>
  <c r="D716" i="23"/>
  <c r="C716" i="23"/>
  <c r="F715" i="23"/>
  <c r="F714" i="23"/>
  <c r="F713" i="23"/>
  <c r="E712" i="23"/>
  <c r="D712" i="23"/>
  <c r="C712" i="23"/>
  <c r="D709" i="23"/>
  <c r="C709" i="23"/>
  <c r="F707" i="23"/>
  <c r="F706" i="23" s="1"/>
  <c r="E706" i="23"/>
  <c r="D706" i="23"/>
  <c r="C706" i="23"/>
  <c r="F705" i="23"/>
  <c r="F704" i="23" s="1"/>
  <c r="E704" i="23"/>
  <c r="D704" i="23"/>
  <c r="C704" i="23"/>
  <c r="F703" i="23"/>
  <c r="F702" i="23"/>
  <c r="F701" i="23"/>
  <c r="F700" i="23"/>
  <c r="F699" i="23"/>
  <c r="E698" i="23"/>
  <c r="D698" i="23"/>
  <c r="C698" i="23"/>
  <c r="F697" i="23"/>
  <c r="F696" i="23"/>
  <c r="F695" i="23"/>
  <c r="F692" i="23"/>
  <c r="F691" i="23"/>
  <c r="F690" i="23"/>
  <c r="E689" i="23"/>
  <c r="D689" i="23"/>
  <c r="C689" i="23"/>
  <c r="F684" i="23"/>
  <c r="F683" i="23" s="1"/>
  <c r="F682" i="23" s="1"/>
  <c r="E683" i="23"/>
  <c r="E682" i="23" s="1"/>
  <c r="D683" i="23"/>
  <c r="D682" i="23" s="1"/>
  <c r="C683" i="23"/>
  <c r="C682" i="23" s="1"/>
  <c r="F680" i="23"/>
  <c r="F679" i="23" s="1"/>
  <c r="F678" i="23" s="1"/>
  <c r="E679" i="23"/>
  <c r="E678" i="23" s="1"/>
  <c r="D679" i="23"/>
  <c r="D678" i="23" s="1"/>
  <c r="C679" i="23"/>
  <c r="C678" i="23" s="1"/>
  <c r="D675" i="23"/>
  <c r="C675" i="23"/>
  <c r="D673" i="23"/>
  <c r="C673" i="23"/>
  <c r="D670" i="23"/>
  <c r="C670" i="23"/>
  <c r="F669" i="23"/>
  <c r="F668" i="23"/>
  <c r="F667" i="23"/>
  <c r="D666" i="23"/>
  <c r="D660" i="23" s="1"/>
  <c r="C666" i="23"/>
  <c r="C660" i="23" s="1"/>
  <c r="F665" i="23"/>
  <c r="D664" i="23"/>
  <c r="C664" i="23"/>
  <c r="F663" i="23"/>
  <c r="F662" i="23"/>
  <c r="F661" i="23" s="1"/>
  <c r="D657" i="23"/>
  <c r="C657" i="23"/>
  <c r="F656" i="23"/>
  <c r="F655" i="23" s="1"/>
  <c r="F654" i="23" s="1"/>
  <c r="E655" i="23"/>
  <c r="E654" i="23" s="1"/>
  <c r="D655" i="23"/>
  <c r="D654" i="23" s="1"/>
  <c r="C655" i="23"/>
  <c r="C654" i="23" s="1"/>
  <c r="F629" i="23"/>
  <c r="F628" i="23" s="1"/>
  <c r="F627" i="23" s="1"/>
  <c r="F626" i="23" s="1"/>
  <c r="E628" i="23"/>
  <c r="E627" i="23" s="1"/>
  <c r="E626" i="23" s="1"/>
  <c r="E625" i="23" s="1"/>
  <c r="D628" i="23"/>
  <c r="D627" i="23" s="1"/>
  <c r="D626" i="23" s="1"/>
  <c r="D625" i="23" s="1"/>
  <c r="C628" i="23"/>
  <c r="C627" i="23" s="1"/>
  <c r="C626" i="23" s="1"/>
  <c r="F624" i="23"/>
  <c r="F623" i="23" s="1"/>
  <c r="F622" i="23" s="1"/>
  <c r="F621" i="23" s="1"/>
  <c r="F620" i="23" s="1"/>
  <c r="E623" i="23"/>
  <c r="E622" i="23" s="1"/>
  <c r="E621" i="23" s="1"/>
  <c r="E620" i="23" s="1"/>
  <c r="D623" i="23"/>
  <c r="D622" i="23" s="1"/>
  <c r="D621" i="23" s="1"/>
  <c r="D620" i="23" s="1"/>
  <c r="C623" i="23"/>
  <c r="C622" i="23" s="1"/>
  <c r="C621" i="23" s="1"/>
  <c r="C620" i="23" s="1"/>
  <c r="D618" i="23"/>
  <c r="D617" i="23" s="1"/>
  <c r="D616" i="23" s="1"/>
  <c r="C618" i="23"/>
  <c r="C617" i="23" s="1"/>
  <c r="C616" i="23" s="1"/>
  <c r="D614" i="23"/>
  <c r="D613" i="23" s="1"/>
  <c r="D612" i="23" s="1"/>
  <c r="D610" i="23" s="1"/>
  <c r="C614" i="23"/>
  <c r="C613" i="23" s="1"/>
  <c r="C612" i="23" s="1"/>
  <c r="C610" i="23" s="1"/>
  <c r="F611" i="23"/>
  <c r="E610" i="23"/>
  <c r="F609" i="23"/>
  <c r="F608" i="23"/>
  <c r="F607" i="23"/>
  <c r="E606" i="23"/>
  <c r="D606" i="23"/>
  <c r="C606" i="23"/>
  <c r="D599" i="23"/>
  <c r="C599" i="23"/>
  <c r="D597" i="23"/>
  <c r="C597" i="23"/>
  <c r="D594" i="23"/>
  <c r="C594" i="23"/>
  <c r="D592" i="23"/>
  <c r="C592" i="23"/>
  <c r="D588" i="23"/>
  <c r="C588" i="23"/>
  <c r="D583" i="23"/>
  <c r="C583" i="23"/>
  <c r="D581" i="23"/>
  <c r="C581" i="23"/>
  <c r="D577" i="23"/>
  <c r="C577" i="23"/>
  <c r="F576" i="23"/>
  <c r="F575" i="23" s="1"/>
  <c r="F574" i="23" s="1"/>
  <c r="E575" i="23"/>
  <c r="E574" i="23" s="1"/>
  <c r="D575" i="23"/>
  <c r="D574" i="23" s="1"/>
  <c r="C575" i="23"/>
  <c r="C574" i="23" s="1"/>
  <c r="D572" i="23"/>
  <c r="C572" i="23"/>
  <c r="F571" i="23"/>
  <c r="F570" i="23" s="1"/>
  <c r="F569" i="23" s="1"/>
  <c r="E570" i="23"/>
  <c r="E569" i="23" s="1"/>
  <c r="D570" i="23"/>
  <c r="D569" i="23" s="1"/>
  <c r="C570" i="23"/>
  <c r="C569" i="23" s="1"/>
  <c r="F567" i="23"/>
  <c r="F566" i="23" s="1"/>
  <c r="F565" i="23" s="1"/>
  <c r="E566" i="23"/>
  <c r="E565" i="23" s="1"/>
  <c r="D566" i="23"/>
  <c r="D565" i="23" s="1"/>
  <c r="C566" i="23"/>
  <c r="C565" i="23" s="1"/>
  <c r="F563" i="23"/>
  <c r="F562" i="23"/>
  <c r="F561" i="23"/>
  <c r="E560" i="23"/>
  <c r="E559" i="23" s="1"/>
  <c r="D560" i="23"/>
  <c r="D559" i="23" s="1"/>
  <c r="C560" i="23"/>
  <c r="C559" i="23" s="1"/>
  <c r="D557" i="23"/>
  <c r="C557" i="23"/>
  <c r="F556" i="23"/>
  <c r="F554" i="23"/>
  <c r="E553" i="23"/>
  <c r="D553" i="23"/>
  <c r="C553" i="23"/>
  <c r="F552" i="23"/>
  <c r="F551" i="23"/>
  <c r="F550" i="23"/>
  <c r="F549" i="23"/>
  <c r="F548" i="23"/>
  <c r="F547" i="23"/>
  <c r="F546" i="23"/>
  <c r="E545" i="23"/>
  <c r="D545" i="23"/>
  <c r="C545" i="23"/>
  <c r="F544" i="23"/>
  <c r="F543" i="23"/>
  <c r="F542" i="23"/>
  <c r="E540" i="23"/>
  <c r="D540" i="23"/>
  <c r="C540" i="23"/>
  <c r="F539" i="23"/>
  <c r="F537" i="23" s="1"/>
  <c r="E537" i="23"/>
  <c r="D537" i="23"/>
  <c r="C537" i="23"/>
  <c r="F535" i="23"/>
  <c r="E532" i="23"/>
  <c r="D532" i="23"/>
  <c r="C532" i="23"/>
  <c r="D529" i="23"/>
  <c r="C529" i="23"/>
  <c r="F528" i="23"/>
  <c r="F527" i="23" s="1"/>
  <c r="E527" i="23"/>
  <c r="D527" i="23"/>
  <c r="C527" i="23"/>
  <c r="F526" i="23"/>
  <c r="F525" i="23"/>
  <c r="E524" i="23"/>
  <c r="D524" i="23"/>
  <c r="C524" i="23"/>
  <c r="F523" i="23"/>
  <c r="F522" i="23" s="1"/>
  <c r="E522" i="23"/>
  <c r="D522" i="23"/>
  <c r="C522" i="23"/>
  <c r="F520" i="23"/>
  <c r="E517" i="23"/>
  <c r="D517" i="23"/>
  <c r="C517" i="23"/>
  <c r="D510" i="23"/>
  <c r="C510" i="23"/>
  <c r="D508" i="23"/>
  <c r="C508" i="23"/>
  <c r="D506" i="23"/>
  <c r="C506" i="23"/>
  <c r="C502" i="23"/>
  <c r="F501" i="23"/>
  <c r="F500" i="23" s="1"/>
  <c r="E500" i="23"/>
  <c r="D500" i="23"/>
  <c r="C500" i="23"/>
  <c r="F499" i="23"/>
  <c r="F498" i="23"/>
  <c r="F497" i="23"/>
  <c r="E493" i="23"/>
  <c r="D493" i="23"/>
  <c r="C493" i="23"/>
  <c r="D488" i="23"/>
  <c r="C488" i="23"/>
  <c r="F487" i="23"/>
  <c r="F486" i="23"/>
  <c r="E485" i="23"/>
  <c r="D485" i="23"/>
  <c r="C485" i="23"/>
  <c r="D481" i="23"/>
  <c r="C481" i="23"/>
  <c r="F480" i="23"/>
  <c r="F479" i="23" s="1"/>
  <c r="F478" i="23" s="1"/>
  <c r="E479" i="23"/>
  <c r="E478" i="23" s="1"/>
  <c r="D479" i="23"/>
  <c r="D478" i="23" s="1"/>
  <c r="C479" i="23"/>
  <c r="C478" i="23" s="1"/>
  <c r="F475" i="23"/>
  <c r="F474" i="23"/>
  <c r="F473" i="23"/>
  <c r="E472" i="23"/>
  <c r="E471" i="23" s="1"/>
  <c r="D472" i="23"/>
  <c r="D471" i="23" s="1"/>
  <c r="C472" i="23"/>
  <c r="C471" i="23" s="1"/>
  <c r="D469" i="23"/>
  <c r="C469" i="23"/>
  <c r="D467" i="23"/>
  <c r="C467" i="23"/>
  <c r="D465" i="23"/>
  <c r="C465" i="23"/>
  <c r="D461" i="23"/>
  <c r="C461" i="23"/>
  <c r="F460" i="23"/>
  <c r="F459" i="23" s="1"/>
  <c r="E459" i="23"/>
  <c r="D459" i="23"/>
  <c r="C459" i="23"/>
  <c r="F458" i="23"/>
  <c r="F457" i="23"/>
  <c r="F456" i="23"/>
  <c r="F455" i="23"/>
  <c r="E452" i="23"/>
  <c r="D452" i="23"/>
  <c r="C452" i="23"/>
  <c r="F451" i="23"/>
  <c r="F450" i="23"/>
  <c r="F449" i="23"/>
  <c r="F448" i="23"/>
  <c r="E447" i="23"/>
  <c r="D447" i="23"/>
  <c r="C447" i="23"/>
  <c r="F446" i="23"/>
  <c r="F445" i="23" s="1"/>
  <c r="E445" i="23"/>
  <c r="D445" i="23"/>
  <c r="C445" i="23"/>
  <c r="D441" i="23"/>
  <c r="C441" i="23"/>
  <c r="D439" i="23"/>
  <c r="C439" i="23"/>
  <c r="F436" i="23"/>
  <c r="F435" i="23" s="1"/>
  <c r="F434" i="23" s="1"/>
  <c r="E435" i="23"/>
  <c r="E434" i="23" s="1"/>
  <c r="D435" i="23"/>
  <c r="D434" i="23" s="1"/>
  <c r="C435" i="23"/>
  <c r="C434" i="23" s="1"/>
  <c r="F433" i="23"/>
  <c r="F432" i="23" s="1"/>
  <c r="E432" i="23"/>
  <c r="D432" i="23"/>
  <c r="F431" i="23"/>
  <c r="F430" i="23"/>
  <c r="F429" i="23"/>
  <c r="E428" i="23"/>
  <c r="D428" i="23"/>
  <c r="C428" i="23"/>
  <c r="F427" i="23"/>
  <c r="F426" i="23"/>
  <c r="F425" i="23"/>
  <c r="E424" i="23"/>
  <c r="D424" i="23"/>
  <c r="C424" i="23"/>
  <c r="F423" i="23"/>
  <c r="F422" i="23" s="1"/>
  <c r="E422" i="23"/>
  <c r="D422" i="23"/>
  <c r="C422" i="23"/>
  <c r="F420" i="23"/>
  <c r="F419" i="23" s="1"/>
  <c r="F418" i="23" s="1"/>
  <c r="E419" i="23"/>
  <c r="E418" i="23" s="1"/>
  <c r="D419" i="23"/>
  <c r="D418" i="23" s="1"/>
  <c r="C419" i="23"/>
  <c r="C418" i="23" s="1"/>
  <c r="D414" i="23"/>
  <c r="C414" i="23"/>
  <c r="D413" i="23"/>
  <c r="D412" i="23" s="1"/>
  <c r="C413" i="23"/>
  <c r="C412" i="23" s="1"/>
  <c r="F411" i="23"/>
  <c r="F410" i="23" s="1"/>
  <c r="F409" i="23" s="1"/>
  <c r="E410" i="23"/>
  <c r="E409" i="23" s="1"/>
  <c r="D410" i="23"/>
  <c r="D409" i="23" s="1"/>
  <c r="C410" i="23"/>
  <c r="C409" i="23" s="1"/>
  <c r="F408" i="23"/>
  <c r="F407" i="23" s="1"/>
  <c r="F406" i="23" s="1"/>
  <c r="E407" i="23"/>
  <c r="E406" i="23" s="1"/>
  <c r="D407" i="23"/>
  <c r="D406" i="23" s="1"/>
  <c r="C407" i="23"/>
  <c r="C406" i="23" s="1"/>
  <c r="F405" i="23"/>
  <c r="F404" i="23" s="1"/>
  <c r="E404" i="23"/>
  <c r="D404" i="23"/>
  <c r="C404" i="23"/>
  <c r="F403" i="23"/>
  <c r="F402" i="23"/>
  <c r="E401" i="23"/>
  <c r="D401" i="23"/>
  <c r="C401" i="23"/>
  <c r="F400" i="23"/>
  <c r="F399" i="23" s="1"/>
  <c r="E399" i="23"/>
  <c r="D399" i="23"/>
  <c r="C399" i="23"/>
  <c r="F398" i="23"/>
  <c r="F397" i="23" s="1"/>
  <c r="E397" i="23"/>
  <c r="D397" i="23"/>
  <c r="C397" i="23"/>
  <c r="D392" i="23"/>
  <c r="D391" i="23" s="1"/>
  <c r="D390" i="23" s="1"/>
  <c r="C392" i="23"/>
  <c r="C391" i="23" s="1"/>
  <c r="C390" i="23" s="1"/>
  <c r="D388" i="23"/>
  <c r="C388" i="23"/>
  <c r="D386" i="23"/>
  <c r="C386" i="23"/>
  <c r="D382" i="23"/>
  <c r="D381" i="23" s="1"/>
  <c r="D380" i="23" s="1"/>
  <c r="C382" i="23"/>
  <c r="C381" i="23" s="1"/>
  <c r="C380" i="23" s="1"/>
  <c r="D378" i="23"/>
  <c r="C378" i="23"/>
  <c r="D376" i="23"/>
  <c r="C376" i="23"/>
  <c r="F373" i="23"/>
  <c r="F372" i="23"/>
  <c r="F371" i="23"/>
  <c r="F370" i="23"/>
  <c r="E369" i="23"/>
  <c r="E368" i="23" s="1"/>
  <c r="D369" i="23"/>
  <c r="D368" i="23" s="1"/>
  <c r="C369" i="23"/>
  <c r="C368" i="23" s="1"/>
  <c r="F366" i="23"/>
  <c r="F365" i="23" s="1"/>
  <c r="F364" i="23" s="1"/>
  <c r="E365" i="23"/>
  <c r="E364" i="23" s="1"/>
  <c r="D365" i="23"/>
  <c r="D364" i="23" s="1"/>
  <c r="C365" i="23"/>
  <c r="C364" i="23" s="1"/>
  <c r="F363" i="23"/>
  <c r="F362" i="23"/>
  <c r="F361" i="23"/>
  <c r="F360" i="23"/>
  <c r="E359" i="23"/>
  <c r="D359" i="23"/>
  <c r="C359" i="23"/>
  <c r="F358" i="23"/>
  <c r="F357" i="23"/>
  <c r="F356" i="23"/>
  <c r="F355" i="23"/>
  <c r="F353" i="23"/>
  <c r="F352" i="23"/>
  <c r="F351" i="23"/>
  <c r="E350" i="23"/>
  <c r="D350" i="23"/>
  <c r="C350" i="23"/>
  <c r="F349" i="23"/>
  <c r="F348" i="23"/>
  <c r="F347" i="23"/>
  <c r="F346" i="23"/>
  <c r="F345" i="23"/>
  <c r="F344" i="23"/>
  <c r="E343" i="23"/>
  <c r="D343" i="23"/>
  <c r="C343" i="23"/>
  <c r="F342" i="23"/>
  <c r="F341" i="23" s="1"/>
  <c r="E341" i="23"/>
  <c r="D341" i="23"/>
  <c r="C341" i="23"/>
  <c r="F339" i="23"/>
  <c r="F337" i="23" s="1"/>
  <c r="F336" i="23" s="1"/>
  <c r="E337" i="23"/>
  <c r="E336" i="23" s="1"/>
  <c r="D337" i="23"/>
  <c r="D336" i="23" s="1"/>
  <c r="C337" i="23"/>
  <c r="C336" i="23" s="1"/>
  <c r="F333" i="23"/>
  <c r="F332" i="23" s="1"/>
  <c r="E332" i="23"/>
  <c r="D332" i="23"/>
  <c r="C332" i="23"/>
  <c r="F331" i="23"/>
  <c r="F330" i="23" s="1"/>
  <c r="E330" i="23"/>
  <c r="D330" i="23"/>
  <c r="C330" i="23"/>
  <c r="F328" i="23"/>
  <c r="F327" i="23" s="1"/>
  <c r="E327" i="23"/>
  <c r="D327" i="23"/>
  <c r="C327" i="23"/>
  <c r="D325" i="23"/>
  <c r="C325" i="23"/>
  <c r="F322" i="23"/>
  <c r="F321" i="23"/>
  <c r="E320" i="23"/>
  <c r="D320" i="23"/>
  <c r="C320" i="23"/>
  <c r="F318" i="23"/>
  <c r="F317" i="23" s="1"/>
  <c r="F316" i="23" s="1"/>
  <c r="E317" i="23"/>
  <c r="E316" i="23" s="1"/>
  <c r="D317" i="23"/>
  <c r="D316" i="23" s="1"/>
  <c r="C317" i="23"/>
  <c r="C316" i="23" s="1"/>
  <c r="F315" i="23"/>
  <c r="F314" i="23" s="1"/>
  <c r="E314" i="23"/>
  <c r="D314" i="23"/>
  <c r="C314" i="23"/>
  <c r="F312" i="23"/>
  <c r="F311" i="23"/>
  <c r="E310" i="23"/>
  <c r="D310" i="23"/>
  <c r="C310" i="23"/>
  <c r="F309" i="23"/>
  <c r="F308" i="23" s="1"/>
  <c r="E308" i="23"/>
  <c r="D308" i="23"/>
  <c r="C308" i="23"/>
  <c r="F307" i="23"/>
  <c r="F306" i="23"/>
  <c r="F305" i="23"/>
  <c r="F304" i="23"/>
  <c r="F303" i="23"/>
  <c r="F302" i="23"/>
  <c r="F301" i="23"/>
  <c r="F300" i="23"/>
  <c r="E299" i="23"/>
  <c r="D299" i="23"/>
  <c r="C299" i="23"/>
  <c r="F298" i="23"/>
  <c r="F297" i="23"/>
  <c r="F296" i="23"/>
  <c r="F295" i="23"/>
  <c r="F294" i="23"/>
  <c r="E293" i="23"/>
  <c r="D293" i="23"/>
  <c r="C293" i="23"/>
  <c r="F292" i="23"/>
  <c r="F291" i="23"/>
  <c r="E290" i="23"/>
  <c r="D290" i="23"/>
  <c r="C290" i="23"/>
  <c r="D285" i="23"/>
  <c r="C285" i="23"/>
  <c r="D283" i="23"/>
  <c r="C283" i="23"/>
  <c r="D280" i="23"/>
  <c r="C280" i="23"/>
  <c r="D278" i="23"/>
  <c r="C278" i="23"/>
  <c r="D275" i="23"/>
  <c r="C275" i="23"/>
  <c r="D273" i="23"/>
  <c r="C273" i="23"/>
  <c r="D269" i="23"/>
  <c r="C269" i="23"/>
  <c r="F268" i="23"/>
  <c r="F267" i="23" s="1"/>
  <c r="E267" i="23"/>
  <c r="D267" i="23"/>
  <c r="C267" i="23"/>
  <c r="F266" i="23"/>
  <c r="F265" i="23" s="1"/>
  <c r="E265" i="23"/>
  <c r="D265" i="23"/>
  <c r="C265" i="23"/>
  <c r="F264" i="23"/>
  <c r="F263" i="23"/>
  <c r="F262" i="23"/>
  <c r="F261" i="23"/>
  <c r="E260" i="23"/>
  <c r="D260" i="23"/>
  <c r="C260" i="23"/>
  <c r="F258" i="23"/>
  <c r="F257" i="23" s="1"/>
  <c r="F256" i="23" s="1"/>
  <c r="E257" i="23"/>
  <c r="E256" i="23" s="1"/>
  <c r="D257" i="23"/>
  <c r="D256" i="23" s="1"/>
  <c r="C257" i="23"/>
  <c r="C256" i="23" s="1"/>
  <c r="F255" i="23"/>
  <c r="F254" i="23" s="1"/>
  <c r="F253" i="23" s="1"/>
  <c r="E254" i="23"/>
  <c r="E253" i="23" s="1"/>
  <c r="D254" i="23"/>
  <c r="D253" i="23" s="1"/>
  <c r="C254" i="23"/>
  <c r="C253" i="23" s="1"/>
  <c r="F252" i="23"/>
  <c r="F251" i="23"/>
  <c r="E250" i="23"/>
  <c r="D250" i="23"/>
  <c r="C250" i="23"/>
  <c r="F247" i="23"/>
  <c r="F245" i="23" s="1"/>
  <c r="E245" i="23"/>
  <c r="D245" i="23"/>
  <c r="C245" i="23"/>
  <c r="F243" i="23"/>
  <c r="F242" i="23" s="1"/>
  <c r="E242" i="23"/>
  <c r="D242" i="23"/>
  <c r="C242" i="23"/>
  <c r="F241" i="23"/>
  <c r="F240" i="23" s="1"/>
  <c r="E240" i="23"/>
  <c r="D240" i="23"/>
  <c r="C240" i="23"/>
  <c r="F238" i="23"/>
  <c r="F237" i="23"/>
  <c r="E236" i="23"/>
  <c r="D236" i="23"/>
  <c r="C236" i="23"/>
  <c r="F235" i="23"/>
  <c r="F234" i="23"/>
  <c r="F233" i="23"/>
  <c r="F232" i="23"/>
  <c r="F231" i="23"/>
  <c r="E230" i="23"/>
  <c r="D230" i="23"/>
  <c r="C230" i="23"/>
  <c r="F229" i="23"/>
  <c r="F228" i="23"/>
  <c r="F227" i="23"/>
  <c r="F226" i="23"/>
  <c r="F225" i="23"/>
  <c r="F224" i="23"/>
  <c r="E223" i="23"/>
  <c r="D223" i="23"/>
  <c r="C223" i="23"/>
  <c r="F222" i="23"/>
  <c r="F221" i="23" s="1"/>
  <c r="E221" i="23"/>
  <c r="D221" i="23"/>
  <c r="C221" i="23"/>
  <c r="D215" i="23"/>
  <c r="D214" i="23" s="1"/>
  <c r="D213" i="23" s="1"/>
  <c r="C215" i="23"/>
  <c r="C214" i="23" s="1"/>
  <c r="C213" i="23" s="1"/>
  <c r="D211" i="23"/>
  <c r="C211" i="23"/>
  <c r="C207" i="23"/>
  <c r="F206" i="23"/>
  <c r="F205" i="23" s="1"/>
  <c r="E205" i="23"/>
  <c r="D205" i="23"/>
  <c r="C205" i="23"/>
  <c r="F204" i="23"/>
  <c r="F202" i="23"/>
  <c r="F201" i="23"/>
  <c r="F200" i="23"/>
  <c r="F199" i="23"/>
  <c r="F198" i="23"/>
  <c r="E197" i="23"/>
  <c r="D197" i="23"/>
  <c r="C197" i="23"/>
  <c r="F196" i="23"/>
  <c r="F194" i="23"/>
  <c r="F193" i="23"/>
  <c r="F192" i="23"/>
  <c r="F191" i="23"/>
  <c r="F189" i="23"/>
  <c r="F188" i="23" s="1"/>
  <c r="E188" i="23"/>
  <c r="D188" i="23"/>
  <c r="C188" i="23"/>
  <c r="F186" i="23"/>
  <c r="F185" i="23" s="1"/>
  <c r="F184" i="23" s="1"/>
  <c r="E185" i="23"/>
  <c r="E184" i="23" s="1"/>
  <c r="D185" i="23"/>
  <c r="D184" i="23" s="1"/>
  <c r="C185" i="23"/>
  <c r="C184" i="23" s="1"/>
  <c r="F181" i="23"/>
  <c r="F180" i="23" s="1"/>
  <c r="E181" i="23"/>
  <c r="E180" i="23" s="1"/>
  <c r="D181" i="23"/>
  <c r="D180" i="23" s="1"/>
  <c r="C181" i="23"/>
  <c r="C180" i="23" s="1"/>
  <c r="D177" i="23"/>
  <c r="D176" i="23" s="1"/>
  <c r="D175" i="23" s="1"/>
  <c r="C177" i="23"/>
  <c r="C176" i="23" s="1"/>
  <c r="F174" i="23"/>
  <c r="F173" i="23" s="1"/>
  <c r="F172" i="23" s="1"/>
  <c r="F171" i="23" s="1"/>
  <c r="E173" i="23"/>
  <c r="E172" i="23" s="1"/>
  <c r="E171" i="23" s="1"/>
  <c r="D173" i="23"/>
  <c r="D172" i="23" s="1"/>
  <c r="D171" i="23" s="1"/>
  <c r="C173" i="23"/>
  <c r="C172" i="23" s="1"/>
  <c r="C171" i="23" s="1"/>
  <c r="D166" i="23"/>
  <c r="D164" i="23" s="1"/>
  <c r="C166" i="23"/>
  <c r="C164" i="23" s="1"/>
  <c r="F163" i="23"/>
  <c r="F162" i="23" s="1"/>
  <c r="F161" i="23" s="1"/>
  <c r="E162" i="23"/>
  <c r="E161" i="23" s="1"/>
  <c r="D162" i="23"/>
  <c r="D161" i="23" s="1"/>
  <c r="C162" i="23"/>
  <c r="C161" i="23" s="1"/>
  <c r="D159" i="23"/>
  <c r="C159" i="23"/>
  <c r="F158" i="23"/>
  <c r="F157" i="23" s="1"/>
  <c r="F156" i="23" s="1"/>
  <c r="E157" i="23"/>
  <c r="E156" i="23" s="1"/>
  <c r="D157" i="23"/>
  <c r="D156" i="23" s="1"/>
  <c r="C157" i="23"/>
  <c r="C156" i="23" s="1"/>
  <c r="D144" i="23"/>
  <c r="D143" i="23" s="1"/>
  <c r="C144" i="23"/>
  <c r="C143" i="23" s="1"/>
  <c r="F142" i="23"/>
  <c r="F141" i="23" s="1"/>
  <c r="F140" i="23" s="1"/>
  <c r="F139" i="23" s="1"/>
  <c r="F138" i="23" s="1"/>
  <c r="E141" i="23"/>
  <c r="E140" i="23" s="1"/>
  <c r="E139" i="23" s="1"/>
  <c r="E138" i="23" s="1"/>
  <c r="D141" i="23"/>
  <c r="D140" i="23" s="1"/>
  <c r="D139" i="23" s="1"/>
  <c r="C141" i="23"/>
  <c r="C140" i="23" s="1"/>
  <c r="C139" i="23" s="1"/>
  <c r="F137" i="23"/>
  <c r="F136" i="23" s="1"/>
  <c r="F135" i="23" s="1"/>
  <c r="E136" i="23"/>
  <c r="E135" i="23" s="1"/>
  <c r="D136" i="23"/>
  <c r="D135" i="23" s="1"/>
  <c r="C136" i="23"/>
  <c r="C135" i="23" s="1"/>
  <c r="D133" i="23"/>
  <c r="D132" i="23" s="1"/>
  <c r="D131" i="23" s="1"/>
  <c r="C133" i="23"/>
  <c r="C132" i="23" s="1"/>
  <c r="C131" i="23" s="1"/>
  <c r="D128" i="23"/>
  <c r="C128" i="23"/>
  <c r="D124" i="23"/>
  <c r="C124" i="23"/>
  <c r="D122" i="23"/>
  <c r="C122" i="23"/>
  <c r="D117" i="23"/>
  <c r="C117" i="23"/>
  <c r="D115" i="23"/>
  <c r="C115" i="23"/>
  <c r="D113" i="23"/>
  <c r="C113" i="23"/>
  <c r="D111" i="23"/>
  <c r="C111" i="23"/>
  <c r="D107" i="23"/>
  <c r="C107" i="23"/>
  <c r="F105" i="23"/>
  <c r="F104" i="23" s="1"/>
  <c r="E104" i="23"/>
  <c r="D104" i="23"/>
  <c r="C104" i="23"/>
  <c r="F103" i="23"/>
  <c r="F102" i="23" s="1"/>
  <c r="E102" i="23"/>
  <c r="D102" i="23"/>
  <c r="C102" i="23"/>
  <c r="F101" i="23"/>
  <c r="F100" i="23" s="1"/>
  <c r="E100" i="23"/>
  <c r="D100" i="23"/>
  <c r="C100" i="23"/>
  <c r="F99" i="23"/>
  <c r="F98" i="23"/>
  <c r="F97" i="23"/>
  <c r="E90" i="23"/>
  <c r="D90" i="23"/>
  <c r="C90" i="23"/>
  <c r="F89" i="23"/>
  <c r="F88" i="23"/>
  <c r="E87" i="23"/>
  <c r="D79" i="23"/>
  <c r="C79" i="23"/>
  <c r="F78" i="23"/>
  <c r="F77" i="23" s="1"/>
  <c r="E77" i="23"/>
  <c r="D77" i="23"/>
  <c r="C77" i="23"/>
  <c r="D75" i="23"/>
  <c r="C75" i="23"/>
  <c r="F68" i="23"/>
  <c r="F65" i="23" s="1"/>
  <c r="E65" i="23"/>
  <c r="D65" i="23"/>
  <c r="C65" i="23"/>
  <c r="F57" i="23"/>
  <c r="E57" i="23"/>
  <c r="D57" i="23"/>
  <c r="C57" i="23"/>
  <c r="D54" i="23"/>
  <c r="D53" i="23" s="1"/>
  <c r="C54" i="23"/>
  <c r="C53" i="23" s="1"/>
  <c r="C51" i="23"/>
  <c r="F50" i="23"/>
  <c r="F47" i="23" s="1"/>
  <c r="F46" i="23" s="1"/>
  <c r="E47" i="23"/>
  <c r="D47" i="23"/>
  <c r="D46" i="23" s="1"/>
  <c r="C47" i="23"/>
  <c r="D44" i="23"/>
  <c r="C44" i="23"/>
  <c r="F42" i="23"/>
  <c r="F40" i="23" s="1"/>
  <c r="F39" i="23" s="1"/>
  <c r="E40" i="23"/>
  <c r="E39" i="23" s="1"/>
  <c r="D40" i="23"/>
  <c r="D39" i="23" s="1"/>
  <c r="C40" i="23"/>
  <c r="C39" i="23" s="1"/>
  <c r="D37" i="23"/>
  <c r="C37" i="23"/>
  <c r="D33" i="23"/>
  <c r="C33" i="23"/>
  <c r="C26" i="23"/>
  <c r="F25" i="23"/>
  <c r="F24" i="23"/>
  <c r="E23" i="23"/>
  <c r="E22" i="23" s="1"/>
  <c r="D23" i="23"/>
  <c r="D22" i="23" s="1"/>
  <c r="C23" i="23"/>
  <c r="F21" i="23"/>
  <c r="F20" i="23" s="1"/>
  <c r="F19" i="23" s="1"/>
  <c r="E20" i="23"/>
  <c r="E19" i="23" s="1"/>
  <c r="D20" i="23"/>
  <c r="D19" i="23" s="1"/>
  <c r="C20" i="23"/>
  <c r="C19" i="23" s="1"/>
  <c r="F17" i="23"/>
  <c r="F16" i="23" s="1"/>
  <c r="F15" i="23" s="1"/>
  <c r="F14" i="23" s="1"/>
  <c r="E16" i="23"/>
  <c r="E15" i="23" s="1"/>
  <c r="E14" i="23" s="1"/>
  <c r="D16" i="23"/>
  <c r="D15" i="23" s="1"/>
  <c r="D14" i="23" s="1"/>
  <c r="C16" i="23"/>
  <c r="C15" i="23" s="1"/>
  <c r="C14" i="23" s="1"/>
  <c r="F13" i="23"/>
  <c r="F12" i="23" s="1"/>
  <c r="F11" i="23" s="1"/>
  <c r="F10" i="23" s="1"/>
  <c r="E12" i="23"/>
  <c r="E11" i="23" s="1"/>
  <c r="E10" i="23" s="1"/>
  <c r="D12" i="23"/>
  <c r="D11" i="23" s="1"/>
  <c r="D10" i="23" s="1"/>
  <c r="C12" i="23"/>
  <c r="C11" i="23" s="1"/>
  <c r="C10" i="23" s="1"/>
  <c r="M1261" i="23" l="1"/>
  <c r="N1261" i="23"/>
  <c r="M753" i="23"/>
  <c r="C175" i="23"/>
  <c r="M849" i="23"/>
  <c r="N521" i="23"/>
  <c r="N753" i="23"/>
  <c r="M521" i="23"/>
  <c r="M858" i="23"/>
  <c r="N858" i="23"/>
  <c r="I18" i="23"/>
  <c r="I521" i="23"/>
  <c r="I831" i="23"/>
  <c r="F758" i="23"/>
  <c r="I1120" i="23"/>
  <c r="I849" i="23"/>
  <c r="I858" i="23"/>
  <c r="I891" i="23"/>
  <c r="I753" i="23"/>
  <c r="I743" i="23" s="1"/>
  <c r="F1020" i="23"/>
  <c r="M1516" i="23"/>
  <c r="N1516" i="23"/>
  <c r="J21" i="5" s="1"/>
  <c r="I1261" i="23"/>
  <c r="F1176" i="23"/>
  <c r="I536" i="23"/>
  <c r="I531" i="23" s="1"/>
  <c r="I1512" i="23" s="1"/>
  <c r="G1312" i="23"/>
  <c r="G1291" i="23"/>
  <c r="H1312" i="23"/>
  <c r="H1291" i="23"/>
  <c r="I1312" i="23"/>
  <c r="N1312" i="23"/>
  <c r="N1518" i="23"/>
  <c r="J23" i="5" s="1"/>
  <c r="D1312" i="23"/>
  <c r="D1291" i="23"/>
  <c r="E1312" i="23"/>
  <c r="E1291" i="23"/>
  <c r="F1293" i="23"/>
  <c r="F1292" i="23" s="1"/>
  <c r="M1312" i="23"/>
  <c r="M1518" i="23"/>
  <c r="I23" i="5" s="1"/>
  <c r="D1315" i="23"/>
  <c r="D1316" i="23"/>
  <c r="C1262" i="23"/>
  <c r="C1261" i="23" s="1"/>
  <c r="D1274" i="23"/>
  <c r="D1263" i="23" s="1"/>
  <c r="G1274" i="23"/>
  <c r="G1263" i="23" s="1"/>
  <c r="H1274" i="23"/>
  <c r="H1263" i="23" s="1"/>
  <c r="E1274" i="23"/>
  <c r="I1147" i="23"/>
  <c r="D1147" i="23"/>
  <c r="E1147" i="23"/>
  <c r="G1147" i="23"/>
  <c r="H1147" i="23"/>
  <c r="C1092" i="23"/>
  <c r="N1300" i="23"/>
  <c r="E858" i="23"/>
  <c r="N417" i="23"/>
  <c r="N416" i="23" s="1"/>
  <c r="N995" i="23"/>
  <c r="N1053" i="23"/>
  <c r="E653" i="23"/>
  <c r="N516" i="23"/>
  <c r="D782" i="23"/>
  <c r="D781" i="23" s="1"/>
  <c r="C858" i="23"/>
  <c r="D653" i="23"/>
  <c r="D744" i="23"/>
  <c r="F996" i="23"/>
  <c r="F995" i="23" s="1"/>
  <c r="C744" i="23"/>
  <c r="F782" i="23"/>
  <c r="F781" i="23" s="1"/>
  <c r="G244" i="23"/>
  <c r="M239" i="23"/>
  <c r="M219" i="23" s="1"/>
  <c r="M218" i="23" s="1"/>
  <c r="M971" i="23"/>
  <c r="M963" i="23" s="1"/>
  <c r="M962" i="23" s="1"/>
  <c r="M995" i="23"/>
  <c r="D858" i="23"/>
  <c r="G858" i="23"/>
  <c r="H858" i="23"/>
  <c r="N187" i="23"/>
  <c r="N183" i="23" s="1"/>
  <c r="N179" i="23" s="1"/>
  <c r="D239" i="23"/>
  <c r="C753" i="23"/>
  <c r="E753" i="23"/>
  <c r="E743" i="23" s="1"/>
  <c r="D1092" i="23"/>
  <c r="I244" i="23"/>
  <c r="D187" i="23"/>
  <c r="D183" i="23" s="1"/>
  <c r="D179" i="23" s="1"/>
  <c r="M1076" i="23"/>
  <c r="C1316" i="23"/>
  <c r="C1315" i="23" s="1"/>
  <c r="I289" i="23"/>
  <c r="F693" i="23"/>
  <c r="D753" i="23"/>
  <c r="F754" i="23"/>
  <c r="F533" i="23"/>
  <c r="F532" i="23" s="1"/>
  <c r="F518" i="23"/>
  <c r="F517" i="23" s="1"/>
  <c r="H244" i="23"/>
  <c r="I187" i="23"/>
  <c r="I183" i="23" s="1"/>
  <c r="I179" i="23" s="1"/>
  <c r="M187" i="23"/>
  <c r="M183" i="23" s="1"/>
  <c r="M179" i="23" s="1"/>
  <c r="C22" i="23"/>
  <c r="C18" i="23" s="1"/>
  <c r="C187" i="23"/>
  <c r="C183" i="23" s="1"/>
  <c r="C179" i="23" s="1"/>
  <c r="M1316" i="23"/>
  <c r="M1315" i="23" s="1"/>
  <c r="C46" i="23"/>
  <c r="F190" i="23"/>
  <c r="C319" i="23"/>
  <c r="N239" i="23"/>
  <c r="N219" i="23" s="1"/>
  <c r="N218" i="23" s="1"/>
  <c r="N484" i="23"/>
  <c r="N477" i="23" s="1"/>
  <c r="N476" i="23" s="1"/>
  <c r="N971" i="23"/>
  <c r="N963" i="23" s="1"/>
  <c r="N962" i="23" s="1"/>
  <c r="M46" i="23"/>
  <c r="M43" i="23" s="1"/>
  <c r="E239" i="23"/>
  <c r="E244" i="23"/>
  <c r="E1092" i="23"/>
  <c r="C1300" i="23"/>
  <c r="N46" i="23"/>
  <c r="N43" i="23" s="1"/>
  <c r="E1300" i="23"/>
  <c r="M568" i="23"/>
  <c r="M1053" i="23"/>
  <c r="N64" i="23"/>
  <c r="N56" i="23" s="1"/>
  <c r="E1120" i="23"/>
  <c r="I484" i="23"/>
  <c r="I477" i="23" s="1"/>
  <c r="I476" i="23" s="1"/>
  <c r="G187" i="23"/>
  <c r="G183" i="23" s="1"/>
  <c r="G179" i="23" s="1"/>
  <c r="H187" i="23"/>
  <c r="H183" i="23" s="1"/>
  <c r="H179" i="23" s="1"/>
  <c r="M477" i="23"/>
  <c r="M476" i="23" s="1"/>
  <c r="N335" i="23"/>
  <c r="N334" i="23" s="1"/>
  <c r="N568" i="23"/>
  <c r="C244" i="23"/>
  <c r="E43" i="23"/>
  <c r="E46" i="23"/>
  <c r="E187" i="23"/>
  <c r="E183" i="23" s="1"/>
  <c r="E179" i="23" s="1"/>
  <c r="D244" i="23"/>
  <c r="N18" i="23"/>
  <c r="M335" i="23"/>
  <c r="M334" i="23" s="1"/>
  <c r="M417" i="23"/>
  <c r="M416" i="23" s="1"/>
  <c r="M18" i="23"/>
  <c r="N531" i="23"/>
  <c r="N1512" i="23" s="1"/>
  <c r="N1015" i="23"/>
  <c r="N1011" i="23" s="1"/>
  <c r="N1010" i="23" s="1"/>
  <c r="N1316" i="23"/>
  <c r="N1315" i="23" s="1"/>
  <c r="M64" i="23"/>
  <c r="M56" i="23" s="1"/>
  <c r="M516" i="23"/>
  <c r="M531" i="23"/>
  <c r="M1512" i="23" s="1"/>
  <c r="M1015" i="23"/>
  <c r="M1011" i="23" s="1"/>
  <c r="M1010" i="23" s="1"/>
  <c r="M1120" i="23"/>
  <c r="M1300" i="23"/>
  <c r="N1076" i="23"/>
  <c r="D329" i="23"/>
  <c r="F1253" i="23"/>
  <c r="F1251" i="23" s="1"/>
  <c r="F1250" i="23" s="1"/>
  <c r="N711" i="23"/>
  <c r="C796" i="23"/>
  <c r="E605" i="23"/>
  <c r="E604" i="23" s="1"/>
  <c r="E1513" i="23" s="1"/>
  <c r="D1300" i="23"/>
  <c r="F625" i="23"/>
  <c r="F849" i="23"/>
  <c r="D915" i="23"/>
  <c r="D914" i="23" s="1"/>
  <c r="E1027" i="23"/>
  <c r="H711" i="23"/>
  <c r="G64" i="23"/>
  <c r="G56" i="23" s="1"/>
  <c r="G1517" i="23" s="1"/>
  <c r="G1300" i="23"/>
  <c r="D375" i="23"/>
  <c r="D374" i="23" s="1"/>
  <c r="I1320" i="23"/>
  <c r="I1316" i="23" s="1"/>
  <c r="I1315" i="23" s="1"/>
  <c r="N605" i="23"/>
  <c r="N604" i="23" s="1"/>
  <c r="N1254" i="23"/>
  <c r="D1138" i="23"/>
  <c r="C805" i="23"/>
  <c r="D1027" i="23"/>
  <c r="N831" i="23"/>
  <c r="D84" i="23"/>
  <c r="D83" i="23" s="1"/>
  <c r="D82" i="23" s="1"/>
  <c r="D568" i="23"/>
  <c r="E849" i="23"/>
  <c r="E568" i="23"/>
  <c r="C521" i="23"/>
  <c r="C516" i="23" s="1"/>
  <c r="D580" i="23"/>
  <c r="C781" i="23"/>
  <c r="C849" i="23"/>
  <c r="M605" i="23"/>
  <c r="M604" i="23" s="1"/>
  <c r="C138" i="23"/>
  <c r="G84" i="23"/>
  <c r="G83" i="23" s="1"/>
  <c r="G82" i="23" s="1"/>
  <c r="G1254" i="23"/>
  <c r="H84" i="23"/>
  <c r="H83" i="23" s="1"/>
  <c r="H82" i="23" s="1"/>
  <c r="E319" i="23"/>
  <c r="F64" i="23"/>
  <c r="F56" i="23" s="1"/>
  <c r="E421" i="23"/>
  <c r="E417" i="23" s="1"/>
  <c r="E416" i="23" s="1"/>
  <c r="C421" i="23"/>
  <c r="C417" i="23" s="1"/>
  <c r="C416" i="23" s="1"/>
  <c r="D688" i="23"/>
  <c r="D849" i="23"/>
  <c r="C891" i="23"/>
  <c r="D1076" i="23"/>
  <c r="G849" i="23"/>
  <c r="G1053" i="23"/>
  <c r="G1097" i="23"/>
  <c r="H1300" i="23"/>
  <c r="M84" i="23"/>
  <c r="M83" i="23" s="1"/>
  <c r="M82" i="23" s="1"/>
  <c r="E64" i="23"/>
  <c r="E56" i="23" s="1"/>
  <c r="C84" i="23"/>
  <c r="C83" i="23" s="1"/>
  <c r="C82" i="23" s="1"/>
  <c r="D277" i="23"/>
  <c r="D289" i="23"/>
  <c r="E805" i="23"/>
  <c r="C908" i="23"/>
  <c r="C907" i="23" s="1"/>
  <c r="I84" i="23"/>
  <c r="I83" i="23" s="1"/>
  <c r="I82" i="23" s="1"/>
  <c r="I568" i="23"/>
  <c r="N84" i="23"/>
  <c r="N83" i="23" s="1"/>
  <c r="N82" i="23" s="1"/>
  <c r="F1144" i="23"/>
  <c r="N1241" i="23"/>
  <c r="N1236" i="23" s="1"/>
  <c r="N743" i="23"/>
  <c r="I1300" i="23"/>
  <c r="F239" i="23"/>
  <c r="F290" i="23"/>
  <c r="F1050" i="23"/>
  <c r="G753" i="23"/>
  <c r="G743" i="23" s="1"/>
  <c r="C625" i="23"/>
  <c r="F236" i="23"/>
  <c r="F401" i="23"/>
  <c r="F396" i="23" s="1"/>
  <c r="F395" i="23" s="1"/>
  <c r="F394" i="23" s="1"/>
  <c r="E1003" i="23"/>
  <c r="F299" i="23"/>
  <c r="F1045" i="23"/>
  <c r="F1139" i="23"/>
  <c r="D155" i="23"/>
  <c r="D154" i="23" s="1"/>
  <c r="C272" i="23"/>
  <c r="F689" i="23"/>
  <c r="F810" i="23"/>
  <c r="F816" i="23"/>
  <c r="F87" i="23"/>
  <c r="C484" i="23"/>
  <c r="C477" i="23" s="1"/>
  <c r="C476" i="23" s="1"/>
  <c r="F524" i="23"/>
  <c r="F521" i="23" s="1"/>
  <c r="F560" i="23"/>
  <c r="F559" i="23" s="1"/>
  <c r="F716" i="23"/>
  <c r="F1016" i="23"/>
  <c r="F1039" i="23"/>
  <c r="F1038" i="23" s="1"/>
  <c r="F1037" i="23" s="1"/>
  <c r="F1036" i="23" s="1"/>
  <c r="E1097" i="23"/>
  <c r="F1102" i="23"/>
  <c r="G605" i="23"/>
  <c r="G604" i="23" s="1"/>
  <c r="G603" i="23" s="1"/>
  <c r="I711" i="23"/>
  <c r="M155" i="23"/>
  <c r="M154" i="23" s="1"/>
  <c r="M952" i="23"/>
  <c r="D908" i="23"/>
  <c r="D907" i="23" s="1"/>
  <c r="C915" i="23"/>
  <c r="C914" i="23" s="1"/>
  <c r="F957" i="23"/>
  <c r="C1076" i="23"/>
  <c r="F1133" i="23"/>
  <c r="E1254" i="23"/>
  <c r="G1241" i="23"/>
  <c r="G1236" i="23" s="1"/>
  <c r="H1241" i="23"/>
  <c r="H1236" i="23" s="1"/>
  <c r="D43" i="23"/>
  <c r="D64" i="23"/>
  <c r="D56" i="23" s="1"/>
  <c r="C259" i="23"/>
  <c r="D259" i="23"/>
  <c r="F320" i="23"/>
  <c r="F319" i="23" s="1"/>
  <c r="E329" i="23"/>
  <c r="C385" i="23"/>
  <c r="C384" i="23" s="1"/>
  <c r="D444" i="23"/>
  <c r="D438" i="23" s="1"/>
  <c r="D437" i="23" s="1"/>
  <c r="C568" i="23"/>
  <c r="F749" i="23"/>
  <c r="F980" i="23"/>
  <c r="C1027" i="23"/>
  <c r="C1147" i="23"/>
  <c r="H849" i="23"/>
  <c r="I64" i="23"/>
  <c r="I56" i="23" s="1"/>
  <c r="M711" i="23"/>
  <c r="M891" i="23"/>
  <c r="M1241" i="23"/>
  <c r="M1236" i="23" s="1"/>
  <c r="M1254" i="23"/>
  <c r="N1138" i="23"/>
  <c r="N1137" i="23" s="1"/>
  <c r="I805" i="23"/>
  <c r="E1320" i="23"/>
  <c r="E1316" i="23" s="1"/>
  <c r="E1315" i="23" s="1"/>
  <c r="F1321" i="23"/>
  <c r="F1320" i="23" s="1"/>
  <c r="C110" i="23"/>
  <c r="C1509" i="23" s="1"/>
  <c r="F369" i="23"/>
  <c r="F368" i="23" s="1"/>
  <c r="D396" i="23"/>
  <c r="D395" i="23" s="1"/>
  <c r="D394" i="23" s="1"/>
  <c r="E444" i="23"/>
  <c r="E438" i="23" s="1"/>
  <c r="E437" i="23" s="1"/>
  <c r="F452" i="23"/>
  <c r="F698" i="23"/>
  <c r="F766" i="23"/>
  <c r="E953" i="23"/>
  <c r="E952" i="23" s="1"/>
  <c r="E951" i="23" s="1"/>
  <c r="F1004" i="23"/>
  <c r="F1003" i="23" s="1"/>
  <c r="F1058" i="23"/>
  <c r="C1053" i="23"/>
  <c r="D1262" i="23"/>
  <c r="D1516" i="23" s="1"/>
  <c r="C64" i="23"/>
  <c r="C56" i="23" s="1"/>
  <c r="E259" i="23"/>
  <c r="D272" i="23"/>
  <c r="C277" i="23"/>
  <c r="D319" i="23"/>
  <c r="C329" i="23"/>
  <c r="D340" i="23"/>
  <c r="D335" i="23" s="1"/>
  <c r="D334" i="23" s="1"/>
  <c r="C375" i="23"/>
  <c r="C374" i="23" s="1"/>
  <c r="D536" i="23"/>
  <c r="D531" i="23" s="1"/>
  <c r="D891" i="23"/>
  <c r="N155" i="23"/>
  <c r="N154" i="23" s="1"/>
  <c r="E18" i="23"/>
  <c r="F90" i="23"/>
  <c r="F230" i="23"/>
  <c r="D521" i="23"/>
  <c r="D516" i="23" s="1"/>
  <c r="C580" i="23"/>
  <c r="C831" i="23"/>
  <c r="D971" i="23"/>
  <c r="D963" i="23" s="1"/>
  <c r="D962" i="23" s="1"/>
  <c r="E1173" i="23"/>
  <c r="E1241" i="23"/>
  <c r="E1236" i="23" s="1"/>
  <c r="F1334" i="23"/>
  <c r="F1333" i="23" s="1"/>
  <c r="G259" i="23"/>
  <c r="H396" i="23"/>
  <c r="H395" i="23" s="1"/>
  <c r="H394" i="23" s="1"/>
  <c r="H605" i="23"/>
  <c r="H604" i="23" s="1"/>
  <c r="H603" i="23" s="1"/>
  <c r="I1097" i="23"/>
  <c r="N1092" i="23"/>
  <c r="N1091" i="23" s="1"/>
  <c r="F870" i="23"/>
  <c r="D953" i="23"/>
  <c r="D952" i="23" s="1"/>
  <c r="D951" i="23" s="1"/>
  <c r="F1054" i="23"/>
  <c r="C1097" i="23"/>
  <c r="C1138" i="23"/>
  <c r="C1255" i="23"/>
  <c r="C1254" i="23" s="1"/>
  <c r="I1076" i="23"/>
  <c r="N653" i="23"/>
  <c r="N952" i="23"/>
  <c r="F859" i="23"/>
  <c r="C1015" i="23"/>
  <c r="C1173" i="23"/>
  <c r="D1173" i="23"/>
  <c r="D1241" i="23"/>
  <c r="D1236" i="23" s="1"/>
  <c r="C1241" i="23"/>
  <c r="F1284" i="23"/>
  <c r="F1283" i="23" s="1"/>
  <c r="G1120" i="23"/>
  <c r="H64" i="23"/>
  <c r="H56" i="23" s="1"/>
  <c r="H1517" i="23" s="1"/>
  <c r="H753" i="23"/>
  <c r="H743" i="23" s="1"/>
  <c r="H805" i="23"/>
  <c r="H1076" i="23"/>
  <c r="H1120" i="23"/>
  <c r="H1320" i="23"/>
  <c r="I329" i="23"/>
  <c r="I605" i="23"/>
  <c r="I604" i="23" s="1"/>
  <c r="I1513" i="23" s="1"/>
  <c r="C17" i="5" s="1"/>
  <c r="H17" i="5" s="1"/>
  <c r="I1027" i="23"/>
  <c r="I1241" i="23"/>
  <c r="I1236" i="23" s="1"/>
  <c r="I1254" i="23"/>
  <c r="I1249" i="23" s="1"/>
  <c r="I1516" i="23"/>
  <c r="C21" i="5" s="1"/>
  <c r="H21" i="5" s="1"/>
  <c r="M1138" i="23"/>
  <c r="M1137" i="23" s="1"/>
  <c r="N805" i="23"/>
  <c r="N1044" i="23"/>
  <c r="E155" i="23"/>
  <c r="E154" i="23" s="1"/>
  <c r="C155" i="23"/>
  <c r="C154" i="23" s="1"/>
  <c r="F23" i="23"/>
  <c r="E84" i="23"/>
  <c r="E83" i="23" s="1"/>
  <c r="E82" i="23" s="1"/>
  <c r="E289" i="23"/>
  <c r="F329" i="23"/>
  <c r="E340" i="23"/>
  <c r="E335" i="23" s="1"/>
  <c r="E334" i="23" s="1"/>
  <c r="F359" i="23"/>
  <c r="E396" i="23"/>
  <c r="E395" i="23" s="1"/>
  <c r="E394" i="23" s="1"/>
  <c r="D421" i="23"/>
  <c r="D417" i="23" s="1"/>
  <c r="D416" i="23" s="1"/>
  <c r="F428" i="23"/>
  <c r="F447" i="23"/>
  <c r="D484" i="23"/>
  <c r="D477" i="23" s="1"/>
  <c r="D476" i="23" s="1"/>
  <c r="F747" i="23"/>
  <c r="D796" i="23"/>
  <c r="F806" i="23"/>
  <c r="E971" i="23"/>
  <c r="E963" i="23" s="1"/>
  <c r="E962" i="23" s="1"/>
  <c r="E995" i="23"/>
  <c r="E1044" i="23"/>
  <c r="D1053" i="23"/>
  <c r="E536" i="23"/>
  <c r="E531" i="23" s="1"/>
  <c r="D138" i="23"/>
  <c r="F472" i="23"/>
  <c r="F471" i="23" s="1"/>
  <c r="F1077" i="23"/>
  <c r="F1076" i="23" s="1"/>
  <c r="D1097" i="23"/>
  <c r="F1306" i="23"/>
  <c r="F1300" i="23" s="1"/>
  <c r="F1309" i="23"/>
  <c r="D1308" i="23"/>
  <c r="C239" i="23"/>
  <c r="F493" i="23"/>
  <c r="C536" i="23"/>
  <c r="C531" i="23" s="1"/>
  <c r="C711" i="23"/>
  <c r="E711" i="23"/>
  <c r="F723" i="23"/>
  <c r="F722" i="23" s="1"/>
  <c r="F721" i="23" s="1"/>
  <c r="F720" i="23" s="1"/>
  <c r="D18" i="23"/>
  <c r="C43" i="23"/>
  <c r="D110" i="23"/>
  <c r="D109" i="23" s="1"/>
  <c r="F155" i="23"/>
  <c r="F154" i="23" s="1"/>
  <c r="D220" i="23"/>
  <c r="C220" i="23"/>
  <c r="D282" i="23"/>
  <c r="F293" i="23"/>
  <c r="F350" i="23"/>
  <c r="C396" i="23"/>
  <c r="C395" i="23" s="1"/>
  <c r="C394" i="23" s="1"/>
  <c r="F796" i="23"/>
  <c r="D1120" i="23"/>
  <c r="D605" i="23"/>
  <c r="D604" i="23" s="1"/>
  <c r="D603" i="23" s="1"/>
  <c r="E688" i="23"/>
  <c r="F832" i="23"/>
  <c r="F831" i="23" s="1"/>
  <c r="E831" i="23"/>
  <c r="E891" i="23"/>
  <c r="C953" i="23"/>
  <c r="C952" i="23" s="1"/>
  <c r="C951" i="23" s="1"/>
  <c r="C971" i="23"/>
  <c r="C963" i="23" s="1"/>
  <c r="C962" i="23" s="1"/>
  <c r="E1015" i="23"/>
  <c r="F1028" i="23"/>
  <c r="F1027" i="23" s="1"/>
  <c r="E1053" i="23"/>
  <c r="E1076" i="23"/>
  <c r="F1092" i="23"/>
  <c r="F1106" i="23"/>
  <c r="F1148" i="23"/>
  <c r="F1238" i="23"/>
  <c r="F1237" i="23" s="1"/>
  <c r="C1251" i="23"/>
  <c r="C1250" i="23" s="1"/>
  <c r="G484" i="23"/>
  <c r="G477" i="23" s="1"/>
  <c r="G476" i="23" s="1"/>
  <c r="G688" i="23"/>
  <c r="G831" i="23"/>
  <c r="H688" i="23"/>
  <c r="H831" i="23"/>
  <c r="I1138" i="23"/>
  <c r="M743" i="23"/>
  <c r="F864" i="23"/>
  <c r="F895" i="23"/>
  <c r="F891" i="23" s="1"/>
  <c r="D1015" i="23"/>
  <c r="F1153" i="23"/>
  <c r="G155" i="23"/>
  <c r="G154" i="23" s="1"/>
  <c r="G444" i="23"/>
  <c r="G438" i="23" s="1"/>
  <c r="G437" i="23" s="1"/>
  <c r="G1076" i="23"/>
  <c r="H891" i="23"/>
  <c r="F197" i="23"/>
  <c r="E220" i="23"/>
  <c r="F250" i="23"/>
  <c r="F244" i="23" s="1"/>
  <c r="C282" i="23"/>
  <c r="C289" i="23"/>
  <c r="F310" i="23"/>
  <c r="F343" i="23"/>
  <c r="C340" i="23"/>
  <c r="C335" i="23" s="1"/>
  <c r="C334" i="23" s="1"/>
  <c r="D385" i="23"/>
  <c r="D384" i="23" s="1"/>
  <c r="E484" i="23"/>
  <c r="E477" i="23" s="1"/>
  <c r="E476" i="23" s="1"/>
  <c r="E521" i="23"/>
  <c r="E516" i="23" s="1"/>
  <c r="F540" i="23"/>
  <c r="F553" i="23"/>
  <c r="F666" i="23"/>
  <c r="F660" i="23" s="1"/>
  <c r="C688" i="23"/>
  <c r="D711" i="23"/>
  <c r="E796" i="23"/>
  <c r="D831" i="23"/>
  <c r="F954" i="23"/>
  <c r="F972" i="23"/>
  <c r="D995" i="23"/>
  <c r="D991" i="23" s="1"/>
  <c r="D990" i="23" s="1"/>
  <c r="C995" i="23"/>
  <c r="C991" i="23" s="1"/>
  <c r="C990" i="23" s="1"/>
  <c r="D1044" i="23"/>
  <c r="C1044" i="23"/>
  <c r="F1123" i="23"/>
  <c r="F1120" i="23" s="1"/>
  <c r="C1120" i="23"/>
  <c r="E1138" i="23"/>
  <c r="F1159" i="23"/>
  <c r="F1181" i="23"/>
  <c r="F1241" i="23"/>
  <c r="C1247" i="23"/>
  <c r="C1246" i="23" s="1"/>
  <c r="D1254" i="23"/>
  <c r="G396" i="23"/>
  <c r="G395" i="23" s="1"/>
  <c r="G394" i="23" s="1"/>
  <c r="G891" i="23"/>
  <c r="G1003" i="23"/>
  <c r="G1015" i="23"/>
  <c r="H155" i="23"/>
  <c r="H154" i="23" s="1"/>
  <c r="H1003" i="23"/>
  <c r="H1254" i="23"/>
  <c r="M831" i="23"/>
  <c r="N891" i="23"/>
  <c r="I396" i="23"/>
  <c r="I395" i="23" s="1"/>
  <c r="I394" i="23" s="1"/>
  <c r="I516" i="23"/>
  <c r="I796" i="23"/>
  <c r="I1053" i="23"/>
  <c r="I1092" i="23"/>
  <c r="I1173" i="23"/>
  <c r="M653" i="23"/>
  <c r="M805" i="23"/>
  <c r="N444" i="23"/>
  <c r="N438" i="23" s="1"/>
  <c r="N437" i="23" s="1"/>
  <c r="N688" i="23"/>
  <c r="N796" i="23"/>
  <c r="H259" i="23"/>
  <c r="H796" i="23"/>
  <c r="H1015" i="23"/>
  <c r="H1027" i="23"/>
  <c r="H1097" i="23"/>
  <c r="I259" i="23"/>
  <c r="I653" i="23"/>
  <c r="I953" i="23"/>
  <c r="I952" i="23" s="1"/>
  <c r="I951" i="23" s="1"/>
  <c r="I1015" i="23"/>
  <c r="I1044" i="23"/>
  <c r="M796" i="23"/>
  <c r="M1092" i="23"/>
  <c r="N396" i="23"/>
  <c r="N395" i="23" s="1"/>
  <c r="N394" i="23" s="1"/>
  <c r="H239" i="23"/>
  <c r="H444" i="23"/>
  <c r="H438" i="23" s="1"/>
  <c r="H437" i="23" s="1"/>
  <c r="H653" i="23"/>
  <c r="H1262" i="23"/>
  <c r="H1261" i="23" s="1"/>
  <c r="I319" i="23"/>
  <c r="I971" i="23"/>
  <c r="I963" i="23" s="1"/>
  <c r="I962" i="23" s="1"/>
  <c r="I995" i="23"/>
  <c r="M396" i="23"/>
  <c r="M395" i="23" s="1"/>
  <c r="M394" i="23" s="1"/>
  <c r="M444" i="23"/>
  <c r="M438" i="23" s="1"/>
  <c r="M437" i="23" s="1"/>
  <c r="M688" i="23"/>
  <c r="M1044" i="23"/>
  <c r="G1262" i="23"/>
  <c r="G1516" i="23" s="1"/>
  <c r="G1173" i="23"/>
  <c r="H1173" i="23"/>
  <c r="H1053" i="23"/>
  <c r="G1027" i="23"/>
  <c r="H995" i="23"/>
  <c r="G995" i="23"/>
  <c r="G805" i="23"/>
  <c r="G796" i="23"/>
  <c r="H484" i="23"/>
  <c r="H477" i="23" s="1"/>
  <c r="G239" i="23"/>
  <c r="H220" i="23"/>
  <c r="G220" i="23"/>
  <c r="G18" i="23"/>
  <c r="H18" i="23"/>
  <c r="I421" i="23"/>
  <c r="I417" i="23" s="1"/>
  <c r="I239" i="23"/>
  <c r="I340" i="23"/>
  <c r="I335" i="23" s="1"/>
  <c r="I444" i="23"/>
  <c r="I438" i="23" s="1"/>
  <c r="I437" i="23" s="1"/>
  <c r="I688" i="23"/>
  <c r="I220" i="23"/>
  <c r="H288" i="23"/>
  <c r="H287" i="23" s="1"/>
  <c r="H43" i="23"/>
  <c r="G1320" i="23"/>
  <c r="G1316" i="23" s="1"/>
  <c r="G1315" i="23" s="1"/>
  <c r="G711" i="23"/>
  <c r="G138" i="23"/>
  <c r="G288" i="23"/>
  <c r="G287" i="23" s="1"/>
  <c r="G653" i="23"/>
  <c r="G43" i="23"/>
  <c r="G1512" i="23" s="1"/>
  <c r="F43" i="23"/>
  <c r="F223" i="23"/>
  <c r="F260" i="23"/>
  <c r="F259" i="23" s="1"/>
  <c r="C605" i="23"/>
  <c r="C604" i="23" s="1"/>
  <c r="F610" i="23"/>
  <c r="F545" i="23"/>
  <c r="F712" i="23"/>
  <c r="C444" i="23"/>
  <c r="C438" i="23" s="1"/>
  <c r="C437" i="23" s="1"/>
  <c r="F568" i="23"/>
  <c r="F664" i="23"/>
  <c r="C653" i="23"/>
  <c r="D805" i="23"/>
  <c r="F1313" i="23"/>
  <c r="F1291" i="23" s="1"/>
  <c r="C1312" i="23"/>
  <c r="F424" i="23"/>
  <c r="F485" i="23"/>
  <c r="F606" i="23"/>
  <c r="F1064" i="23"/>
  <c r="F1098" i="23"/>
  <c r="F1266" i="23"/>
  <c r="F1258" i="23"/>
  <c r="F1257" i="23" s="1"/>
  <c r="F1254" i="23" s="1"/>
  <c r="G1511" i="23" l="1"/>
  <c r="H1509" i="23"/>
  <c r="D1509" i="23"/>
  <c r="E1509" i="23"/>
  <c r="F1509" i="23" s="1"/>
  <c r="G1509" i="23"/>
  <c r="M1509" i="23"/>
  <c r="I1509" i="23"/>
  <c r="N1509" i="23"/>
  <c r="E1511" i="23"/>
  <c r="C1511" i="23"/>
  <c r="N1511" i="23"/>
  <c r="J15" i="5" s="1"/>
  <c r="I1511" i="23"/>
  <c r="C15" i="5" s="1"/>
  <c r="H15" i="5" s="1"/>
  <c r="H1511" i="23"/>
  <c r="M1511" i="23"/>
  <c r="D1511" i="23"/>
  <c r="M1510" i="23"/>
  <c r="N1510" i="23"/>
  <c r="C109" i="23"/>
  <c r="E1262" i="23"/>
  <c r="E1516" i="23" s="1"/>
  <c r="E1263" i="23"/>
  <c r="G1296" i="23"/>
  <c r="G1295" i="23" s="1"/>
  <c r="I1137" i="23"/>
  <c r="I1136" i="23" s="1"/>
  <c r="M1296" i="23"/>
  <c r="M1295" i="23" s="1"/>
  <c r="I1296" i="23"/>
  <c r="I1295" i="23" s="1"/>
  <c r="N1296" i="23"/>
  <c r="N1295" i="23" s="1"/>
  <c r="E1296" i="23"/>
  <c r="E1295" i="23" s="1"/>
  <c r="H1296" i="23"/>
  <c r="H1295" i="23" s="1"/>
  <c r="F1312" i="23"/>
  <c r="C1296" i="23"/>
  <c r="C1295" i="23" s="1"/>
  <c r="F1308" i="23"/>
  <c r="D1296" i="23"/>
  <c r="D1295" i="23" s="1"/>
  <c r="F1249" i="23"/>
  <c r="C1249" i="23"/>
  <c r="G1249" i="23"/>
  <c r="H1249" i="23"/>
  <c r="M1249" i="23"/>
  <c r="N1249" i="23"/>
  <c r="D1249" i="23"/>
  <c r="E1249" i="23"/>
  <c r="E1137" i="23"/>
  <c r="E1136" i="23" s="1"/>
  <c r="M991" i="23"/>
  <c r="M990" i="23" s="1"/>
  <c r="D1137" i="23"/>
  <c r="D1136" i="23" s="1"/>
  <c r="C1137" i="23"/>
  <c r="C1136" i="23" s="1"/>
  <c r="F1147" i="23"/>
  <c r="M1136" i="23"/>
  <c r="E603" i="23"/>
  <c r="N991" i="23"/>
  <c r="N990" i="23" s="1"/>
  <c r="F187" i="23"/>
  <c r="F183" i="23" s="1"/>
  <c r="F179" i="23" s="1"/>
  <c r="N1517" i="23"/>
  <c r="J22" i="5" s="1"/>
  <c r="N1043" i="23"/>
  <c r="N1136" i="23"/>
  <c r="M1043" i="23"/>
  <c r="D1091" i="23"/>
  <c r="D1090" i="23" s="1"/>
  <c r="C1091" i="23"/>
  <c r="C1090" i="23" s="1"/>
  <c r="F858" i="23"/>
  <c r="F848" i="23" s="1"/>
  <c r="F847" i="23" s="1"/>
  <c r="M1517" i="23"/>
  <c r="I22" i="5" s="1"/>
  <c r="E1091" i="23"/>
  <c r="E1090" i="23" s="1"/>
  <c r="C743" i="23"/>
  <c r="C742" i="23" s="1"/>
  <c r="F753" i="23"/>
  <c r="F744" i="23"/>
  <c r="D743" i="23"/>
  <c r="F516" i="23"/>
  <c r="M515" i="23"/>
  <c r="M1091" i="23"/>
  <c r="M1090" i="23" s="1"/>
  <c r="I16" i="5"/>
  <c r="J16" i="5"/>
  <c r="N9" i="23"/>
  <c r="N515" i="23"/>
  <c r="M9" i="23"/>
  <c r="F22" i="23"/>
  <c r="F18" i="23" s="1"/>
  <c r="C1011" i="23"/>
  <c r="C1010" i="23" s="1"/>
  <c r="N603" i="23"/>
  <c r="N1513" i="23"/>
  <c r="J17" i="5" s="1"/>
  <c r="C16" i="5"/>
  <c r="H16" i="5" s="1"/>
  <c r="I15" i="5"/>
  <c r="M603" i="23"/>
  <c r="M1513" i="23"/>
  <c r="I17" i="5" s="1"/>
  <c r="M951" i="23"/>
  <c r="N951" i="23"/>
  <c r="I416" i="23"/>
  <c r="E742" i="23"/>
  <c r="G742" i="23"/>
  <c r="N681" i="23"/>
  <c r="I742" i="23"/>
  <c r="M742" i="23"/>
  <c r="N742" i="23"/>
  <c r="E1011" i="23"/>
  <c r="E1010" i="23" s="1"/>
  <c r="D579" i="23"/>
  <c r="F711" i="23"/>
  <c r="C795" i="23"/>
  <c r="C794" i="23" s="1"/>
  <c r="D681" i="23"/>
  <c r="D652" i="23" s="1"/>
  <c r="F1044" i="23"/>
  <c r="I603" i="23"/>
  <c r="N1090" i="23"/>
  <c r="H681" i="23"/>
  <c r="H1514" i="23" s="1"/>
  <c r="D1517" i="23"/>
  <c r="N795" i="23"/>
  <c r="N794" i="23" s="1"/>
  <c r="D1011" i="23"/>
  <c r="D1010" i="23" s="1"/>
  <c r="E1517" i="23"/>
  <c r="I1517" i="23"/>
  <c r="C22" i="5" s="1"/>
  <c r="H22" i="5" s="1"/>
  <c r="G1137" i="23"/>
  <c r="G1136" i="23" s="1"/>
  <c r="D9" i="23"/>
  <c r="C1516" i="23"/>
  <c r="D288" i="23"/>
  <c r="D287" i="23" s="1"/>
  <c r="C1517" i="23"/>
  <c r="G1011" i="23"/>
  <c r="G1010" i="23" s="1"/>
  <c r="E219" i="23"/>
  <c r="G1513" i="23"/>
  <c r="G681" i="23"/>
  <c r="G1514" i="23" s="1"/>
  <c r="H1516" i="23"/>
  <c r="E848" i="23"/>
  <c r="E847" i="23" s="1"/>
  <c r="C848" i="23"/>
  <c r="C847" i="23" s="1"/>
  <c r="D219" i="23"/>
  <c r="G1091" i="23"/>
  <c r="G1090" i="23" s="1"/>
  <c r="C219" i="23"/>
  <c r="I515" i="23"/>
  <c r="C681" i="23"/>
  <c r="C1514" i="23" s="1"/>
  <c r="D1261" i="23"/>
  <c r="D848" i="23"/>
  <c r="D847" i="23" s="1"/>
  <c r="G795" i="23"/>
  <c r="G794" i="23" s="1"/>
  <c r="H1011" i="23"/>
  <c r="H1010" i="23" s="1"/>
  <c r="M795" i="23"/>
  <c r="M794" i="23" s="1"/>
  <c r="G1043" i="23"/>
  <c r="G1042" i="23" s="1"/>
  <c r="E681" i="23"/>
  <c r="E652" i="23" s="1"/>
  <c r="C1512" i="23"/>
  <c r="H1316" i="23"/>
  <c r="H1315" i="23" s="1"/>
  <c r="F444" i="23"/>
  <c r="F438" i="23" s="1"/>
  <c r="F437" i="23" s="1"/>
  <c r="F340" i="23"/>
  <c r="F335" i="23" s="1"/>
  <c r="F334" i="23" s="1"/>
  <c r="E288" i="23"/>
  <c r="E287" i="23" s="1"/>
  <c r="C271" i="23"/>
  <c r="D795" i="23"/>
  <c r="D794" i="23" s="1"/>
  <c r="N848" i="23"/>
  <c r="N847" i="23" s="1"/>
  <c r="C1043" i="23"/>
  <c r="C1042" i="23" s="1"/>
  <c r="F1262" i="23"/>
  <c r="F1261" i="23" s="1"/>
  <c r="H1043" i="23"/>
  <c r="H1042" i="23" s="1"/>
  <c r="M681" i="23"/>
  <c r="M1514" i="23" s="1"/>
  <c r="I795" i="23"/>
  <c r="H1137" i="23"/>
  <c r="H1136" i="23" s="1"/>
  <c r="E9" i="23"/>
  <c r="G848" i="23"/>
  <c r="G847" i="23" s="1"/>
  <c r="G991" i="23"/>
  <c r="G990" i="23" s="1"/>
  <c r="D271" i="23"/>
  <c r="F1138" i="23"/>
  <c r="F991" i="23"/>
  <c r="F990" i="23" s="1"/>
  <c r="F289" i="23"/>
  <c r="F288" i="23" s="1"/>
  <c r="F287" i="23" s="1"/>
  <c r="F1236" i="23"/>
  <c r="F421" i="23"/>
  <c r="F417" i="23" s="1"/>
  <c r="F416" i="23" s="1"/>
  <c r="F484" i="23"/>
  <c r="F477" i="23" s="1"/>
  <c r="F476" i="23" s="1"/>
  <c r="F971" i="23"/>
  <c r="F963" i="23" s="1"/>
  <c r="F962" i="23" s="1"/>
  <c r="F84" i="23"/>
  <c r="F83" i="23" s="1"/>
  <c r="F82" i="23" s="1"/>
  <c r="C288" i="23"/>
  <c r="C287" i="23" s="1"/>
  <c r="C1236" i="23"/>
  <c r="F220" i="23"/>
  <c r="F219" i="23" s="1"/>
  <c r="F218" i="23" s="1"/>
  <c r="F1097" i="23"/>
  <c r="F688" i="23"/>
  <c r="E991" i="23"/>
  <c r="E990" i="23" s="1"/>
  <c r="F1015" i="23"/>
  <c r="F1011" i="23" s="1"/>
  <c r="F1010" i="23" s="1"/>
  <c r="F536" i="23"/>
  <c r="F531" i="23" s="1"/>
  <c r="I991" i="23"/>
  <c r="F953" i="23"/>
  <c r="F952" i="23" s="1"/>
  <c r="F951" i="23" s="1"/>
  <c r="F805" i="23"/>
  <c r="F795" i="23" s="1"/>
  <c r="F794" i="23" s="1"/>
  <c r="I1235" i="23"/>
  <c r="I681" i="23"/>
  <c r="I1514" i="23" s="1"/>
  <c r="C19" i="5" s="1"/>
  <c r="H19" i="5" s="1"/>
  <c r="E795" i="23"/>
  <c r="E794" i="23" s="1"/>
  <c r="H1513" i="23"/>
  <c r="D1043" i="23"/>
  <c r="D1042" i="23" s="1"/>
  <c r="C515" i="23"/>
  <c r="M848" i="23"/>
  <c r="M847" i="23" s="1"/>
  <c r="I1011" i="23"/>
  <c r="I1010" i="23" s="1"/>
  <c r="H1091" i="23"/>
  <c r="H1090" i="23" s="1"/>
  <c r="F1053" i="23"/>
  <c r="F1315" i="23"/>
  <c r="I288" i="23"/>
  <c r="H795" i="23"/>
  <c r="H794" i="23" s="1"/>
  <c r="F653" i="23"/>
  <c r="H848" i="23"/>
  <c r="H847" i="23" s="1"/>
  <c r="I1091" i="23"/>
  <c r="I1090" i="23" s="1"/>
  <c r="I848" i="23"/>
  <c r="H219" i="23"/>
  <c r="D515" i="23"/>
  <c r="F605" i="23"/>
  <c r="F604" i="23" s="1"/>
  <c r="F603" i="23" s="1"/>
  <c r="D1513" i="23"/>
  <c r="G219" i="23"/>
  <c r="I1043" i="23"/>
  <c r="I1042" i="23" s="1"/>
  <c r="F1173" i="23"/>
  <c r="C9" i="23"/>
  <c r="G1261" i="23"/>
  <c r="I219" i="23"/>
  <c r="H991" i="23"/>
  <c r="H990" i="23" s="1"/>
  <c r="C579" i="23"/>
  <c r="E515" i="23"/>
  <c r="E1512" i="23"/>
  <c r="E1043" i="23"/>
  <c r="E1042" i="23" s="1"/>
  <c r="D1512" i="23"/>
  <c r="H476" i="23"/>
  <c r="I21" i="5"/>
  <c r="I334" i="23"/>
  <c r="I9" i="23"/>
  <c r="H1512" i="23"/>
  <c r="H9" i="23"/>
  <c r="H742" i="23"/>
  <c r="G9" i="23"/>
  <c r="C1513" i="23"/>
  <c r="C603" i="23"/>
  <c r="D218" i="23" l="1"/>
  <c r="D1510" i="23"/>
  <c r="I1510" i="23"/>
  <c r="F9" i="23"/>
  <c r="F1511" i="23"/>
  <c r="G218" i="23"/>
  <c r="G1510" i="23"/>
  <c r="H218" i="23"/>
  <c r="H1510" i="23"/>
  <c r="C218" i="23"/>
  <c r="C1510" i="23"/>
  <c r="E218" i="23"/>
  <c r="E1510" i="23"/>
  <c r="E1261" i="23"/>
  <c r="C13" i="5"/>
  <c r="H13" i="5" s="1"/>
  <c r="J13" i="5"/>
  <c r="I13" i="5"/>
  <c r="I1515" i="23"/>
  <c r="C20" i="5" s="1"/>
  <c r="H20" i="5" s="1"/>
  <c r="I990" i="23"/>
  <c r="F1296" i="23"/>
  <c r="F1295" i="23" s="1"/>
  <c r="F1137" i="23"/>
  <c r="F1136" i="23" s="1"/>
  <c r="G1235" i="23"/>
  <c r="D1235" i="23"/>
  <c r="N1235" i="23"/>
  <c r="E1235" i="23"/>
  <c r="H1235" i="23"/>
  <c r="M1235" i="23"/>
  <c r="F515" i="23"/>
  <c r="F1091" i="23"/>
  <c r="F1090" i="23" s="1"/>
  <c r="F743" i="23"/>
  <c r="F742" i="23" s="1"/>
  <c r="M1515" i="23"/>
  <c r="I20" i="5" s="1"/>
  <c r="N1515" i="23"/>
  <c r="J20" i="5" s="1"/>
  <c r="N1514" i="23"/>
  <c r="I794" i="23"/>
  <c r="I287" i="23"/>
  <c r="C14" i="5"/>
  <c r="H14" i="5" s="1"/>
  <c r="H1515" i="23"/>
  <c r="C1515" i="23"/>
  <c r="E1515" i="23"/>
  <c r="D742" i="23"/>
  <c r="D1515" i="23"/>
  <c r="G1515" i="23"/>
  <c r="N1042" i="23"/>
  <c r="M1042" i="23"/>
  <c r="I847" i="23"/>
  <c r="N652" i="23"/>
  <c r="I652" i="23"/>
  <c r="I218" i="23"/>
  <c r="F681" i="23"/>
  <c r="F652" i="23" s="1"/>
  <c r="J14" i="5"/>
  <c r="D1514" i="23"/>
  <c r="F1043" i="23"/>
  <c r="F1042" i="23" s="1"/>
  <c r="H652" i="23"/>
  <c r="I14" i="5"/>
  <c r="F1517" i="23"/>
  <c r="F1516" i="23"/>
  <c r="M652" i="23"/>
  <c r="G652" i="23"/>
  <c r="E1514" i="23"/>
  <c r="C652" i="23"/>
  <c r="C1361" i="23"/>
  <c r="F1512" i="23"/>
  <c r="F1316" i="23"/>
  <c r="F1235" i="23"/>
  <c r="C1235" i="23"/>
  <c r="F1513" i="23"/>
  <c r="G1508" i="23" l="1"/>
  <c r="G1507" i="23" s="1"/>
  <c r="I12" i="5"/>
  <c r="J12" i="5"/>
  <c r="I1508" i="23"/>
  <c r="I1507" i="23" s="1"/>
  <c r="D1508" i="23"/>
  <c r="D1507" i="23" s="1"/>
  <c r="E1508" i="23"/>
  <c r="E1507" i="23" s="1"/>
  <c r="H1508" i="23"/>
  <c r="H1507" i="23" s="1"/>
  <c r="C1508" i="23"/>
  <c r="C1507" i="23" s="1"/>
  <c r="M1508" i="23"/>
  <c r="M1507" i="23" s="1"/>
  <c r="N1508" i="23"/>
  <c r="N1507" i="23" s="1"/>
  <c r="F1510" i="23"/>
  <c r="E8" i="23"/>
  <c r="E7" i="23" s="1"/>
  <c r="C12" i="5"/>
  <c r="H12" i="5"/>
  <c r="G8" i="23"/>
  <c r="G7" i="23" s="1"/>
  <c r="D8" i="23"/>
  <c r="D7" i="23" s="1"/>
  <c r="H8" i="23"/>
  <c r="H7" i="23" s="1"/>
  <c r="N8" i="23"/>
  <c r="N7" i="23" s="1"/>
  <c r="I8" i="23"/>
  <c r="I7" i="23" s="1"/>
  <c r="M8" i="23"/>
  <c r="M7" i="23" s="1"/>
  <c r="C8" i="23"/>
  <c r="F8" i="23"/>
  <c r="F7" i="23" s="1"/>
  <c r="F1515" i="23"/>
  <c r="F1514" i="23"/>
  <c r="F1508" i="23" l="1"/>
  <c r="F1507" i="23" s="1"/>
  <c r="H1503" i="23"/>
  <c r="H1501" i="23" s="1"/>
  <c r="H1500" i="23" s="1"/>
  <c r="H1496" i="23" s="1"/>
  <c r="H1495" i="23" s="1"/>
  <c r="I1503" i="23"/>
  <c r="I1501" i="23" s="1"/>
  <c r="I1500" i="23" s="1"/>
  <c r="I1496" i="23" s="1"/>
  <c r="I1495" i="23" s="1"/>
  <c r="H1492" i="23"/>
  <c r="H1493" i="23"/>
  <c r="H1491" i="23"/>
  <c r="H1490" i="23"/>
  <c r="C10" i="5" l="1"/>
  <c r="C11" i="5"/>
  <c r="D9" i="5" l="1"/>
  <c r="D8" i="5" s="1"/>
  <c r="D7" i="5" s="1"/>
  <c r="J9" i="5"/>
  <c r="J8" i="5" l="1"/>
  <c r="J7" i="5" s="1"/>
  <c r="I9" i="5"/>
  <c r="I8" i="5" s="1"/>
  <c r="I7" i="5" s="1"/>
  <c r="E9" i="5" l="1"/>
  <c r="H9" i="5"/>
  <c r="H8" i="5" s="1"/>
  <c r="H7" i="5" s="1"/>
  <c r="E8" i="5" l="1"/>
  <c r="E7" i="5" s="1"/>
  <c r="C9" i="5"/>
  <c r="C8" i="5" l="1"/>
  <c r="C7" i="5" s="1"/>
  <c r="C7" i="23" l="1"/>
</calcChain>
</file>

<file path=xl/sharedStrings.xml><?xml version="1.0" encoding="utf-8"?>
<sst xmlns="http://schemas.openxmlformats.org/spreadsheetml/2006/main" count="3353" uniqueCount="489">
  <si>
    <t>MINISTARSTVO UNUTARNJIH POSLOVA</t>
  </si>
  <si>
    <t>IZVOR 11 Opći prihodi i primici</t>
  </si>
  <si>
    <t>A553131</t>
  </si>
  <si>
    <t>Administracija i upravljanje</t>
  </si>
  <si>
    <t xml:space="preserve">Plaće </t>
  </si>
  <si>
    <t>Plaće za redovan rad</t>
  </si>
  <si>
    <t>Plaće za prekovremeni rad</t>
  </si>
  <si>
    <t>Ostali rashodi za zaposlene</t>
  </si>
  <si>
    <t xml:space="preserve">Doprinosi na plaće </t>
  </si>
  <si>
    <t>Doprinosi za mirovinsko osiguranje</t>
  </si>
  <si>
    <t>Doprinosi za zdravstveno osiguranje</t>
  </si>
  <si>
    <t>Doprinosi za zapošljavanje</t>
  </si>
  <si>
    <t>Naknade troškova zaposlenima</t>
  </si>
  <si>
    <t>Službena putovanja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</si>
  <si>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</si>
  <si>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</si>
  <si>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</si>
  <si>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</si>
  <si>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</si>
  <si>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</si>
  <si>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 xml:space="preserve">Materijal i dijelovi za tekuće i investicijsko održavanje </t>
  </si>
  <si>
    <t>Sitni inventar i auto gume</t>
  </si>
  <si>
    <t>Službena, radna i zaštitna odjeća i obuća</t>
  </si>
  <si>
    <t xml:space="preserve">Rashodi za usluge 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</si>
  <si>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</si>
  <si>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</si>
  <si>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</si>
  <si>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</si>
  <si>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</si>
  <si>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</si>
  <si>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</si>
  <si>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Ostale usluge</t>
  </si>
  <si>
    <t>Naknade troškova osobama izvan radnog odnosa</t>
  </si>
  <si>
    <t>Ostali nespomenuti rashodi poslovanja</t>
  </si>
  <si>
    <t>Naknade za rad pred. i izvršnih tijela, povjerenstava i sl.</t>
  </si>
  <si>
    <t>Premije osiguranja</t>
  </si>
  <si>
    <t>Reprezentacija</t>
  </si>
  <si>
    <t>Članarine</t>
  </si>
  <si>
    <t>Pristojbe i naknade</t>
  </si>
  <si>
    <t>Troškovi sudskih postupaka</t>
  </si>
  <si>
    <t>Ostali financijski rashodi</t>
  </si>
  <si>
    <t>Bankarske usluge i usluge platnog prometa</t>
  </si>
  <si>
    <t>Zatezne kamate</t>
  </si>
  <si>
    <t>Ostali nespomenuti financijski rashodi</t>
  </si>
  <si>
    <t>Ostale naknade građanima i kućanstvima iz proračuna</t>
  </si>
  <si>
    <t>Naknade građanima i kućanstvima u novcu</t>
  </si>
  <si>
    <t>Tekuće donacije u novcu</t>
  </si>
  <si>
    <t>Kazne, penali i naknade šteta</t>
  </si>
  <si>
    <t>Ugovorene kazne i ostale naknade šteta</t>
  </si>
  <si>
    <t>K260056</t>
  </si>
  <si>
    <t>Izgradnja, kupnja i održavanje zgrada</t>
  </si>
  <si>
    <t>Građevinski objekti</t>
  </si>
  <si>
    <t>Poslovni objekti</t>
  </si>
  <si>
    <t xml:space="preserve">Postrojenja i oprema </t>
  </si>
  <si>
    <t>Uredska oprema i namještaj</t>
  </si>
  <si>
    <t>Dodatna ulaganja na građevinskim objektima</t>
  </si>
  <si>
    <t>K553009</t>
  </si>
  <si>
    <t>Policijska oprema</t>
  </si>
  <si>
    <t>Komunikacijska oprema</t>
  </si>
  <si>
    <t>Oprema za održavanje i zaštitu</t>
  </si>
  <si>
    <t>Uređaji, strojevi i oprema za ostale namjene</t>
  </si>
  <si>
    <t>Prijevozna sredstva</t>
  </si>
  <si>
    <t>Prijevozna sredstva u cestovnom prometu</t>
  </si>
  <si>
    <t>Osnovno stado</t>
  </si>
  <si>
    <t>Osnovno stado - psi</t>
  </si>
  <si>
    <t>K553026</t>
  </si>
  <si>
    <t>Izgradnja kapaciteta u području azila, viznog sustava i ilegalnih migracija</t>
  </si>
  <si>
    <t>Nematerijalna imovina</t>
  </si>
  <si>
    <t>Licence</t>
  </si>
  <si>
    <t>K553129</t>
  </si>
  <si>
    <t>Računalne usluge</t>
  </si>
  <si>
    <t>K553132</t>
  </si>
  <si>
    <t>Informatizacija</t>
  </si>
  <si>
    <t>Nematerijalna proizvedena imovina</t>
  </si>
  <si>
    <t xml:space="preserve">Ulaganja u računalne programe </t>
  </si>
  <si>
    <t>K553141</t>
  </si>
  <si>
    <t>Razvojna suradnja</t>
  </si>
  <si>
    <t>IZVOR 12 SREDSTVA UČEŠĆA ZA POMOĆI</t>
  </si>
  <si>
    <t>K553148</t>
  </si>
  <si>
    <t>PRIJELAZNI INSTRUMENT - JAČANJE UPRAVLJANJA LJUDSKIM RESURSIMA</t>
  </si>
  <si>
    <t>T553162</t>
  </si>
  <si>
    <t>K553169</t>
  </si>
  <si>
    <t>Fonda za azil, migraciju i intergracije</t>
  </si>
  <si>
    <t>K553167</t>
  </si>
  <si>
    <t>K553145</t>
  </si>
  <si>
    <t>IPA 2012 IZGRADNJA I OPREMANJE PP TOVARNIK I PGP MALJEVAC</t>
  </si>
  <si>
    <t>K553168</t>
  </si>
  <si>
    <t>FOND ZA UNUTARNJU SIGURNOST - INSTRUMENT ZA GRANICE I VIZE</t>
  </si>
  <si>
    <t>Ulaganja u računalne programe</t>
  </si>
  <si>
    <t>Negativne tečajne razlike i razlike zbog primjene valutne klauzule</t>
  </si>
  <si>
    <t>040</t>
  </si>
  <si>
    <t>05</t>
  </si>
  <si>
    <t>KONTO</t>
  </si>
  <si>
    <t>NAZIV</t>
  </si>
  <si>
    <t>IZVOR 31 Vlastiti prihodi</t>
  </si>
  <si>
    <t>T553155</t>
  </si>
  <si>
    <t>IPA 2012 PODRŠKA U PODRUČJU KAZNENOG PROGONA U BIH</t>
  </si>
  <si>
    <t>IZVOR 43 Ostali prihodi za posebne namjene</t>
  </si>
  <si>
    <t>K553092</t>
  </si>
  <si>
    <t>Nacionalni program sigurnosti cestovnog prometa</t>
  </si>
  <si>
    <t>Subvencije trgovačkim društvima</t>
  </si>
  <si>
    <t>Subvencije trgovačkim društvima izvan javnog sektora</t>
  </si>
  <si>
    <t>Pomoći unutar opće države</t>
  </si>
  <si>
    <t>Tekuće pomoći unutar opće države</t>
  </si>
  <si>
    <t>Kapitalne pomoći unutar opće države</t>
  </si>
  <si>
    <t>Instrumenti, uređaji i strojevi</t>
  </si>
  <si>
    <t>IZVOR 51 Pomoći EU</t>
  </si>
  <si>
    <t>T553157</t>
  </si>
  <si>
    <t>HORIZON 2020 JAČANJE SURADNJE IZMEĐU POLICIJE I GRAĐANA</t>
  </si>
  <si>
    <t>Nakande troškova zaposlenima</t>
  </si>
  <si>
    <t>A553158</t>
  </si>
  <si>
    <t>FRONTEX - Jačanje koord. i operat.suradnje između država članica EU na podr.upravlj.vanjskim granicama</t>
  </si>
  <si>
    <t>Materijal i dijelovi za tekuće i investicijsko održavanje</t>
  </si>
  <si>
    <t>IZVOR 52 Ostale pomoći</t>
  </si>
  <si>
    <t>K553125</t>
  </si>
  <si>
    <t>POTPORE RADU I OPREMANJU POLICIJE</t>
  </si>
  <si>
    <t>Naknada troškova zaposlenicima</t>
  </si>
  <si>
    <t>Sitni inventar</t>
  </si>
  <si>
    <t>IZVOR 575 Fondovi za unutarnje poslove</t>
  </si>
  <si>
    <t>Tekuće donacije iz EU sredstava</t>
  </si>
  <si>
    <t>IZVOR 61 Donacije</t>
  </si>
  <si>
    <t>Ostale naknade troškova zaposlenima</t>
  </si>
  <si>
    <t>Naknade šteta pravnim i fizičkim osobama</t>
  </si>
  <si>
    <t>Rashodi za usluge</t>
  </si>
  <si>
    <t>Tekuće donacije</t>
  </si>
  <si>
    <t>Ostala prava</t>
  </si>
  <si>
    <t>Doprinosi na plaće</t>
  </si>
  <si>
    <t>Doprinosi za obvezno zdravstveno osiguranje</t>
  </si>
  <si>
    <t>Doprinosi za obvezno osiguranje u slučaju nezaposlenosti</t>
  </si>
  <si>
    <t>Postrojenja i oprema</t>
  </si>
  <si>
    <t>Kapitalne donacije neprofitnim organizacijama</t>
  </si>
  <si>
    <t>A672007</t>
  </si>
  <si>
    <t>Subvencije trgovačkim društvima u javnom sektoru</t>
  </si>
  <si>
    <t>T672040</t>
  </si>
  <si>
    <t>T672042</t>
  </si>
  <si>
    <t>Razminiranje</t>
  </si>
  <si>
    <t>T672038</t>
  </si>
  <si>
    <t>Pomoći inozemnim vladama</t>
  </si>
  <si>
    <t>Ostala nematerijalna proizvedena imovina</t>
  </si>
  <si>
    <t>381</t>
  </si>
  <si>
    <t>3811</t>
  </si>
  <si>
    <t>382</t>
  </si>
  <si>
    <t>3821</t>
  </si>
  <si>
    <t>311</t>
  </si>
  <si>
    <t>3111</t>
  </si>
  <si>
    <t>3113</t>
  </si>
  <si>
    <t>313</t>
  </si>
  <si>
    <t>3132</t>
  </si>
  <si>
    <t>3133</t>
  </si>
  <si>
    <t>321</t>
  </si>
  <si>
    <t>3211</t>
  </si>
  <si>
    <t>3212</t>
  </si>
  <si>
    <t>3213</t>
  </si>
  <si>
    <t>322</t>
  </si>
  <si>
    <t>3221</t>
  </si>
  <si>
    <t>3222</t>
  </si>
  <si>
    <t>3223</t>
  </si>
  <si>
    <t>3224</t>
  </si>
  <si>
    <t>3225</t>
  </si>
  <si>
    <t>323</t>
  </si>
  <si>
    <t>3231</t>
  </si>
  <si>
    <t>3232</t>
  </si>
  <si>
    <t>3233</t>
  </si>
  <si>
    <t>3234</t>
  </si>
  <si>
    <t>3235</t>
  </si>
  <si>
    <t>3236</t>
  </si>
  <si>
    <t>3237</t>
  </si>
  <si>
    <t>3239</t>
  </si>
  <si>
    <t>324</t>
  </si>
  <si>
    <t>3241</t>
  </si>
  <si>
    <t>329</t>
  </si>
  <si>
    <t>3292</t>
  </si>
  <si>
    <t>3293</t>
  </si>
  <si>
    <t>3299</t>
  </si>
  <si>
    <t>343</t>
  </si>
  <si>
    <t>3434</t>
  </si>
  <si>
    <t>412</t>
  </si>
  <si>
    <t>422</t>
  </si>
  <si>
    <t>4221</t>
  </si>
  <si>
    <t>4223</t>
  </si>
  <si>
    <t>4227</t>
  </si>
  <si>
    <t>423</t>
  </si>
  <si>
    <t>4231</t>
  </si>
  <si>
    <t>451</t>
  </si>
  <si>
    <t>4511</t>
  </si>
  <si>
    <t>3227</t>
  </si>
  <si>
    <t>4222</t>
  </si>
  <si>
    <t>K553130</t>
  </si>
  <si>
    <t>INTEGRIRANI SUSTAV 112</t>
  </si>
  <si>
    <t>3238</t>
  </si>
  <si>
    <t>4123</t>
  </si>
  <si>
    <t>T863009</t>
  </si>
  <si>
    <t>K863004</t>
  </si>
  <si>
    <t>426</t>
  </si>
  <si>
    <t>4262</t>
  </si>
  <si>
    <t>04005</t>
  </si>
  <si>
    <t>Ministarstvo unutarnjih poslova</t>
  </si>
  <si>
    <t xml:space="preserve">1  Opći prihodi i primici </t>
  </si>
  <si>
    <t>Izvor 11</t>
  </si>
  <si>
    <t>Izvor 12</t>
  </si>
  <si>
    <t>MINISTARSTVO UNUTARNJIH POSLOVA
- REKAPITULACIJA</t>
  </si>
  <si>
    <t>31  Vlastiti prihodi</t>
  </si>
  <si>
    <t>43 Ostali prihodi za posebne namjene</t>
  </si>
  <si>
    <t>51 Pomoći EU</t>
  </si>
  <si>
    <t>52 Ostale pomoći</t>
  </si>
  <si>
    <t>575 Fondovi za unutarnje poslove</t>
  </si>
  <si>
    <t>61 Donacije</t>
  </si>
  <si>
    <t>552 Švicarski instrument</t>
  </si>
  <si>
    <t>A553101</t>
  </si>
  <si>
    <t>Naknade građanima i kućanstvima u naravi</t>
  </si>
  <si>
    <t>Naknade šteta zaposlenicima</t>
  </si>
  <si>
    <t>Kapitalne donacije</t>
  </si>
  <si>
    <t>A553175</t>
  </si>
  <si>
    <t>Administracija i upravljanje - ilegalne migracije</t>
  </si>
  <si>
    <t>351</t>
  </si>
  <si>
    <t>3512</t>
  </si>
  <si>
    <t>Kamate za primljene kredite i zajmove</t>
  </si>
  <si>
    <t>Kamate za primljene zajmove od trgovačkih društava, obrtnika izvan javnog sektora</t>
  </si>
  <si>
    <t>K553146</t>
  </si>
  <si>
    <t>IPA 2013 JAČANJE KAPACITETA MUP-A ZA PRIMJENU AUTOMATIZIRANE RAZMJENE PODATAKA PRIBAVLJENIH ANALIZOM DNK I DAKTILOSKOPSKIH PODATAKA</t>
  </si>
  <si>
    <t>Plaće (Bruto)</t>
  </si>
  <si>
    <t>K553151</t>
  </si>
  <si>
    <t>421</t>
  </si>
  <si>
    <t>4211</t>
  </si>
  <si>
    <t>Stambeni objekti</t>
  </si>
  <si>
    <t>4212</t>
  </si>
  <si>
    <t>K553171</t>
  </si>
  <si>
    <t>Prijevozna sredstva u pomorskom i riječnom prometu</t>
  </si>
  <si>
    <t>OPERATIVNI PROGRAM KONKURENTNOST I KOHEZIJA 2014.-2020.</t>
  </si>
  <si>
    <t>ŠVICARSKO-HRVATSKI PROGRAM SURADNJE „RAZMINIRANJE I DRUŠTVENO – GOSPODARSKA INTEGRACIJA“</t>
  </si>
  <si>
    <t>Prijelazni instrument - identifikacija žrtava prirodnih i slučajnih katastrofa te terorističkih napada (CRO DVI)</t>
  </si>
  <si>
    <t>Pomoći proračunskim korisnicima drugih proračuna</t>
  </si>
  <si>
    <t>IZVOR 562 Kohezijski fond (CF)</t>
  </si>
  <si>
    <t>T879004</t>
  </si>
  <si>
    <t>IPA BIH - EU PODRŠKA CIVILNOJ ZAŠTITI U BIH</t>
  </si>
  <si>
    <t xml:space="preserve">Subvencije trgovačkim društvima, zadrugama, poljoprivrednicima i obrtnicima iz EU sredstava </t>
  </si>
  <si>
    <t>3431</t>
  </si>
  <si>
    <t>3432</t>
  </si>
  <si>
    <t>Negativne tečajne razlike i razlike zbog primjene valut. klauz.</t>
  </si>
  <si>
    <t>3433</t>
  </si>
  <si>
    <t>4264</t>
  </si>
  <si>
    <t>IZVOR 563 Europski fond za regionalni razvoj (ERDF)</t>
  </si>
  <si>
    <t>Prijenosi između proračunskih korisnika istog proračuna</t>
  </si>
  <si>
    <t>Tekući prijenosi između proračunskih korisnika</t>
  </si>
  <si>
    <t>Rutne i terminalne naknade za aktivnosti potrage i spašavanja zrakoplova</t>
  </si>
  <si>
    <t>IPA 2013 JAČ.KAP.MUP AUTOMAT.RAZMJ.POD.ANAL.DNK I DAKT.POD.</t>
  </si>
  <si>
    <t>PRIJELAZNI INSTRUMENT - REKONSTRUKCIJA SMJEŠTAJNIH I PRATEĆIH SADRŽAJA U PRIHVATILIŠTU ZA TRAŽITELJE AZILA U KUTINI</t>
  </si>
  <si>
    <t>T553174</t>
  </si>
  <si>
    <t>OBZOR 2020</t>
  </si>
  <si>
    <t>366</t>
  </si>
  <si>
    <t>3661</t>
  </si>
  <si>
    <t>Tekuće pomoći proračunskim korisnicima drugih proračuna</t>
  </si>
  <si>
    <t>IZVOR 552 Švicarski instrument</t>
  </si>
  <si>
    <t>T672037</t>
  </si>
  <si>
    <t>IPA I 2012 – RAZMINIRANJE PODRUČJA UZ GRANICU S REPUBLIKOM BOSNOM I HERCEGOVINOM U SISAČKO-MOSLAVAČKOJ ŽUPANIJI</t>
  </si>
  <si>
    <t>IZVOR 559 Ostale refundacije iz sredstava EU</t>
  </si>
  <si>
    <t>361</t>
  </si>
  <si>
    <t>3611</t>
  </si>
  <si>
    <t>Tekuće pomoći inozemnim vladama</t>
  </si>
  <si>
    <t>DE-MINE HU-HR II 2014.-2020. - UKLANJANJE EKSPLOZIVNIH OSTATAKA RATA S PODRUČJA UZ HRVATSKO-MAĐARSKU GRANICU</t>
  </si>
  <si>
    <t>OPERATIVNI PROGRAM KONKURENTNOST I KOHEZIJA 2014-2020.</t>
  </si>
  <si>
    <t>Modernizacija vozila vatrogasnih postrojbi RH</t>
  </si>
  <si>
    <t>Usluga telefona, pošte i prijevoza</t>
  </si>
  <si>
    <t>K879011</t>
  </si>
  <si>
    <t>ENFAST - EUROPSKA MREŽA TIMOVA ZA AKTIVNU POTRAGU ZA BJEGUNCIMA - PREDSJEDANJE</t>
  </si>
  <si>
    <t>T879003</t>
  </si>
  <si>
    <t>HITNA POMOĆ-FOND ZA UNUTARNJU SIGURNOST-JAČANJE AKT.GRANIČ.KONTROLE NA HRVATSKOM DIJELU VANJSKE GRANICE ZBOG POVEĆANOG MIGRAC.PRITISKA</t>
  </si>
  <si>
    <t>AMIF-EUROPSKA MIGRACIJSKA MREŽA-NACIONALNA KONTAKT TOČKA</t>
  </si>
  <si>
    <t>563 Europski fond za regionalni razvoj</t>
  </si>
  <si>
    <t xml:space="preserve">OSTALI IZVORI (vlastiti, namjenski, sredstva iz EU fondova) </t>
  </si>
  <si>
    <t>A879008</t>
  </si>
  <si>
    <t>Sustav civilne zaštite</t>
  </si>
  <si>
    <t>Ulaganje u računalne programe</t>
  </si>
  <si>
    <t>Projekti civilne zaštite</t>
  </si>
  <si>
    <t>T879013</t>
  </si>
  <si>
    <t>Cetifikacija Hrv. modula za urbano traganje i spašavanje teške kategorije za eur.udruž.kap.za civilnu zaštitu-HUSAR</t>
  </si>
  <si>
    <t>T879012</t>
  </si>
  <si>
    <t>Pomoć državama članicama u pripremi i imp.aktiv. upravljanja rizicima- NO RISK BASE</t>
  </si>
  <si>
    <t>Certifikacija Hrv.modula za urbano tragabje i spašavanje teške kategorije za eur.udruž.kap.za civilnu zaštitu-HUSAR</t>
  </si>
  <si>
    <t>Prijevozna sredstva u zračnom prometu</t>
  </si>
  <si>
    <t>Zravstvene i veterinarske usluge</t>
  </si>
  <si>
    <t>A879016</t>
  </si>
  <si>
    <t>Održavanje i opremanje zrakoplovnih snaga</t>
  </si>
  <si>
    <t>Medicinska i labaratorijska oprema</t>
  </si>
  <si>
    <t>K879015</t>
  </si>
  <si>
    <t>Sustav za rano upozoravanje i upravljanje krizama SRUUK</t>
  </si>
  <si>
    <t>Dodatna ulaganja na prijeviznim sredstvima</t>
  </si>
  <si>
    <t>Dodatna ulaganja na prijevoznim sredstvima</t>
  </si>
  <si>
    <t>Plaća za prekovremeni rad</t>
  </si>
  <si>
    <t>A879019</t>
  </si>
  <si>
    <t>POVRAT NEPRIHVATLJIVIH TROŠKOVA FINANCIRANIH IZ EU SREDSTAVA</t>
  </si>
  <si>
    <t>Uredska oprema i ostali materijalni rashodi</t>
  </si>
  <si>
    <t>K879018</t>
  </si>
  <si>
    <t>Ostale kazne</t>
  </si>
  <si>
    <t>PRIJELAZNI RESCEU MEHANIZAM</t>
  </si>
  <si>
    <t>T863016</t>
  </si>
  <si>
    <t xml:space="preserve">NATO-SPS G4968-ZAPOVJEDNI SUSTAV SLIJEDEĆE GENERACIJE </t>
  </si>
  <si>
    <t>IZVOR 53 Inozemne darovnice</t>
  </si>
  <si>
    <t>Projekti iz Nacionalnog plana oporavka i otpornosti - MUP - NPOO</t>
  </si>
  <si>
    <t>K879021</t>
  </si>
  <si>
    <t>K879020</t>
  </si>
  <si>
    <t>581 Mehanizam za oporavak i otpornost</t>
  </si>
  <si>
    <t>IZVOR 581 Mehanizam za oporavak i otpornost</t>
  </si>
  <si>
    <t>Fond za unutarnju sigurnost - instrument za granice i vize - izravna dodjela</t>
  </si>
  <si>
    <t>Sitni invertar i auto gume</t>
  </si>
  <si>
    <t>IZVOR 5761 Fond solidarnosti Europske unije - potres ožujak 2020.</t>
  </si>
  <si>
    <t>Tekuće pomoći temeljem prijenosa EU sredstava</t>
  </si>
  <si>
    <t>Kapitalne pomoći temeljem prijenosa EU sredstava</t>
  </si>
  <si>
    <t>Pomoći temeljem prijenosa EU sredstava</t>
  </si>
  <si>
    <t>Višegodišnji nasadi i osnovno stado</t>
  </si>
  <si>
    <t>PROJEKTI IZ FONDA SOLIDARNOSTI EUROPSKE UNIJE - MUP</t>
  </si>
  <si>
    <t>IZVOR 5762 Fond solidarnosti Europske unije - potres prosinac 2020.</t>
  </si>
  <si>
    <t>T879009</t>
  </si>
  <si>
    <t>38</t>
  </si>
  <si>
    <t>Ostali rashodi</t>
  </si>
  <si>
    <t>31</t>
  </si>
  <si>
    <t>Rashodi za zaposlene</t>
  </si>
  <si>
    <t>32</t>
  </si>
  <si>
    <t>Materijalni rashodi</t>
  </si>
  <si>
    <t>34</t>
  </si>
  <si>
    <t>Financijski rashodi</t>
  </si>
  <si>
    <t>37</t>
  </si>
  <si>
    <t>Naknade građanima i kućanstvima na temelju osiguranja i druge naknade</t>
  </si>
  <si>
    <t>42</t>
  </si>
  <si>
    <t>Rashodi za nabavu proizvedene dugotrajne imovine</t>
  </si>
  <si>
    <t>45</t>
  </si>
  <si>
    <t>Rashodi za dodatna ulaganja na nefinancijskoj imovini</t>
  </si>
  <si>
    <t>41</t>
  </si>
  <si>
    <t>Rashodi za nabavu neproizvedene dugotrajne imovine</t>
  </si>
  <si>
    <t>RASHODI ZA DODATNA ULAGANJA NA NEF.IMOVINI</t>
  </si>
  <si>
    <t>Ostali nepomenuti građevinski objekti</t>
  </si>
  <si>
    <t>35</t>
  </si>
  <si>
    <t>Subvencije</t>
  </si>
  <si>
    <t>36</t>
  </si>
  <si>
    <t>Pomoći dane u inozemstvo i unutar općeg proračuna</t>
  </si>
  <si>
    <t>Hrvatski crveni križ</t>
  </si>
  <si>
    <t>K879022</t>
  </si>
  <si>
    <t>Fond za unutarnju sigurnost - 2021.-2027.</t>
  </si>
  <si>
    <t>K879023</t>
  </si>
  <si>
    <t>Fond za azil, migracije i integraciju 2021.-2027.</t>
  </si>
  <si>
    <t>Fond za integrirano upravljanje granicama - instrument za financijsku potporu u području upravljanja granicama i vizne politike 2021.-2027.</t>
  </si>
  <si>
    <t>K879024</t>
  </si>
  <si>
    <t>K879025</t>
  </si>
  <si>
    <t>OPERATIVNI PROGRAM KONKURENTNOST I KOHEZIJA 2021.-2027. - ZELENA HRVATSKA - MUP</t>
  </si>
  <si>
    <t>K879026</t>
  </si>
  <si>
    <t>OPERATIVNI PROGRAM KONKURENTNOST I KOHEZIJA 2021.-2027. - SOLIDARNA HRVATSKA - MUP</t>
  </si>
  <si>
    <t>K863027</t>
  </si>
  <si>
    <t>OPERATIVNI PROGRAM KONKURENTNOST I KOHEZIJA 2021.-2027. - PAMETNA HRVATSKA - MUP</t>
  </si>
  <si>
    <t>K863024</t>
  </si>
  <si>
    <t>K863025</t>
  </si>
  <si>
    <t>K863026</t>
  </si>
  <si>
    <t>Logističko distributivno središte za operativno djelovanje TRUST</t>
  </si>
  <si>
    <t>Sustav na daljinsko upravljanje za KBRN dekontaminaciju DECON</t>
  </si>
  <si>
    <t>Premija osiguranja</t>
  </si>
  <si>
    <t>Ostali potrošni materijal</t>
  </si>
  <si>
    <t>Naknada troškova osobama izvan radnog odnosa</t>
  </si>
  <si>
    <t>Postrojenje i oprema</t>
  </si>
  <si>
    <t>Plaća</t>
  </si>
  <si>
    <t>Plaća za redovan rad</t>
  </si>
  <si>
    <t>A879027</t>
  </si>
  <si>
    <t>FOND ZA UNUTARNJU SIGURNOST - INSTRUMENT ZA POLICIJSKU SURADNJU, SPREČAVANJE I SUZBIJANJE KRIMINALA I UPRAVLJANJE KRIZAMA</t>
  </si>
  <si>
    <t>RASHODI ZA NABAVU NEPROIZVEDENE DUGOTRAJNE IMOVINE</t>
  </si>
  <si>
    <t>RASHODI ZA NABAVU PROIZVEDENE DUGOTRAJNE IMOVINE</t>
  </si>
  <si>
    <t>MATERIJALNI RASHODI</t>
  </si>
  <si>
    <t>OSTALI RASHODI</t>
  </si>
  <si>
    <t>Tekući prijenosi između proračunskih korisnika istog proračuna temeljem prijenosa EU sredstava</t>
  </si>
  <si>
    <t>3813</t>
  </si>
  <si>
    <t xml:space="preserve">PRORAČUNSKI KORISNIK </t>
  </si>
  <si>
    <t>PLAN 2024.</t>
  </si>
  <si>
    <t>PLAN 2025.</t>
  </si>
  <si>
    <t>TEKUĆI PLAN 2023.</t>
  </si>
  <si>
    <t>K863028</t>
  </si>
  <si>
    <t>IZGRADNJA STRATEŠKIH ZALIHA ZA ODGOVOR NA KBRN KRIZE</t>
  </si>
  <si>
    <t>K879028</t>
  </si>
  <si>
    <t>RAZVOJ I ODRŽAVANJE MODULA ZA ZBRINJAVANJE - SHELTER</t>
  </si>
  <si>
    <t xml:space="preserve">SMANJENJE </t>
  </si>
  <si>
    <t>POVEĆANJE</t>
  </si>
  <si>
    <t>a</t>
  </si>
  <si>
    <t>Razminiranje - višegodišnji okvir 2021.-2027.</t>
  </si>
  <si>
    <t>IZVOR 563 Europski fond za regionalni razvoj</t>
  </si>
  <si>
    <t>veća cijena sistematskog po KU</t>
  </si>
  <si>
    <t>rekonstrukcija GRUŽ</t>
  </si>
  <si>
    <t>za cca 1.100 djelatnika x 200,00 eura (sada je 132,72 eura 1000 kn)</t>
  </si>
  <si>
    <t>Kapitalni prijenosi između proračunskih korisnika istog proračuna</t>
  </si>
  <si>
    <t>Sportska i glazbena oprema</t>
  </si>
  <si>
    <t>Razminiranje - Program konkurentnost i kohezija 2021.-2027.</t>
  </si>
  <si>
    <t>K879029</t>
  </si>
  <si>
    <t>UČINKOVITI LJUDSKI POTENCIJALI - PROGRAM KONKURENTNOST I KOHEZIJA - 2021.-2027. - MUP</t>
  </si>
  <si>
    <t>PROJEKTI SLUŽBI SIGURNOSTI - PROGRAM KONKURENTNOST I KOHEZIJA - 2021.-2027. - MUP</t>
  </si>
  <si>
    <t>T863029</t>
  </si>
  <si>
    <t>K863030</t>
  </si>
  <si>
    <t>T879030</t>
  </si>
  <si>
    <t>OPERATIVNE SNAGE CIVILNE ZAŠTITE ZA ZAŠTITU KULTURNE BAŠTINE</t>
  </si>
  <si>
    <t>IZRADA NACRTA PLANA PODIZANJA SVIJESTI I SUSTAVA ZA PRIKUPLJANJE PODATAKA O GUBITCIMA I ŠTETAMA OD KATASTROFA - DRAW DATA</t>
  </si>
  <si>
    <t>HELIKOPTERSKA POTPORA SUSTAVU CIVILE ZAŠTITE - VIŠEGODIŠNJI OKVIR 2021-2027.</t>
  </si>
  <si>
    <t>K849031</t>
  </si>
  <si>
    <t>b</t>
  </si>
  <si>
    <t>ostaje po prijedlogu</t>
  </si>
  <si>
    <t>kao prijedlog rebalansa</t>
  </si>
  <si>
    <t>još umanjiti</t>
  </si>
  <si>
    <t>PRIJEDLOG REBALANSA rujan 2023.</t>
  </si>
  <si>
    <t>dodano 2.000.000  na prijedlog (na 3811 117.000 za potresno inženjerstvo i 1.883.000 na 4227)</t>
  </si>
  <si>
    <t>Povrat neprihvatljivih troškova financiranih iz EU sredstava</t>
  </si>
  <si>
    <t>ostaje po prijedlogu, razrađene usluge</t>
  </si>
  <si>
    <t>REBALANS 2023</t>
  </si>
  <si>
    <t>dodano 1,6 mil.eura za najam fotokopiraca</t>
  </si>
  <si>
    <t>limit</t>
  </si>
  <si>
    <t>plan 2025</t>
  </si>
  <si>
    <t>plan 2026</t>
  </si>
  <si>
    <t>T863031</t>
  </si>
  <si>
    <t>FONDOVI ZA UNUTARNJE POSLOVE 2021.-2027. - TEHNIČKA POMOĆ</t>
  </si>
  <si>
    <t>PREKOGRANIČNA STRATEGIJA ZA IZRADU INVENTARA KLIZIŠTA NA NACIONALNOJ RAZINI - LADY</t>
  </si>
  <si>
    <t>povećanje</t>
  </si>
  <si>
    <t>povećanje od 300.000</t>
  </si>
  <si>
    <t>povećanje od 500.000</t>
  </si>
  <si>
    <t>povećanje od 154.000</t>
  </si>
  <si>
    <t>smanjenje od 154.000</t>
  </si>
  <si>
    <t>povećanje od 20.000</t>
  </si>
  <si>
    <t>smanjenje od 820.000</t>
  </si>
  <si>
    <t>K879031</t>
  </si>
  <si>
    <t>Prilog 2</t>
  </si>
  <si>
    <t>OPĆI PRIHODI I PRIMICI (IZVOR 11 I IZVOR 12)</t>
  </si>
  <si>
    <t>Prilog 2b</t>
  </si>
  <si>
    <t>TEKUĆI PLAN
2024.</t>
  </si>
  <si>
    <t>TEKUĆI PLAN 2024.</t>
  </si>
  <si>
    <t>PLAN 2026.</t>
  </si>
  <si>
    <t>povećanje 2025 u odnosu na rebalans</t>
  </si>
  <si>
    <t>povećanje prijedlog 2025/plan 2025</t>
  </si>
  <si>
    <t>povećanje prijedlog 2026 na plan 2026</t>
  </si>
  <si>
    <t>plan 2027</t>
  </si>
  <si>
    <t>sakriti</t>
  </si>
  <si>
    <t>IZVOR 815 Namjenski primici-NPOO</t>
  </si>
  <si>
    <t>815 Namjenski primici-NPOO</t>
  </si>
  <si>
    <t>PLAN
 2025.</t>
  </si>
  <si>
    <t>PLAN
 2026.</t>
  </si>
  <si>
    <t>sakriiti</t>
  </si>
  <si>
    <t>SMANJENJE</t>
  </si>
  <si>
    <t>Ostali građevinski objekti</t>
  </si>
  <si>
    <t>-u EUR-</t>
  </si>
  <si>
    <t>10 (7-4)</t>
  </si>
  <si>
    <t>11 (7-5)</t>
  </si>
  <si>
    <t>12 (8-6)</t>
  </si>
  <si>
    <t xml:space="preserve"> </t>
  </si>
  <si>
    <t>T879006</t>
  </si>
  <si>
    <t xml:space="preserve"> Hrvatska gorska služba spašavanja</t>
  </si>
  <si>
    <t>NOVI PLAN 
2024.</t>
  </si>
  <si>
    <t>4=1-2+3</t>
  </si>
  <si>
    <t>6=1-2+3-4+5</t>
  </si>
  <si>
    <t>NOVI 
PLAN 
2024.</t>
  </si>
  <si>
    <t>"PRERASPODJELA" unutar
odobrenih sredstava</t>
  </si>
  <si>
    <t>UŠTEDE</t>
  </si>
  <si>
    <t>NEDOSTATNA
SREDSTVA</t>
  </si>
  <si>
    <t>ZAVRŠNO PLAĆANJE HELIKOPTERA</t>
  </si>
  <si>
    <t>PLAĆANJE KANADERA</t>
  </si>
  <si>
    <t>skidam sve jer je rok isporuke 4.12.2024.</t>
  </si>
  <si>
    <t>NEDOSTATNA SREDSTVA</t>
  </si>
  <si>
    <t>NOVI PLAN 2024.</t>
  </si>
  <si>
    <t>limiti</t>
  </si>
  <si>
    <t>napomene 2024.</t>
  </si>
  <si>
    <t>napomene 2025.</t>
  </si>
  <si>
    <t xml:space="preserve">sufinanciranje energetska obnova (5,0 mil.eura); </t>
  </si>
  <si>
    <t>EUCOM 855.000 2025. i 168.750 iz 2024.?</t>
  </si>
  <si>
    <t>zaokružiti iznose</t>
  </si>
  <si>
    <t>prema dopisu Uprave za imigraciju</t>
  </si>
  <si>
    <t>T849032</t>
  </si>
  <si>
    <t>Videonadzor i rano otkrivanje šumskih požara-FIRESTOP</t>
  </si>
  <si>
    <t>PRIJEDLOG PLANA ZA RAZDOBLJE 2025.-2027.</t>
  </si>
  <si>
    <t>potresno inženjerstvo 500.000</t>
  </si>
  <si>
    <t>A879032</t>
  </si>
  <si>
    <t>Služenje vojnog roka u civilnoj zaštiti</t>
  </si>
  <si>
    <t>Odora</t>
  </si>
  <si>
    <t>T863032</t>
  </si>
  <si>
    <t>Otpornost i zaštita kritičnih subjekata u Europi - Recipe 2024</t>
  </si>
  <si>
    <t>K849033</t>
  </si>
  <si>
    <t>Resceu mehanizam - Protupožarni zrakoplovi - Višegodišnji okvir 2021.-2027.</t>
  </si>
  <si>
    <t>PLAN        2025.</t>
  </si>
  <si>
    <t>PLAN         2026.</t>
  </si>
  <si>
    <t>Plan za plaće u 2025.????</t>
  </si>
  <si>
    <t>Zagreb, 04. studenog 2024.</t>
  </si>
  <si>
    <t>562 Kohezijski fond (KF)</t>
  </si>
  <si>
    <t>PLAN 2027.</t>
  </si>
  <si>
    <t>PLAN
2025.</t>
  </si>
  <si>
    <t>PLAN
2026.</t>
  </si>
  <si>
    <t>PLAN
2027.</t>
  </si>
  <si>
    <t>PLAN ZA RAZDOBLJE 2025.-2027. - rekapitulacija</t>
  </si>
  <si>
    <t>FINANCIJSKI PLAN ZA RAZDOBLJE 2025.-2027.</t>
  </si>
  <si>
    <t xml:space="preserve">FINANCIJSKI PLAN ZA RAZDOBLJE 2025.-2027. </t>
  </si>
  <si>
    <t>Prilog 2a</t>
  </si>
  <si>
    <t>OSTALI IZVORI FINANCIRANJA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</si>
</sst>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#,##0\ &quot;kn&quot;;\-#,##0\ &quot;kn&quot;"/>
    <numFmt numFmtId="6" formatCode="#,##0\ &quot;kn&quot;;[Red]\-#,##0\ &quot;kn&quot;"/>
    <numFmt numFmtId="42" formatCode="_-* #,##0\ &quot;kn&quot;_-;\-* #,##0\ &quot;kn&quot;_-;_-* &quot;-&quot;\ &quot;kn&quot;_-;_-@_-"/>
    <numFmt numFmtId="164" formatCode="#,##0;\-\ #,##0"/>
    <numFmt numFmtId="165" formatCode="d/m/yyyy/;@"/>
  </numFmts>
  <fonts count="5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</font>
    <font>
      <sz val="11"/>
      <name val="Calibri"/>
      <family val="2"/>
      <charset val="238"/>
      <scheme val="minor"/>
    </font>
    <font>
      <sz val="10"/>
      <name val="Arial"/>
      <family val="2"/>
    </font>
    <font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rgb="FF0B744D"/>
      <name val="Calibri"/>
      <family val="2"/>
      <scheme val="minor"/>
    </font>
    <font>
      <sz val="55"/>
      <color theme="0"/>
      <name val="Cambria"/>
      <family val="2"/>
      <scheme val="maj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9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4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21734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9FBA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92CDDC"/>
        <bgColor rgb="FFFFFFFF"/>
      </patternFill>
    </fill>
    <fill>
      <patternFill patternType="solid">
        <fgColor theme="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848484"/>
      </left>
      <right style="thin">
        <color rgb="FF848484"/>
      </right>
      <top style="thin">
        <color rgb="FF848484"/>
      </top>
      <bottom style="thin">
        <color rgb="FF84848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rgb="FFF4B183"/>
      </left>
      <right style="thick">
        <color rgb="FFF4B183"/>
      </right>
      <top style="thick">
        <color rgb="FFF4B183"/>
      </top>
      <bottom style="thick">
        <color rgb="FFF4B18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339966"/>
      </right>
      <top/>
      <bottom/>
      <diagonal/>
    </border>
    <border>
      <left style="thin">
        <color rgb="FF339966"/>
      </left>
      <right/>
      <top/>
      <bottom style="thin">
        <color rgb="FF339966"/>
      </bottom>
      <diagonal/>
    </border>
    <border>
      <left style="thin">
        <color rgb="FF339966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848484"/>
      </right>
      <top style="thin">
        <color rgb="FF848484"/>
      </top>
      <bottom style="thin">
        <color rgb="FF84848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848484"/>
      </top>
      <bottom style="thin">
        <color rgb="FF84848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848484"/>
      </right>
      <top style="thin">
        <color rgb="FF848484"/>
      </top>
      <bottom style="thin">
        <color rgb="FF84848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/>
      <right/>
      <top style="thin">
        <color rgb="FF848484"/>
      </top>
      <bottom style="thin">
        <color rgb="FF848484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1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4">
    <xf numFmtId="0" fontId="0" fillId="0" borderId="0"/>
    <xf numFmtId="0" fontId="1" fillId="0" borderId="0"/>
    <xf numFmtId="4" fontId="2" fillId="5" borderId="3" applyNumberFormat="0" applyProtection="0">
      <alignment horizontal="left" vertical="center" indent="1" justifyLastLine="1"/>
    </xf>
    <xf numFmtId="0" fontId="2" fillId="7" borderId="3" applyNumberFormat="0" applyProtection="0">
      <alignment horizontal="left" vertical="center" indent="1" justifyLastLine="1"/>
    </xf>
    <xf numFmtId="0" fontId="2" fillId="10" borderId="3" applyNumberFormat="0" applyProtection="0">
      <alignment horizontal="left" vertical="center" indent="1" justifyLastLine="1"/>
    </xf>
    <xf numFmtId="0" fontId="1" fillId="0" borderId="0"/>
    <xf numFmtId="4" fontId="2" fillId="14" borderId="5" applyNumberFormat="0" applyProtection="0">
      <alignment vertical="center"/>
    </xf>
    <xf numFmtId="0" fontId="2" fillId="15" borderId="5" applyNumberFormat="0" applyProtection="0">
      <alignment horizontal="left" vertical="center" indent="1"/>
    </xf>
    <xf numFmtId="4" fontId="2" fillId="0" borderId="5" applyNumberFormat="0" applyProtection="0">
      <alignment horizontal="right" vertical="center"/>
    </xf>
    <xf numFmtId="0" fontId="13" fillId="26" borderId="9" applyNumberFormat="0" applyProtection="0">
      <alignment horizontal="left" vertical="center" indent="1"/>
    </xf>
    <xf numFmtId="0" fontId="15" fillId="7" borderId="9" applyNumberFormat="0" applyProtection="0">
      <alignment horizontal="center" vertical="center"/>
    </xf>
    <xf numFmtId="4" fontId="14" fillId="27" borderId="9" applyNumberFormat="0" applyProtection="0">
      <alignment horizontal="left" vertical="center" indent="1"/>
    </xf>
    <xf numFmtId="0" fontId="1" fillId="0" borderId="0"/>
    <xf numFmtId="0" fontId="16" fillId="0" borderId="0"/>
    <xf numFmtId="0" fontId="17" fillId="28" borderId="10" applyNumberFormat="0" applyProtection="0">
      <alignment horizontal="left" vertical="center" indent="1"/>
    </xf>
    <xf numFmtId="0" fontId="18" fillId="0" borderId="0"/>
    <xf numFmtId="0" fontId="19" fillId="29" borderId="0" applyNumberFormat="0" applyProtection="0">
      <alignment horizontal="left" wrapText="1" indent="4"/>
    </xf>
    <xf numFmtId="0" fontId="20" fillId="29" borderId="0" applyNumberFormat="0" applyProtection="0">
      <alignment horizontal="left" wrapText="1" indent="4"/>
    </xf>
    <xf numFmtId="0" fontId="21" fillId="29" borderId="0" applyNumberFormat="0" applyBorder="0" applyProtection="0">
      <alignment horizontal="left" indent="1"/>
    </xf>
    <xf numFmtId="0" fontId="20" fillId="0" borderId="0" applyFill="0" applyBorder="0">
      <alignment wrapText="1"/>
    </xf>
    <xf numFmtId="0" fontId="22" fillId="0" borderId="0"/>
    <xf numFmtId="0" fontId="18" fillId="30" borderId="13"/>
    <xf numFmtId="0" fontId="18" fillId="13" borderId="12"/>
    <xf numFmtId="0" fontId="18" fillId="30" borderId="0"/>
    <xf numFmtId="0" fontId="22" fillId="31" borderId="0" applyNumberFormat="0" applyBorder="0" applyProtection="0"/>
    <xf numFmtId="0" fontId="23" fillId="0" borderId="0" applyNumberFormat="0" applyFill="0" applyBorder="0" applyAlignment="0" applyProtection="0"/>
    <xf numFmtId="0" fontId="18" fillId="0" borderId="14" applyNumberFormat="0" applyFont="0" applyFill="0" applyAlignment="0"/>
    <xf numFmtId="0" fontId="18" fillId="0" borderId="15" applyNumberFormat="0" applyFont="0" applyFill="0" applyAlignment="0"/>
    <xf numFmtId="0" fontId="18" fillId="0" borderId="16" applyNumberFormat="0" applyFont="0" applyFill="0"/>
    <xf numFmtId="0" fontId="18" fillId="0" borderId="17" applyNumberFormat="0" applyFont="0" applyFill="0" applyAlignment="0"/>
    <xf numFmtId="165" fontId="18" fillId="0" borderId="0" applyFont="0" applyFill="0" applyBorder="0" applyAlignment="0"/>
    <xf numFmtId="6" fontId="18" fillId="22" borderId="0" applyFont="0" applyBorder="0" applyAlignment="0"/>
    <xf numFmtId="5" fontId="18" fillId="0" borderId="0" applyFont="0" applyFill="0" applyBorder="0" applyAlignment="0" applyProtection="0"/>
    <xf numFmtId="42" fontId="18" fillId="0" borderId="0" applyFont="0" applyFill="0" applyBorder="0" applyAlignment="0" applyProtection="0"/>
  </cellStyleXfs>
  <cellXfs count="736">
    <xf numFmtId="0" fontId="0" fillId="0" borderId="0" xfId="0"/>
    <xf numFmtId="0" fontId="4" fillId="0" borderId="0" xfId="0" applyFont="1"/>
    <xf numFmtId="0" fontId="3" fillId="0" borderId="0" xfId="0" applyFont="1"/>
    <xf numFmtId="3" fontId="4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10" fillId="0" borderId="0" xfId="0" applyFont="1"/>
    <xf numFmtId="0" fontId="11" fillId="0" borderId="0" xfId="0" applyFont="1"/>
    <xf numFmtId="0" fontId="0" fillId="3" borderId="0" xfId="0" applyFill="1"/>
    <xf numFmtId="0" fontId="6" fillId="0" borderId="0" xfId="0" applyFont="1"/>
    <xf numFmtId="0" fontId="6" fillId="0" borderId="0" xfId="0" applyFont="1" applyAlignment="1">
      <alignment horizontal="left"/>
    </xf>
    <xf numFmtId="3" fontId="10" fillId="0" borderId="0" xfId="0" applyNumberFormat="1" applyFont="1"/>
    <xf numFmtId="0" fontId="4" fillId="0" borderId="0" xfId="0" applyFont="1" applyAlignment="1">
      <alignment wrapText="1"/>
    </xf>
    <xf numFmtId="0" fontId="10" fillId="0" borderId="0" xfId="0" applyFont="1" applyAlignment="1">
      <alignment wrapText="1"/>
    </xf>
    <xf numFmtId="3" fontId="4" fillId="0" borderId="21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vertical="center" wrapText="1"/>
    </xf>
    <xf numFmtId="0" fontId="24" fillId="0" borderId="0" xfId="0" applyFont="1"/>
    <xf numFmtId="0" fontId="25" fillId="0" borderId="0" xfId="0" applyFont="1" applyAlignment="1">
      <alignment wrapText="1"/>
    </xf>
    <xf numFmtId="3" fontId="25" fillId="0" borderId="0" xfId="0" applyNumberFormat="1" applyFont="1"/>
    <xf numFmtId="3" fontId="6" fillId="0" borderId="0" xfId="0" applyNumberFormat="1" applyFont="1"/>
    <xf numFmtId="0" fontId="25" fillId="0" borderId="0" xfId="0" applyFont="1"/>
    <xf numFmtId="0" fontId="4" fillId="3" borderId="0" xfId="0" applyFont="1" applyFill="1"/>
    <xf numFmtId="3" fontId="7" fillId="0" borderId="0" xfId="0" applyNumberFormat="1" applyFont="1"/>
    <xf numFmtId="3" fontId="26" fillId="0" borderId="0" xfId="0" applyNumberFormat="1" applyFont="1" applyAlignment="1">
      <alignment horizontal="center"/>
    </xf>
    <xf numFmtId="0" fontId="27" fillId="0" borderId="0" xfId="0" applyFont="1"/>
    <xf numFmtId="3" fontId="5" fillId="3" borderId="0" xfId="0" applyNumberFormat="1" applyFont="1" applyFill="1" applyBorder="1" applyAlignment="1">
      <alignment horizontal="right" vertical="center"/>
    </xf>
    <xf numFmtId="49" fontId="28" fillId="0" borderId="0" xfId="0" applyNumberFormat="1" applyFont="1"/>
    <xf numFmtId="49" fontId="28" fillId="0" borderId="0" xfId="0" applyNumberFormat="1" applyFont="1" applyAlignment="1">
      <alignment horizontal="left" wrapText="1"/>
    </xf>
    <xf numFmtId="0" fontId="28" fillId="0" borderId="0" xfId="0" applyFont="1"/>
    <xf numFmtId="3" fontId="29" fillId="0" borderId="0" xfId="0" applyNumberFormat="1" applyFont="1" applyAlignment="1">
      <alignment horizontal="center"/>
    </xf>
    <xf numFmtId="0" fontId="28" fillId="0" borderId="0" xfId="0" applyFont="1" applyAlignment="1">
      <alignment vertical="center"/>
    </xf>
    <xf numFmtId="0" fontId="29" fillId="0" borderId="0" xfId="0" applyFont="1"/>
    <xf numFmtId="49" fontId="32" fillId="3" borderId="11" xfId="0" applyNumberFormat="1" applyFont="1" applyFill="1" applyBorder="1" applyAlignment="1">
      <alignment horizontal="center" wrapText="1"/>
    </xf>
    <xf numFmtId="0" fontId="32" fillId="0" borderId="11" xfId="0" applyFont="1" applyBorder="1" applyAlignment="1">
      <alignment horizontal="right" wrapText="1"/>
    </xf>
    <xf numFmtId="3" fontId="32" fillId="0" borderId="11" xfId="0" applyNumberFormat="1" applyFont="1" applyBorder="1"/>
    <xf numFmtId="3" fontId="32" fillId="0" borderId="21" xfId="0" applyNumberFormat="1" applyFont="1" applyBorder="1"/>
    <xf numFmtId="0" fontId="32" fillId="0" borderId="0" xfId="0" applyFont="1"/>
    <xf numFmtId="49" fontId="32" fillId="0" borderId="11" xfId="0" applyNumberFormat="1" applyFont="1" applyBorder="1"/>
    <xf numFmtId="0" fontId="33" fillId="0" borderId="0" xfId="0" applyFont="1"/>
    <xf numFmtId="49" fontId="32" fillId="3" borderId="11" xfId="0" applyNumberFormat="1" applyFont="1" applyFill="1" applyBorder="1"/>
    <xf numFmtId="49" fontId="32" fillId="3" borderId="11" xfId="0" applyNumberFormat="1" applyFont="1" applyFill="1" applyBorder="1" applyAlignment="1">
      <alignment wrapText="1"/>
    </xf>
    <xf numFmtId="49" fontId="32" fillId="0" borderId="11" xfId="0" applyNumberFormat="1" applyFont="1" applyBorder="1" applyAlignment="1">
      <alignment wrapText="1"/>
    </xf>
    <xf numFmtId="3" fontId="32" fillId="3" borderId="21" xfId="0" applyNumberFormat="1" applyFont="1" applyFill="1" applyBorder="1"/>
    <xf numFmtId="3" fontId="32" fillId="3" borderId="11" xfId="0" applyNumberFormat="1" applyFont="1" applyFill="1" applyBorder="1"/>
    <xf numFmtId="3" fontId="28" fillId="0" borderId="0" xfId="0" applyNumberFormat="1" applyFont="1"/>
    <xf numFmtId="0" fontId="35" fillId="13" borderId="31" xfId="0" applyFont="1" applyFill="1" applyBorder="1" applyAlignment="1">
      <alignment horizontal="center" vertical="center" wrapText="1"/>
    </xf>
    <xf numFmtId="0" fontId="36" fillId="0" borderId="0" xfId="0" applyFont="1"/>
    <xf numFmtId="3" fontId="28" fillId="34" borderId="0" xfId="0" applyNumberFormat="1" applyFont="1" applyFill="1"/>
    <xf numFmtId="49" fontId="31" fillId="4" borderId="2" xfId="0" applyNumberFormat="1" applyFont="1" applyFill="1" applyBorder="1" applyAlignment="1">
      <alignment horizontal="center" vertical="center"/>
    </xf>
    <xf numFmtId="0" fontId="31" fillId="4" borderId="35" xfId="0" applyFont="1" applyFill="1" applyBorder="1" applyAlignment="1">
      <alignment vertical="center" wrapText="1"/>
    </xf>
    <xf numFmtId="3" fontId="29" fillId="4" borderId="35" xfId="0" applyNumberFormat="1" applyFont="1" applyFill="1" applyBorder="1" applyAlignment="1">
      <alignment horizontal="right" vertical="center"/>
    </xf>
    <xf numFmtId="3" fontId="29" fillId="0" borderId="0" xfId="0" applyNumberFormat="1" applyFont="1" applyAlignment="1">
      <alignment horizontal="right"/>
    </xf>
    <xf numFmtId="3" fontId="29" fillId="35" borderId="0" xfId="0" applyNumberFormat="1" applyFont="1" applyFill="1"/>
    <xf numFmtId="0" fontId="31" fillId="6" borderId="33" xfId="0" applyFont="1" applyFill="1" applyBorder="1" applyAlignment="1">
      <alignment vertical="center" wrapText="1"/>
    </xf>
    <xf numFmtId="3" fontId="29" fillId="6" borderId="33" xfId="0" applyNumberFormat="1" applyFont="1" applyFill="1" applyBorder="1" applyAlignment="1">
      <alignment horizontal="right" vertical="center"/>
    </xf>
    <xf numFmtId="0" fontId="17" fillId="8" borderId="33" xfId="0" applyFont="1" applyFill="1" applyBorder="1" applyAlignment="1">
      <alignment vertical="center" wrapText="1"/>
    </xf>
    <xf numFmtId="3" fontId="17" fillId="8" borderId="33" xfId="0" applyNumberFormat="1" applyFont="1" applyFill="1" applyBorder="1" applyAlignment="1">
      <alignment horizontal="right" vertical="center"/>
    </xf>
    <xf numFmtId="3" fontId="29" fillId="0" borderId="0" xfId="0" applyNumberFormat="1" applyFont="1"/>
    <xf numFmtId="3" fontId="29" fillId="9" borderId="19" xfId="0" applyNumberFormat="1" applyFont="1" applyFill="1" applyBorder="1" applyAlignment="1">
      <alignment horizontal="right" vertical="center"/>
    </xf>
    <xf numFmtId="3" fontId="29" fillId="0" borderId="19" xfId="0" applyNumberFormat="1" applyFont="1" applyBorder="1" applyAlignment="1">
      <alignment horizontal="right" vertical="center"/>
    </xf>
    <xf numFmtId="3" fontId="28" fillId="0" borderId="19" xfId="0" applyNumberFormat="1" applyFont="1" applyBorder="1" applyAlignment="1">
      <alignment horizontal="right" vertical="center"/>
    </xf>
    <xf numFmtId="3" fontId="17" fillId="8" borderId="19" xfId="0" applyNumberFormat="1" applyFont="1" applyFill="1" applyBorder="1" applyAlignment="1">
      <alignment horizontal="right" vertical="center"/>
    </xf>
    <xf numFmtId="3" fontId="29" fillId="8" borderId="19" xfId="0" applyNumberFormat="1" applyFont="1" applyFill="1" applyBorder="1" applyAlignment="1">
      <alignment horizontal="right" vertical="center"/>
    </xf>
    <xf numFmtId="3" fontId="31" fillId="9" borderId="19" xfId="0" applyNumberFormat="1" applyFont="1" applyFill="1" applyBorder="1" applyAlignment="1">
      <alignment horizontal="right" vertical="center"/>
    </xf>
    <xf numFmtId="3" fontId="31" fillId="21" borderId="19" xfId="0" applyNumberFormat="1" applyFont="1" applyFill="1" applyBorder="1" applyAlignment="1">
      <alignment horizontal="right" vertical="center"/>
    </xf>
    <xf numFmtId="0" fontId="28" fillId="38" borderId="0" xfId="0" applyFont="1" applyFill="1"/>
    <xf numFmtId="0" fontId="29" fillId="0" borderId="0" xfId="0" applyFont="1" applyAlignment="1">
      <alignment horizontal="left"/>
    </xf>
    <xf numFmtId="3" fontId="28" fillId="3" borderId="19" xfId="0" applyNumberFormat="1" applyFont="1" applyFill="1" applyBorder="1" applyAlignment="1">
      <alignment horizontal="right" vertical="center"/>
    </xf>
    <xf numFmtId="3" fontId="28" fillId="2" borderId="19" xfId="0" applyNumberFormat="1" applyFont="1" applyFill="1" applyBorder="1" applyAlignment="1">
      <alignment horizontal="right" vertical="center"/>
    </xf>
    <xf numFmtId="0" fontId="17" fillId="16" borderId="6" xfId="3" quotePrefix="1" applyFont="1" applyFill="1" applyBorder="1" applyAlignment="1">
      <alignment vertical="center"/>
    </xf>
    <xf numFmtId="0" fontId="17" fillId="16" borderId="6" xfId="3" quotePrefix="1" applyFont="1" applyFill="1" applyBorder="1" applyAlignment="1">
      <alignment horizontal="left" vertical="center" wrapText="1"/>
    </xf>
    <xf numFmtId="3" fontId="17" fillId="16" borderId="27" xfId="6" applyNumberFormat="1" applyFont="1" applyFill="1" applyBorder="1">
      <alignment vertical="center"/>
    </xf>
    <xf numFmtId="3" fontId="17" fillId="16" borderId="37" xfId="6" applyNumberFormat="1" applyFont="1" applyFill="1" applyBorder="1">
      <alignment vertical="center"/>
    </xf>
    <xf numFmtId="3" fontId="17" fillId="16" borderId="20" xfId="6" applyNumberFormat="1" applyFont="1" applyFill="1" applyBorder="1">
      <alignment vertical="center"/>
    </xf>
    <xf numFmtId="3" fontId="17" fillId="16" borderId="6" xfId="6" applyNumberFormat="1" applyFont="1" applyFill="1" applyBorder="1">
      <alignment vertical="center"/>
    </xf>
    <xf numFmtId="0" fontId="28" fillId="3" borderId="0" xfId="0" applyFont="1" applyFill="1"/>
    <xf numFmtId="3" fontId="17" fillId="0" borderId="19" xfId="6" applyNumberFormat="1" applyFont="1" applyFill="1" applyBorder="1">
      <alignment vertical="center"/>
    </xf>
    <xf numFmtId="0" fontId="29" fillId="3" borderId="0" xfId="0" applyFont="1" applyFill="1"/>
    <xf numFmtId="3" fontId="12" fillId="0" borderId="19" xfId="8" applyNumberFormat="1" applyFont="1" applyBorder="1">
      <alignment horizontal="right" vertical="center"/>
    </xf>
    <xf numFmtId="3" fontId="17" fillId="0" borderId="19" xfId="8" applyNumberFormat="1" applyFont="1" applyBorder="1">
      <alignment horizontal="right" vertical="center"/>
    </xf>
    <xf numFmtId="3" fontId="31" fillId="3" borderId="19" xfId="0" applyNumberFormat="1" applyFont="1" applyFill="1" applyBorder="1" applyAlignment="1">
      <alignment horizontal="right" vertical="center"/>
    </xf>
    <xf numFmtId="3" fontId="17" fillId="16" borderId="32" xfId="6" applyNumberFormat="1" applyFont="1" applyFill="1" applyBorder="1">
      <alignment vertical="center"/>
    </xf>
    <xf numFmtId="3" fontId="31" fillId="9" borderId="34" xfId="0" applyNumberFormat="1" applyFont="1" applyFill="1" applyBorder="1" applyAlignment="1">
      <alignment horizontal="right" vertical="center"/>
    </xf>
    <xf numFmtId="3" fontId="31" fillId="9" borderId="33" xfId="0" applyNumberFormat="1" applyFont="1" applyFill="1" applyBorder="1" applyAlignment="1">
      <alignment horizontal="right" vertical="center"/>
    </xf>
    <xf numFmtId="3" fontId="31" fillId="21" borderId="33" xfId="0" applyNumberFormat="1" applyFont="1" applyFill="1" applyBorder="1" applyAlignment="1">
      <alignment horizontal="right" vertical="center"/>
    </xf>
    <xf numFmtId="0" fontId="29" fillId="0" borderId="33" xfId="0" applyFont="1" applyBorder="1" applyAlignment="1">
      <alignment horizontal="left" vertical="center"/>
    </xf>
    <xf numFmtId="0" fontId="31" fillId="0" borderId="33" xfId="0" applyFont="1" applyBorder="1" applyAlignment="1">
      <alignment vertical="center" wrapText="1"/>
    </xf>
    <xf numFmtId="3" fontId="29" fillId="0" borderId="34" xfId="0" applyNumberFormat="1" applyFont="1" applyBorder="1" applyAlignment="1">
      <alignment horizontal="right" vertical="center"/>
    </xf>
    <xf numFmtId="3" fontId="29" fillId="0" borderId="33" xfId="0" applyNumberFormat="1" applyFont="1" applyBorder="1" applyAlignment="1">
      <alignment horizontal="right" vertical="center"/>
    </xf>
    <xf numFmtId="0" fontId="28" fillId="0" borderId="33" xfId="0" applyFont="1" applyBorder="1" applyAlignment="1">
      <alignment horizontal="center" vertical="center"/>
    </xf>
    <xf numFmtId="0" fontId="28" fillId="0" borderId="33" xfId="0" applyFont="1" applyBorder="1" applyAlignment="1">
      <alignment vertical="center" wrapText="1"/>
    </xf>
    <xf numFmtId="3" fontId="28" fillId="0" borderId="34" xfId="0" applyNumberFormat="1" applyFont="1" applyBorder="1" applyAlignment="1">
      <alignment horizontal="right" vertical="center"/>
    </xf>
    <xf numFmtId="3" fontId="28" fillId="0" borderId="33" xfId="0" applyNumberFormat="1" applyFont="1" applyBorder="1" applyAlignment="1">
      <alignment horizontal="right" vertical="center"/>
    </xf>
    <xf numFmtId="3" fontId="12" fillId="0" borderId="19" xfId="0" applyNumberFormat="1" applyFont="1" applyBorder="1" applyAlignment="1">
      <alignment horizontal="right" vertical="center"/>
    </xf>
    <xf numFmtId="0" fontId="39" fillId="0" borderId="0" xfId="0" applyFont="1"/>
    <xf numFmtId="0" fontId="40" fillId="0" borderId="0" xfId="0" applyFont="1"/>
    <xf numFmtId="3" fontId="17" fillId="8" borderId="19" xfId="6" applyNumberFormat="1" applyFont="1" applyFill="1" applyBorder="1">
      <alignment vertical="center"/>
    </xf>
    <xf numFmtId="3" fontId="17" fillId="9" borderId="19" xfId="6" applyNumberFormat="1" applyFont="1" applyFill="1" applyBorder="1">
      <alignment vertical="center"/>
    </xf>
    <xf numFmtId="164" fontId="12" fillId="0" borderId="19" xfId="8" applyNumberFormat="1" applyFont="1" applyBorder="1">
      <alignment horizontal="right" vertical="center"/>
    </xf>
    <xf numFmtId="3" fontId="12" fillId="0" borderId="19" xfId="6" applyNumberFormat="1" applyFont="1" applyFill="1" applyBorder="1">
      <alignment vertical="center"/>
    </xf>
    <xf numFmtId="164" fontId="17" fillId="0" borderId="19" xfId="6" applyNumberFormat="1" applyFont="1" applyFill="1" applyBorder="1">
      <alignment vertical="center"/>
    </xf>
    <xf numFmtId="3" fontId="12" fillId="36" borderId="19" xfId="8" applyNumberFormat="1" applyFont="1" applyFill="1" applyBorder="1">
      <alignment horizontal="right" vertical="center"/>
    </xf>
    <xf numFmtId="3" fontId="12" fillId="0" borderId="19" xfId="8" applyNumberFormat="1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12" fillId="0" borderId="33" xfId="7" quotePrefix="1" applyFont="1" applyFill="1" applyBorder="1" applyAlignment="1">
      <alignment horizontal="left" vertical="center" wrapText="1"/>
    </xf>
    <xf numFmtId="3" fontId="12" fillId="0" borderId="34" xfId="6" applyNumberFormat="1" applyFont="1" applyFill="1" applyBorder="1">
      <alignment vertical="center"/>
    </xf>
    <xf numFmtId="3" fontId="12" fillId="0" borderId="33" xfId="6" applyNumberFormat="1" applyFont="1" applyFill="1" applyBorder="1">
      <alignment vertical="center"/>
    </xf>
    <xf numFmtId="3" fontId="12" fillId="3" borderId="19" xfId="6" applyNumberFormat="1" applyFont="1" applyFill="1" applyBorder="1">
      <alignment vertical="center"/>
    </xf>
    <xf numFmtId="3" fontId="12" fillId="3" borderId="19" xfId="8" applyNumberFormat="1" applyFont="1" applyFill="1" applyBorder="1">
      <alignment horizontal="right" vertical="center"/>
    </xf>
    <xf numFmtId="3" fontId="12" fillId="0" borderId="19" xfId="6" applyNumberFormat="1" applyFont="1" applyFill="1" applyBorder="1" applyAlignment="1">
      <alignment horizontal="right" vertical="center"/>
    </xf>
    <xf numFmtId="3" fontId="17" fillId="21" borderId="19" xfId="6" applyNumberFormat="1" applyFont="1" applyFill="1" applyBorder="1">
      <alignment vertical="center"/>
    </xf>
    <xf numFmtId="0" fontId="17" fillId="0" borderId="23" xfId="7" quotePrefix="1" applyFont="1" applyFill="1" applyBorder="1" applyAlignment="1">
      <alignment horizontal="left" vertical="center" wrapText="1"/>
    </xf>
    <xf numFmtId="3" fontId="17" fillId="0" borderId="19" xfId="6" applyNumberFormat="1" applyFont="1" applyFill="1" applyBorder="1" applyAlignment="1">
      <alignment horizontal="right" vertical="center"/>
    </xf>
    <xf numFmtId="3" fontId="17" fillId="3" borderId="19" xfId="6" applyNumberFormat="1" applyFont="1" applyFill="1" applyBorder="1">
      <alignment vertical="center"/>
    </xf>
    <xf numFmtId="0" fontId="37" fillId="23" borderId="33" xfId="0" applyFont="1" applyFill="1" applyBorder="1" applyAlignment="1">
      <alignment vertical="center" wrapText="1"/>
    </xf>
    <xf numFmtId="3" fontId="31" fillId="21" borderId="33" xfId="0" applyNumberFormat="1" applyFont="1" applyFill="1" applyBorder="1" applyAlignment="1">
      <alignment vertical="center"/>
    </xf>
    <xf numFmtId="0" fontId="31" fillId="23" borderId="33" xfId="0" applyFont="1" applyFill="1" applyBorder="1" applyAlignment="1">
      <alignment vertical="center" wrapText="1"/>
    </xf>
    <xf numFmtId="3" fontId="31" fillId="0" borderId="33" xfId="0" applyNumberFormat="1" applyFont="1" applyBorder="1" applyAlignment="1">
      <alignment vertical="center"/>
    </xf>
    <xf numFmtId="3" fontId="37" fillId="0" borderId="33" xfId="0" applyNumberFormat="1" applyFont="1" applyBorder="1" applyAlignment="1">
      <alignment vertical="center"/>
    </xf>
    <xf numFmtId="3" fontId="17" fillId="8" borderId="25" xfId="6" applyNumberFormat="1" applyFont="1" applyFill="1" applyBorder="1">
      <alignment vertical="center"/>
    </xf>
    <xf numFmtId="3" fontId="17" fillId="8" borderId="23" xfId="6" applyNumberFormat="1" applyFont="1" applyFill="1" applyBorder="1">
      <alignment vertical="center"/>
    </xf>
    <xf numFmtId="0" fontId="37" fillId="0" borderId="23" xfId="0" applyFont="1" applyBorder="1" applyAlignment="1">
      <alignment vertical="center" wrapText="1"/>
    </xf>
    <xf numFmtId="3" fontId="31" fillId="18" borderId="23" xfId="0" applyNumberFormat="1" applyFont="1" applyFill="1" applyBorder="1" applyAlignment="1">
      <alignment vertical="center"/>
    </xf>
    <xf numFmtId="0" fontId="31" fillId="23" borderId="23" xfId="0" applyFont="1" applyFill="1" applyBorder="1" applyAlignment="1">
      <alignment vertical="center" wrapText="1"/>
    </xf>
    <xf numFmtId="3" fontId="12" fillId="8" borderId="19" xfId="6" applyNumberFormat="1" applyFont="1" applyFill="1" applyBorder="1">
      <alignment vertical="center"/>
    </xf>
    <xf numFmtId="3" fontId="12" fillId="19" borderId="19" xfId="6" applyNumberFormat="1" applyFont="1" applyFill="1" applyBorder="1">
      <alignment vertical="center"/>
    </xf>
    <xf numFmtId="3" fontId="37" fillId="0" borderId="19" xfId="0" applyNumberFormat="1" applyFont="1" applyBorder="1" applyAlignment="1">
      <alignment vertical="center"/>
    </xf>
    <xf numFmtId="0" fontId="12" fillId="0" borderId="33" xfId="7" quotePrefix="1" applyFont="1" applyFill="1" applyBorder="1" applyAlignment="1">
      <alignment horizontal="center" vertical="center"/>
    </xf>
    <xf numFmtId="3" fontId="31" fillId="12" borderId="19" xfId="0" applyNumberFormat="1" applyFont="1" applyFill="1" applyBorder="1" applyAlignment="1">
      <alignment horizontal="right" vertical="center" wrapText="1"/>
    </xf>
    <xf numFmtId="3" fontId="31" fillId="0" borderId="26" xfId="0" applyNumberFormat="1" applyFont="1" applyBorder="1" applyAlignment="1">
      <alignment horizontal="right" vertical="center" wrapText="1"/>
    </xf>
    <xf numFmtId="3" fontId="31" fillId="0" borderId="18" xfId="0" applyNumberFormat="1" applyFont="1" applyBorder="1" applyAlignment="1">
      <alignment horizontal="right" vertical="center" wrapText="1"/>
    </xf>
    <xf numFmtId="3" fontId="32" fillId="0" borderId="28" xfId="0" applyNumberFormat="1" applyFont="1" applyBorder="1" applyAlignment="1">
      <alignment horizontal="right" vertical="center" wrapText="1"/>
    </xf>
    <xf numFmtId="3" fontId="32" fillId="0" borderId="38" xfId="0" applyNumberFormat="1" applyFont="1" applyBorder="1" applyAlignment="1">
      <alignment horizontal="right" vertical="center" wrapText="1"/>
    </xf>
    <xf numFmtId="3" fontId="32" fillId="0" borderId="36" xfId="0" applyNumberFormat="1" applyFont="1" applyBorder="1" applyAlignment="1">
      <alignment horizontal="right" vertical="center" wrapText="1"/>
    </xf>
    <xf numFmtId="49" fontId="32" fillId="0" borderId="4" xfId="0" applyNumberFormat="1" applyFont="1" applyBorder="1" applyAlignment="1">
      <alignment horizontal="center" vertical="center" wrapText="1"/>
    </xf>
    <xf numFmtId="0" fontId="32" fillId="0" borderId="4" xfId="0" applyFont="1" applyBorder="1" applyAlignment="1">
      <alignment horizontal="right" vertical="center" wrapText="1"/>
    </xf>
    <xf numFmtId="3" fontId="32" fillId="0" borderId="4" xfId="0" applyNumberFormat="1" applyFont="1" applyBorder="1" applyAlignment="1">
      <alignment horizontal="right" vertical="center" wrapText="1"/>
    </xf>
    <xf numFmtId="0" fontId="35" fillId="40" borderId="31" xfId="0" applyFont="1" applyFill="1" applyBorder="1" applyAlignment="1">
      <alignment horizontal="center" vertical="center" wrapText="1"/>
    </xf>
    <xf numFmtId="3" fontId="29" fillId="41" borderId="19" xfId="0" applyNumberFormat="1" applyFont="1" applyFill="1" applyBorder="1" applyAlignment="1">
      <alignment horizontal="right" vertical="center"/>
    </xf>
    <xf numFmtId="3" fontId="31" fillId="41" borderId="19" xfId="0" applyNumberFormat="1" applyFont="1" applyFill="1" applyBorder="1" applyAlignment="1">
      <alignment horizontal="right" vertical="center"/>
    </xf>
    <xf numFmtId="3" fontId="17" fillId="41" borderId="19" xfId="8" applyNumberFormat="1" applyFont="1" applyFill="1" applyBorder="1">
      <alignment horizontal="right" vertical="center"/>
    </xf>
    <xf numFmtId="0" fontId="31" fillId="41" borderId="33" xfId="0" applyFont="1" applyFill="1" applyBorder="1" applyAlignment="1">
      <alignment horizontal="left" vertical="center"/>
    </xf>
    <xf numFmtId="0" fontId="31" fillId="41" borderId="33" xfId="0" applyFont="1" applyFill="1" applyBorder="1" applyAlignment="1">
      <alignment vertical="center" wrapText="1"/>
    </xf>
    <xf numFmtId="3" fontId="31" fillId="41" borderId="34" xfId="0" applyNumberFormat="1" applyFont="1" applyFill="1" applyBorder="1" applyAlignment="1">
      <alignment horizontal="right" vertical="center"/>
    </xf>
    <xf numFmtId="3" fontId="31" fillId="41" borderId="33" xfId="0" applyNumberFormat="1" applyFont="1" applyFill="1" applyBorder="1" applyAlignment="1">
      <alignment horizontal="right" vertical="center"/>
    </xf>
    <xf numFmtId="3" fontId="17" fillId="41" borderId="19" xfId="6" applyNumberFormat="1" applyFont="1" applyFill="1" applyBorder="1">
      <alignment vertical="center"/>
    </xf>
    <xf numFmtId="3" fontId="17" fillId="41" borderId="19" xfId="6" applyNumberFormat="1" applyFont="1" applyFill="1" applyBorder="1" applyAlignment="1">
      <alignment horizontal="right" vertical="center"/>
    </xf>
    <xf numFmtId="0" fontId="31" fillId="41" borderId="21" xfId="0" applyFont="1" applyFill="1" applyBorder="1" applyAlignment="1">
      <alignment horizontal="left" vertical="center"/>
    </xf>
    <xf numFmtId="3" fontId="31" fillId="41" borderId="33" xfId="0" applyNumberFormat="1" applyFont="1" applyFill="1" applyBorder="1" applyAlignment="1">
      <alignment vertical="center"/>
    </xf>
    <xf numFmtId="0" fontId="17" fillId="41" borderId="30" xfId="7" quotePrefix="1" applyFont="1" applyFill="1" applyBorder="1" applyAlignment="1">
      <alignment horizontal="left" vertical="center" wrapText="1"/>
    </xf>
    <xf numFmtId="3" fontId="17" fillId="41" borderId="25" xfId="6" applyNumberFormat="1" applyFont="1" applyFill="1" applyBorder="1">
      <alignment vertical="center"/>
    </xf>
    <xf numFmtId="3" fontId="17" fillId="41" borderId="23" xfId="6" applyNumberFormat="1" applyFont="1" applyFill="1" applyBorder="1">
      <alignment vertical="center"/>
    </xf>
    <xf numFmtId="3" fontId="12" fillId="41" borderId="19" xfId="6" applyNumberFormat="1" applyFont="1" applyFill="1" applyBorder="1">
      <alignment vertical="center"/>
    </xf>
    <xf numFmtId="0" fontId="31" fillId="41" borderId="21" xfId="0" applyFont="1" applyFill="1" applyBorder="1" applyAlignment="1">
      <alignment vertical="center" wrapText="1"/>
    </xf>
    <xf numFmtId="3" fontId="37" fillId="41" borderId="19" xfId="0" applyNumberFormat="1" applyFont="1" applyFill="1" applyBorder="1" applyAlignment="1">
      <alignment vertical="center"/>
    </xf>
    <xf numFmtId="3" fontId="17" fillId="43" borderId="6" xfId="6" applyNumberFormat="1" applyFont="1" applyFill="1" applyBorder="1">
      <alignment vertical="center"/>
    </xf>
    <xf numFmtId="0" fontId="31" fillId="9" borderId="25" xfId="0" applyFont="1" applyFill="1" applyBorder="1" applyAlignment="1">
      <alignment vertical="center"/>
    </xf>
    <xf numFmtId="3" fontId="31" fillId="9" borderId="23" xfId="0" applyNumberFormat="1" applyFont="1" applyFill="1" applyBorder="1" applyAlignment="1">
      <alignment vertical="center"/>
    </xf>
    <xf numFmtId="3" fontId="12" fillId="9" borderId="19" xfId="6" applyNumberFormat="1" applyFont="1" applyFill="1" applyBorder="1">
      <alignment vertical="center"/>
    </xf>
    <xf numFmtId="3" fontId="26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49" fontId="43" fillId="4" borderId="21" xfId="0" applyNumberFormat="1" applyFont="1" applyFill="1" applyBorder="1" applyAlignment="1">
      <alignment horizontal="center" vertical="center"/>
    </xf>
    <xf numFmtId="0" fontId="43" fillId="4" borderId="21" xfId="0" applyFont="1" applyFill="1" applyBorder="1" applyAlignment="1">
      <alignment vertical="center" wrapText="1"/>
    </xf>
    <xf numFmtId="3" fontId="26" fillId="4" borderId="21" xfId="0" applyNumberFormat="1" applyFont="1" applyFill="1" applyBorder="1" applyAlignment="1">
      <alignment horizontal="right" vertical="center"/>
    </xf>
    <xf numFmtId="49" fontId="43" fillId="6" borderId="21" xfId="0" applyNumberFormat="1" applyFont="1" applyFill="1" applyBorder="1" applyAlignment="1">
      <alignment horizontal="center" vertical="center"/>
    </xf>
    <xf numFmtId="0" fontId="43" fillId="6" borderId="21" xfId="0" applyFont="1" applyFill="1" applyBorder="1" applyAlignment="1">
      <alignment vertical="center" wrapText="1"/>
    </xf>
    <xf numFmtId="3" fontId="26" fillId="6" borderId="21" xfId="0" applyNumberFormat="1" applyFont="1" applyFill="1" applyBorder="1" applyAlignment="1">
      <alignment horizontal="right" vertical="center"/>
    </xf>
    <xf numFmtId="0" fontId="26" fillId="8" borderId="21" xfId="0" applyFont="1" applyFill="1" applyBorder="1" applyAlignment="1">
      <alignment horizontal="center" vertical="center"/>
    </xf>
    <xf numFmtId="0" fontId="26" fillId="8" borderId="21" xfId="0" applyFont="1" applyFill="1" applyBorder="1" applyAlignment="1">
      <alignment vertical="center" wrapText="1"/>
    </xf>
    <xf numFmtId="3" fontId="26" fillId="8" borderId="21" xfId="0" applyNumberFormat="1" applyFont="1" applyFill="1" applyBorder="1" applyAlignment="1">
      <alignment horizontal="right" vertical="center"/>
    </xf>
    <xf numFmtId="3" fontId="43" fillId="9" borderId="21" xfId="0" applyNumberFormat="1" applyFont="1" applyFill="1" applyBorder="1" applyAlignment="1">
      <alignment horizontal="right" vertical="center"/>
    </xf>
    <xf numFmtId="0" fontId="43" fillId="41" borderId="21" xfId="0" applyFont="1" applyFill="1" applyBorder="1" applyAlignment="1">
      <alignment horizontal="left" vertical="center"/>
    </xf>
    <xf numFmtId="0" fontId="43" fillId="41" borderId="21" xfId="0" applyFont="1" applyFill="1" applyBorder="1" applyAlignment="1">
      <alignment horizontal="left" vertical="center" wrapText="1"/>
    </xf>
    <xf numFmtId="3" fontId="26" fillId="41" borderId="21" xfId="0" applyNumberFormat="1" applyFont="1" applyFill="1" applyBorder="1" applyAlignment="1">
      <alignment horizontal="right" vertical="center"/>
    </xf>
    <xf numFmtId="0" fontId="43" fillId="0" borderId="21" xfId="0" applyFont="1" applyBorder="1" applyAlignment="1">
      <alignment horizontal="left" vertical="center"/>
    </xf>
    <xf numFmtId="0" fontId="43" fillId="0" borderId="21" xfId="0" applyFont="1" applyBorder="1" applyAlignment="1">
      <alignment vertical="center" wrapText="1"/>
    </xf>
    <xf numFmtId="3" fontId="26" fillId="0" borderId="21" xfId="0" applyNumberFormat="1" applyFont="1" applyBorder="1" applyAlignment="1">
      <alignment horizontal="right" vertical="center"/>
    </xf>
    <xf numFmtId="0" fontId="44" fillId="0" borderId="21" xfId="0" applyFont="1" applyBorder="1" applyAlignment="1">
      <alignment horizontal="center" vertical="center"/>
    </xf>
    <xf numFmtId="0" fontId="44" fillId="0" borderId="21" xfId="0" applyFont="1" applyBorder="1" applyAlignment="1">
      <alignment vertical="center" wrapText="1"/>
    </xf>
    <xf numFmtId="3" fontId="25" fillId="0" borderId="21" xfId="0" applyNumberFormat="1" applyFont="1" applyBorder="1" applyAlignment="1">
      <alignment horizontal="right" vertical="center"/>
    </xf>
    <xf numFmtId="3" fontId="25" fillId="39" borderId="21" xfId="0" applyNumberFormat="1" applyFont="1" applyFill="1" applyBorder="1" applyAlignment="1">
      <alignment horizontal="right" vertical="center"/>
    </xf>
    <xf numFmtId="3" fontId="43" fillId="9" borderId="21" xfId="0" applyNumberFormat="1" applyFont="1" applyFill="1" applyBorder="1" applyAlignment="1">
      <alignment vertical="center"/>
    </xf>
    <xf numFmtId="0" fontId="43" fillId="41" borderId="21" xfId="0" applyFont="1" applyFill="1" applyBorder="1" applyAlignment="1">
      <alignment vertical="center"/>
    </xf>
    <xf numFmtId="0" fontId="43" fillId="41" borderId="21" xfId="0" applyFont="1" applyFill="1" applyBorder="1" applyAlignment="1">
      <alignment vertical="center" wrapText="1"/>
    </xf>
    <xf numFmtId="3" fontId="43" fillId="41" borderId="21" xfId="0" applyNumberFormat="1" applyFont="1" applyFill="1" applyBorder="1" applyAlignment="1">
      <alignment horizontal="right" vertical="center"/>
    </xf>
    <xf numFmtId="0" fontId="26" fillId="0" borderId="21" xfId="0" applyFont="1" applyBorder="1" applyAlignment="1">
      <alignment horizontal="left" vertical="center"/>
    </xf>
    <xf numFmtId="0" fontId="25" fillId="0" borderId="21" xfId="0" applyFont="1" applyBorder="1" applyAlignment="1">
      <alignment horizontal="center" vertical="center"/>
    </xf>
    <xf numFmtId="0" fontId="25" fillId="0" borderId="21" xfId="0" applyFont="1" applyBorder="1" applyAlignment="1">
      <alignment vertical="center" wrapText="1"/>
    </xf>
    <xf numFmtId="3" fontId="25" fillId="3" borderId="21" xfId="0" applyNumberFormat="1" applyFont="1" applyFill="1" applyBorder="1" applyAlignment="1">
      <alignment horizontal="right" vertical="center"/>
    </xf>
    <xf numFmtId="0" fontId="26" fillId="0" borderId="21" xfId="0" applyFont="1" applyBorder="1" applyAlignment="1">
      <alignment vertical="center" wrapText="1"/>
    </xf>
    <xf numFmtId="0" fontId="43" fillId="41" borderId="23" xfId="0" applyFont="1" applyFill="1" applyBorder="1" applyAlignment="1">
      <alignment horizontal="left" vertical="center"/>
    </xf>
    <xf numFmtId="3" fontId="43" fillId="3" borderId="21" xfId="0" applyNumberFormat="1" applyFont="1" applyFill="1" applyBorder="1" applyAlignment="1">
      <alignment horizontal="right" vertical="center"/>
    </xf>
    <xf numFmtId="3" fontId="44" fillId="3" borderId="21" xfId="0" applyNumberFormat="1" applyFont="1" applyFill="1" applyBorder="1" applyAlignment="1">
      <alignment horizontal="right" vertical="center"/>
    </xf>
    <xf numFmtId="0" fontId="44" fillId="0" borderId="21" xfId="0" applyFont="1" applyBorder="1" applyAlignment="1">
      <alignment horizontal="left" vertical="center" wrapText="1"/>
    </xf>
    <xf numFmtId="3" fontId="44" fillId="0" borderId="21" xfId="0" applyNumberFormat="1" applyFont="1" applyBorder="1" applyAlignment="1">
      <alignment horizontal="right" vertical="center"/>
    </xf>
    <xf numFmtId="0" fontId="43" fillId="0" borderId="21" xfId="0" applyFont="1" applyBorder="1" applyAlignment="1">
      <alignment vertical="center"/>
    </xf>
    <xf numFmtId="3" fontId="26" fillId="2" borderId="21" xfId="0" applyNumberFormat="1" applyFont="1" applyFill="1" applyBorder="1" applyAlignment="1">
      <alignment horizontal="right" vertical="center"/>
    </xf>
    <xf numFmtId="0" fontId="44" fillId="3" borderId="21" xfId="0" applyFont="1" applyFill="1" applyBorder="1" applyAlignment="1">
      <alignment horizontal="center" vertical="center"/>
    </xf>
    <xf numFmtId="0" fontId="44" fillId="3" borderId="21" xfId="0" applyFont="1" applyFill="1" applyBorder="1" applyAlignment="1">
      <alignment vertical="center" wrapText="1"/>
    </xf>
    <xf numFmtId="3" fontId="26" fillId="3" borderId="21" xfId="0" applyNumberFormat="1" applyFont="1" applyFill="1" applyBorder="1" applyAlignment="1">
      <alignment horizontal="right" vertical="center"/>
    </xf>
    <xf numFmtId="0" fontId="44" fillId="0" borderId="21" xfId="0" applyFont="1" applyBorder="1" applyAlignment="1">
      <alignment horizontal="left" vertical="center"/>
    </xf>
    <xf numFmtId="0" fontId="44" fillId="0" borderId="21" xfId="0" applyFont="1" applyBorder="1" applyAlignment="1">
      <alignment vertical="center"/>
    </xf>
    <xf numFmtId="0" fontId="43" fillId="21" borderId="21" xfId="0" applyFont="1" applyFill="1" applyBorder="1" applyAlignment="1">
      <alignment horizontal="left" vertical="center"/>
    </xf>
    <xf numFmtId="0" fontId="43" fillId="21" borderId="21" xfId="0" applyFont="1" applyFill="1" applyBorder="1" applyAlignment="1">
      <alignment vertical="center" wrapText="1"/>
    </xf>
    <xf numFmtId="3" fontId="43" fillId="21" borderId="21" xfId="0" applyNumberFormat="1" applyFont="1" applyFill="1" applyBorder="1" applyAlignment="1">
      <alignment vertical="center" wrapText="1"/>
    </xf>
    <xf numFmtId="3" fontId="44" fillId="39" borderId="21" xfId="0" applyNumberFormat="1" applyFont="1" applyFill="1" applyBorder="1" applyAlignment="1">
      <alignment horizontal="right" vertical="center"/>
    </xf>
    <xf numFmtId="0" fontId="26" fillId="41" borderId="21" xfId="0" applyFont="1" applyFill="1" applyBorder="1" applyAlignment="1">
      <alignment horizontal="left" vertical="center"/>
    </xf>
    <xf numFmtId="0" fontId="26" fillId="41" borderId="21" xfId="0" applyFont="1" applyFill="1" applyBorder="1" applyAlignment="1">
      <alignment vertical="center" wrapText="1"/>
    </xf>
    <xf numFmtId="3" fontId="26" fillId="9" borderId="21" xfId="0" applyNumberFormat="1" applyFont="1" applyFill="1" applyBorder="1" applyAlignment="1">
      <alignment horizontal="right" vertical="center"/>
    </xf>
    <xf numFmtId="3" fontId="44" fillId="0" borderId="21" xfId="0" applyNumberFormat="1" applyFont="1" applyBorder="1" applyAlignment="1">
      <alignment vertical="center"/>
    </xf>
    <xf numFmtId="3" fontId="44" fillId="39" borderId="21" xfId="0" applyNumberFormat="1" applyFont="1" applyFill="1" applyBorder="1" applyAlignment="1">
      <alignment vertical="center"/>
    </xf>
    <xf numFmtId="3" fontId="44" fillId="3" borderId="21" xfId="0" applyNumberFormat="1" applyFont="1" applyFill="1" applyBorder="1" applyAlignment="1">
      <alignment vertical="center"/>
    </xf>
    <xf numFmtId="0" fontId="1" fillId="0" borderId="21" xfId="7" quotePrefix="1" applyFont="1" applyFill="1" applyBorder="1" applyAlignment="1">
      <alignment horizontal="left" vertical="center" wrapText="1"/>
    </xf>
    <xf numFmtId="0" fontId="43" fillId="9" borderId="21" xfId="0" applyFont="1" applyFill="1" applyBorder="1" applyAlignment="1">
      <alignment vertical="center"/>
    </xf>
    <xf numFmtId="3" fontId="43" fillId="8" borderId="21" xfId="0" applyNumberFormat="1" applyFont="1" applyFill="1" applyBorder="1" applyAlignment="1">
      <alignment horizontal="right" vertical="center"/>
    </xf>
    <xf numFmtId="3" fontId="43" fillId="41" borderId="21" xfId="0" applyNumberFormat="1" applyFont="1" applyFill="1" applyBorder="1" applyAlignment="1">
      <alignment vertical="center"/>
    </xf>
    <xf numFmtId="3" fontId="26" fillId="0" borderId="33" xfId="0" applyNumberFormat="1" applyFont="1" applyBorder="1" applyAlignment="1">
      <alignment horizontal="right" vertical="center"/>
    </xf>
    <xf numFmtId="3" fontId="25" fillId="0" borderId="33" xfId="0" applyNumberFormat="1" applyFont="1" applyBorder="1" applyAlignment="1">
      <alignment horizontal="right" vertical="center"/>
    </xf>
    <xf numFmtId="3" fontId="43" fillId="0" borderId="21" xfId="0" applyNumberFormat="1" applyFont="1" applyBorder="1" applyAlignment="1">
      <alignment horizontal="right" vertical="center"/>
    </xf>
    <xf numFmtId="0" fontId="44" fillId="0" borderId="33" xfId="0" applyFont="1" applyBorder="1" applyAlignment="1">
      <alignment horizontal="center" vertical="center"/>
    </xf>
    <xf numFmtId="0" fontId="44" fillId="0" borderId="33" xfId="0" applyFont="1" applyBorder="1" applyAlignment="1">
      <alignment vertical="center"/>
    </xf>
    <xf numFmtId="0" fontId="26" fillId="19" borderId="21" xfId="0" applyFont="1" applyFill="1" applyBorder="1" applyAlignment="1">
      <alignment horizontal="center" vertical="center"/>
    </xf>
    <xf numFmtId="0" fontId="26" fillId="19" borderId="21" xfId="0" applyFont="1" applyFill="1" applyBorder="1" applyAlignment="1">
      <alignment horizontal="left" wrapText="1"/>
    </xf>
    <xf numFmtId="0" fontId="26" fillId="3" borderId="21" xfId="0" applyFont="1" applyFill="1" applyBorder="1" applyAlignment="1">
      <alignment horizontal="left" vertical="center"/>
    </xf>
    <xf numFmtId="0" fontId="26" fillId="3" borderId="21" xfId="0" applyFont="1" applyFill="1" applyBorder="1" applyAlignment="1">
      <alignment vertical="center" wrapText="1"/>
    </xf>
    <xf numFmtId="0" fontId="25" fillId="3" borderId="21" xfId="0" applyFont="1" applyFill="1" applyBorder="1" applyAlignment="1">
      <alignment horizontal="center" vertical="center"/>
    </xf>
    <xf numFmtId="0" fontId="25" fillId="3" borderId="21" xfId="0" applyFont="1" applyFill="1" applyBorder="1" applyAlignment="1">
      <alignment vertical="center" wrapText="1"/>
    </xf>
    <xf numFmtId="0" fontId="42" fillId="8" borderId="21" xfId="3" quotePrefix="1" applyFont="1" applyFill="1" applyBorder="1" applyAlignment="1">
      <alignment horizontal="center" vertical="center"/>
    </xf>
    <xf numFmtId="0" fontId="42" fillId="8" borderId="21" xfId="3" quotePrefix="1" applyFont="1" applyFill="1" applyBorder="1" applyAlignment="1">
      <alignment horizontal="left" vertical="center" wrapText="1"/>
    </xf>
    <xf numFmtId="3" fontId="26" fillId="3" borderId="33" xfId="0" applyNumberFormat="1" applyFont="1" applyFill="1" applyBorder="1" applyAlignment="1">
      <alignment horizontal="right" vertical="center"/>
    </xf>
    <xf numFmtId="3" fontId="25" fillId="3" borderId="33" xfId="0" applyNumberFormat="1" applyFont="1" applyFill="1" applyBorder="1" applyAlignment="1">
      <alignment horizontal="right" vertical="center"/>
    </xf>
    <xf numFmtId="0" fontId="26" fillId="2" borderId="21" xfId="0" applyFont="1" applyFill="1" applyBorder="1" applyAlignment="1">
      <alignment horizontal="left" vertical="center"/>
    </xf>
    <xf numFmtId="0" fontId="26" fillId="2" borderId="21" xfId="0" applyFont="1" applyFill="1" applyBorder="1" applyAlignment="1">
      <alignment vertical="center" wrapText="1"/>
    </xf>
    <xf numFmtId="0" fontId="25" fillId="2" borderId="21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vertical="center" wrapText="1"/>
    </xf>
    <xf numFmtId="3" fontId="1" fillId="0" borderId="21" xfId="0" applyNumberFormat="1" applyFont="1" applyBorder="1" applyAlignment="1">
      <alignment horizontal="right" vertical="center"/>
    </xf>
    <xf numFmtId="3" fontId="42" fillId="8" borderId="21" xfId="3" quotePrefix="1" applyNumberFormat="1" applyFont="1" applyFill="1" applyBorder="1" applyAlignment="1">
      <alignment vertical="center"/>
    </xf>
    <xf numFmtId="0" fontId="42" fillId="41" borderId="21" xfId="0" applyFont="1" applyFill="1" applyBorder="1" applyAlignment="1">
      <alignment vertical="center"/>
    </xf>
    <xf numFmtId="3" fontId="42" fillId="41" borderId="21" xfId="0" applyNumberFormat="1" applyFont="1" applyFill="1" applyBorder="1" applyAlignment="1">
      <alignment horizontal="right" vertical="center"/>
    </xf>
    <xf numFmtId="0" fontId="42" fillId="8" borderId="21" xfId="3" quotePrefix="1" applyFont="1" applyFill="1" applyBorder="1" applyAlignment="1">
      <alignment vertical="center"/>
    </xf>
    <xf numFmtId="3" fontId="43" fillId="11" borderId="21" xfId="0" applyNumberFormat="1" applyFont="1" applyFill="1" applyBorder="1" applyAlignment="1">
      <alignment horizontal="right" vertical="center"/>
    </xf>
    <xf numFmtId="0" fontId="43" fillId="21" borderId="21" xfId="0" applyFont="1" applyFill="1" applyBorder="1" applyAlignment="1">
      <alignment vertical="center"/>
    </xf>
    <xf numFmtId="3" fontId="43" fillId="21" borderId="21" xfId="0" applyNumberFormat="1" applyFont="1" applyFill="1" applyBorder="1" applyAlignment="1">
      <alignment vertical="center"/>
    </xf>
    <xf numFmtId="0" fontId="42" fillId="0" borderId="21" xfId="7" quotePrefix="1" applyFont="1" applyFill="1" applyBorder="1" applyAlignment="1">
      <alignment vertical="center"/>
    </xf>
    <xf numFmtId="0" fontId="42" fillId="0" borderId="21" xfId="7" quotePrefix="1" applyFont="1" applyFill="1" applyBorder="1" applyAlignment="1">
      <alignment horizontal="left" vertical="center" wrapText="1"/>
    </xf>
    <xf numFmtId="3" fontId="43" fillId="0" borderId="21" xfId="0" applyNumberFormat="1" applyFont="1" applyBorder="1" applyAlignment="1">
      <alignment vertical="center"/>
    </xf>
    <xf numFmtId="0" fontId="1" fillId="0" borderId="21" xfId="7" quotePrefix="1" applyFont="1" applyFill="1" applyBorder="1" applyAlignment="1">
      <alignment horizontal="center" vertical="center"/>
    </xf>
    <xf numFmtId="3" fontId="45" fillId="0" borderId="21" xfId="0" applyNumberFormat="1" applyFont="1" applyBorder="1" applyAlignment="1">
      <alignment vertical="center"/>
    </xf>
    <xf numFmtId="3" fontId="43" fillId="21" borderId="21" xfId="0" applyNumberFormat="1" applyFont="1" applyFill="1" applyBorder="1" applyAlignment="1">
      <alignment horizontal="right" vertical="center"/>
    </xf>
    <xf numFmtId="3" fontId="26" fillId="21" borderId="21" xfId="0" applyNumberFormat="1" applyFont="1" applyFill="1" applyBorder="1" applyAlignment="1">
      <alignment horizontal="right" vertical="center"/>
    </xf>
    <xf numFmtId="0" fontId="44" fillId="3" borderId="21" xfId="0" applyFont="1" applyFill="1" applyBorder="1" applyAlignment="1">
      <alignment vertical="center"/>
    </xf>
    <xf numFmtId="3" fontId="43" fillId="0" borderId="33" xfId="0" applyNumberFormat="1" applyFont="1" applyBorder="1" applyAlignment="1">
      <alignment vertical="center"/>
    </xf>
    <xf numFmtId="3" fontId="44" fillId="0" borderId="33" xfId="0" applyNumberFormat="1" applyFont="1" applyBorder="1" applyAlignment="1">
      <alignment vertical="center"/>
    </xf>
    <xf numFmtId="3" fontId="43" fillId="19" borderId="21" xfId="0" applyNumberFormat="1" applyFont="1" applyFill="1" applyBorder="1" applyAlignment="1">
      <alignment vertical="center"/>
    </xf>
    <xf numFmtId="3" fontId="42" fillId="8" borderId="21" xfId="6" applyNumberFormat="1" applyFont="1" applyFill="1" applyBorder="1">
      <alignment vertical="center"/>
    </xf>
    <xf numFmtId="3" fontId="42" fillId="9" borderId="21" xfId="6" applyNumberFormat="1" applyFont="1" applyFill="1" applyBorder="1">
      <alignment vertical="center"/>
    </xf>
    <xf numFmtId="3" fontId="42" fillId="0" borderId="21" xfId="6" applyNumberFormat="1" applyFont="1" applyFill="1" applyBorder="1">
      <alignment vertical="center"/>
    </xf>
    <xf numFmtId="3" fontId="1" fillId="0" borderId="21" xfId="6" applyNumberFormat="1" applyFont="1" applyFill="1" applyBorder="1">
      <alignment vertical="center"/>
    </xf>
    <xf numFmtId="0" fontId="44" fillId="0" borderId="33" xfId="0" applyFont="1" applyBorder="1" applyAlignment="1">
      <alignment vertical="center" wrapText="1"/>
    </xf>
    <xf numFmtId="0" fontId="25" fillId="0" borderId="21" xfId="0" applyFont="1" applyBorder="1"/>
    <xf numFmtId="3" fontId="43" fillId="20" borderId="21" xfId="0" applyNumberFormat="1" applyFont="1" applyFill="1" applyBorder="1" applyAlignment="1">
      <alignment horizontal="right" vertical="center"/>
    </xf>
    <xf numFmtId="0" fontId="43" fillId="3" borderId="21" xfId="0" applyFont="1" applyFill="1" applyBorder="1" applyAlignment="1">
      <alignment horizontal="left" vertical="center"/>
    </xf>
    <xf numFmtId="3" fontId="1" fillId="3" borderId="21" xfId="0" applyNumberFormat="1" applyFont="1" applyFill="1" applyBorder="1" applyAlignment="1">
      <alignment horizontal="right" vertical="center"/>
    </xf>
    <xf numFmtId="0" fontId="44" fillId="23" borderId="21" xfId="0" applyFont="1" applyFill="1" applyBorder="1" applyAlignment="1">
      <alignment horizontal="center" vertical="center"/>
    </xf>
    <xf numFmtId="0" fontId="44" fillId="23" borderId="21" xfId="0" applyFont="1" applyFill="1" applyBorder="1" applyAlignment="1">
      <alignment vertical="center" wrapText="1"/>
    </xf>
    <xf numFmtId="3" fontId="45" fillId="0" borderId="21" xfId="0" applyNumberFormat="1" applyFont="1" applyBorder="1" applyAlignment="1">
      <alignment horizontal="right" vertical="center"/>
    </xf>
    <xf numFmtId="0" fontId="42" fillId="0" borderId="21" xfId="7" quotePrefix="1" applyFont="1" applyFill="1" applyBorder="1" applyAlignment="1">
      <alignment horizontal="left" vertical="center"/>
    </xf>
    <xf numFmtId="3" fontId="26" fillId="41" borderId="24" xfId="0" applyNumberFormat="1" applyFont="1" applyFill="1" applyBorder="1" applyAlignment="1">
      <alignment horizontal="right" vertical="center"/>
    </xf>
    <xf numFmtId="0" fontId="43" fillId="3" borderId="21" xfId="0" applyFont="1" applyFill="1" applyBorder="1" applyAlignment="1">
      <alignment vertical="center" wrapText="1"/>
    </xf>
    <xf numFmtId="3" fontId="42" fillId="3" borderId="22" xfId="6" applyNumberFormat="1" applyFont="1" applyFill="1" applyBorder="1">
      <alignment vertical="center"/>
    </xf>
    <xf numFmtId="3" fontId="42" fillId="3" borderId="21" xfId="6" applyNumberFormat="1" applyFont="1" applyFill="1" applyBorder="1">
      <alignment vertical="center"/>
    </xf>
    <xf numFmtId="3" fontId="1" fillId="3" borderId="22" xfId="6" applyNumberFormat="1" applyFont="1" applyFill="1" applyBorder="1">
      <alignment vertical="center"/>
    </xf>
    <xf numFmtId="3" fontId="1" fillId="3" borderId="21" xfId="6" applyNumberFormat="1" applyFont="1" applyFill="1" applyBorder="1">
      <alignment vertical="center"/>
    </xf>
    <xf numFmtId="0" fontId="43" fillId="3" borderId="21" xfId="0" applyFont="1" applyFill="1" applyBorder="1" applyAlignment="1">
      <alignment vertical="center"/>
    </xf>
    <xf numFmtId="3" fontId="1" fillId="0" borderId="21" xfId="8" applyNumberFormat="1" applyFont="1" applyBorder="1">
      <alignment horizontal="right" vertical="center"/>
    </xf>
    <xf numFmtId="0" fontId="1" fillId="3" borderId="21" xfId="7" quotePrefix="1" applyFont="1" applyFill="1" applyBorder="1" applyAlignment="1">
      <alignment horizontal="center" vertical="center"/>
    </xf>
    <xf numFmtId="0" fontId="1" fillId="3" borderId="21" xfId="7" quotePrefix="1" applyFont="1" applyFill="1" applyBorder="1" applyAlignment="1">
      <alignment horizontal="left" vertical="center" wrapText="1"/>
    </xf>
    <xf numFmtId="3" fontId="1" fillId="3" borderId="21" xfId="8" applyNumberFormat="1" applyFont="1" applyFill="1" applyBorder="1">
      <alignment horizontal="right" vertical="center"/>
    </xf>
    <xf numFmtId="0" fontId="43" fillId="42" borderId="21" xfId="0" applyFont="1" applyFill="1" applyBorder="1" applyAlignment="1">
      <alignment horizontal="left" vertical="center"/>
    </xf>
    <xf numFmtId="0" fontId="43" fillId="42" borderId="21" xfId="0" applyFont="1" applyFill="1" applyBorder="1" applyAlignment="1">
      <alignment vertical="center" wrapText="1"/>
    </xf>
    <xf numFmtId="0" fontId="43" fillId="23" borderId="21" xfId="0" applyFont="1" applyFill="1" applyBorder="1" applyAlignment="1">
      <alignment horizontal="left" vertical="center"/>
    </xf>
    <xf numFmtId="0" fontId="43" fillId="23" borderId="21" xfId="0" applyFont="1" applyFill="1" applyBorder="1" applyAlignment="1">
      <alignment vertical="center" wrapText="1"/>
    </xf>
    <xf numFmtId="3" fontId="42" fillId="8" borderId="21" xfId="6" applyNumberFormat="1" applyFont="1" applyFill="1" applyBorder="1" applyAlignment="1">
      <alignment horizontal="right" vertical="center"/>
    </xf>
    <xf numFmtId="0" fontId="43" fillId="42" borderId="33" xfId="0" applyFont="1" applyFill="1" applyBorder="1" applyAlignment="1">
      <alignment horizontal="left" vertical="center"/>
    </xf>
    <xf numFmtId="3" fontId="44" fillId="41" borderId="33" xfId="0" applyNumberFormat="1" applyFont="1" applyFill="1" applyBorder="1" applyAlignment="1">
      <alignment horizontal="right" vertical="center"/>
    </xf>
    <xf numFmtId="0" fontId="26" fillId="0" borderId="33" xfId="0" applyFont="1" applyBorder="1" applyAlignment="1">
      <alignment horizontal="left"/>
    </xf>
    <xf numFmtId="0" fontId="43" fillId="23" borderId="33" xfId="0" applyFont="1" applyFill="1" applyBorder="1" applyAlignment="1">
      <alignment vertical="center" wrapText="1"/>
    </xf>
    <xf numFmtId="3" fontId="26" fillId="0" borderId="33" xfId="0" applyNumberFormat="1" applyFont="1" applyBorder="1"/>
    <xf numFmtId="0" fontId="25" fillId="0" borderId="33" xfId="0" applyFont="1" applyBorder="1" applyAlignment="1">
      <alignment horizontal="center"/>
    </xf>
    <xf numFmtId="0" fontId="44" fillId="23" borderId="33" xfId="0" applyFont="1" applyFill="1" applyBorder="1" applyAlignment="1">
      <alignment vertical="center" wrapText="1"/>
    </xf>
    <xf numFmtId="3" fontId="25" fillId="0" borderId="33" xfId="0" applyNumberFormat="1" applyFont="1" applyBorder="1"/>
    <xf numFmtId="0" fontId="44" fillId="23" borderId="33" xfId="0" applyFont="1" applyFill="1" applyBorder="1" applyAlignment="1">
      <alignment horizontal="center" vertical="center"/>
    </xf>
    <xf numFmtId="3" fontId="44" fillId="0" borderId="33" xfId="0" applyNumberFormat="1" applyFont="1" applyBorder="1" applyAlignment="1">
      <alignment horizontal="right" vertical="center"/>
    </xf>
    <xf numFmtId="3" fontId="43" fillId="0" borderId="33" xfId="0" applyNumberFormat="1" applyFont="1" applyBorder="1" applyAlignment="1">
      <alignment horizontal="right" vertical="center"/>
    </xf>
    <xf numFmtId="3" fontId="44" fillId="3" borderId="33" xfId="0" applyNumberFormat="1" applyFont="1" applyFill="1" applyBorder="1" applyAlignment="1">
      <alignment horizontal="right" vertical="center"/>
    </xf>
    <xf numFmtId="0" fontId="43" fillId="23" borderId="33" xfId="0" applyFont="1" applyFill="1" applyBorder="1" applyAlignment="1">
      <alignment horizontal="left" vertical="center"/>
    </xf>
    <xf numFmtId="3" fontId="42" fillId="0" borderId="21" xfId="6" applyNumberFormat="1" applyFont="1" applyFill="1" applyBorder="1" applyAlignment="1">
      <alignment horizontal="right" vertical="center"/>
    </xf>
    <xf numFmtId="0" fontId="1" fillId="0" borderId="21" xfId="0" applyFont="1" applyBorder="1" applyAlignment="1">
      <alignment vertical="center" wrapText="1"/>
    </xf>
    <xf numFmtId="0" fontId="43" fillId="25" borderId="21" xfId="0" applyFont="1" applyFill="1" applyBorder="1" applyAlignment="1">
      <alignment horizontal="left" vertical="center"/>
    </xf>
    <xf numFmtId="0" fontId="43" fillId="25" borderId="21" xfId="0" applyFont="1" applyFill="1" applyBorder="1" applyAlignment="1">
      <alignment vertical="center" wrapText="1"/>
    </xf>
    <xf numFmtId="0" fontId="43" fillId="3" borderId="21" xfId="0" applyFont="1" applyFill="1" applyBorder="1" applyAlignment="1">
      <alignment horizontal="left" vertical="center" wrapText="1"/>
    </xf>
    <xf numFmtId="0" fontId="44" fillId="3" borderId="21" xfId="0" applyFont="1" applyFill="1" applyBorder="1" applyAlignment="1">
      <alignment horizontal="left" vertical="center" wrapText="1"/>
    </xf>
    <xf numFmtId="0" fontId="42" fillId="41" borderId="21" xfId="7" quotePrefix="1" applyFont="1" applyFill="1" applyBorder="1" applyAlignment="1">
      <alignment horizontal="left" vertical="center"/>
    </xf>
    <xf numFmtId="0" fontId="42" fillId="41" borderId="21" xfId="7" quotePrefix="1" applyFont="1" applyFill="1" applyBorder="1" applyAlignment="1">
      <alignment horizontal="left" vertical="center" wrapText="1"/>
    </xf>
    <xf numFmtId="3" fontId="42" fillId="41" borderId="19" xfId="6" applyNumberFormat="1" applyFont="1" applyFill="1" applyBorder="1">
      <alignment vertical="center"/>
    </xf>
    <xf numFmtId="3" fontId="42" fillId="3" borderId="19" xfId="6" applyNumberFormat="1" applyFont="1" applyFill="1" applyBorder="1">
      <alignment vertical="center"/>
    </xf>
    <xf numFmtId="3" fontId="1" fillId="3" borderId="19" xfId="6" applyNumberFormat="1" applyFont="1" applyFill="1" applyBorder="1">
      <alignment vertical="center"/>
    </xf>
    <xf numFmtId="3" fontId="1" fillId="0" borderId="21" xfId="6" applyNumberFormat="1" applyFont="1" applyFill="1" applyBorder="1" applyAlignment="1">
      <alignment horizontal="right" vertical="center"/>
    </xf>
    <xf numFmtId="3" fontId="42" fillId="8" borderId="19" xfId="6" applyNumberFormat="1" applyFont="1" applyFill="1" applyBorder="1">
      <alignment vertical="center"/>
    </xf>
    <xf numFmtId="3" fontId="42" fillId="9" borderId="19" xfId="6" applyNumberFormat="1" applyFont="1" applyFill="1" applyBorder="1">
      <alignment vertical="center"/>
    </xf>
    <xf numFmtId="3" fontId="43" fillId="41" borderId="19" xfId="0" applyNumberFormat="1" applyFont="1" applyFill="1" applyBorder="1" applyAlignment="1">
      <alignment horizontal="right" vertical="center"/>
    </xf>
    <xf numFmtId="3" fontId="43" fillId="0" borderId="19" xfId="0" applyNumberFormat="1" applyFont="1" applyBorder="1" applyAlignment="1">
      <alignment horizontal="right" vertical="center"/>
    </xf>
    <xf numFmtId="3" fontId="44" fillId="0" borderId="19" xfId="0" applyNumberFormat="1" applyFont="1" applyBorder="1" applyAlignment="1">
      <alignment horizontal="right" vertical="center"/>
    </xf>
    <xf numFmtId="3" fontId="26" fillId="3" borderId="19" xfId="0" applyNumberFormat="1" applyFont="1" applyFill="1" applyBorder="1" applyAlignment="1">
      <alignment horizontal="right" vertical="center"/>
    </xf>
    <xf numFmtId="3" fontId="25" fillId="3" borderId="19" xfId="0" applyNumberFormat="1" applyFont="1" applyFill="1" applyBorder="1" applyAlignment="1">
      <alignment horizontal="right" vertical="center"/>
    </xf>
    <xf numFmtId="3" fontId="26" fillId="0" borderId="19" xfId="0" applyNumberFormat="1" applyFont="1" applyBorder="1" applyAlignment="1">
      <alignment horizontal="right" vertical="center"/>
    </xf>
    <xf numFmtId="3" fontId="25" fillId="0" borderId="19" xfId="0" applyNumberFormat="1" applyFont="1" applyBorder="1" applyAlignment="1">
      <alignment horizontal="right" vertical="center"/>
    </xf>
    <xf numFmtId="3" fontId="42" fillId="41" borderId="21" xfId="6" applyNumberFormat="1" applyFont="1" applyFill="1" applyBorder="1">
      <alignment vertical="center"/>
    </xf>
    <xf numFmtId="3" fontId="42" fillId="0" borderId="19" xfId="6" applyNumberFormat="1" applyFont="1" applyFill="1" applyBorder="1">
      <alignment vertical="center"/>
    </xf>
    <xf numFmtId="3" fontId="1" fillId="0" borderId="19" xfId="6" applyNumberFormat="1" applyFont="1" applyFill="1" applyBorder="1">
      <alignment vertical="center"/>
    </xf>
    <xf numFmtId="0" fontId="1" fillId="23" borderId="21" xfId="0" applyFont="1" applyFill="1" applyBorder="1" applyAlignment="1">
      <alignment horizontal="center" vertical="center"/>
    </xf>
    <xf numFmtId="0" fontId="1" fillId="23" borderId="21" xfId="0" applyFont="1" applyFill="1" applyBorder="1" applyAlignment="1">
      <alignment vertical="center" wrapText="1"/>
    </xf>
    <xf numFmtId="3" fontId="42" fillId="9" borderId="22" xfId="6" applyNumberFormat="1" applyFont="1" applyFill="1" applyBorder="1">
      <alignment vertical="center"/>
    </xf>
    <xf numFmtId="3" fontId="1" fillId="0" borderId="19" xfId="8" applyNumberFormat="1" applyFont="1" applyBorder="1">
      <alignment horizontal="right" vertical="center"/>
    </xf>
    <xf numFmtId="3" fontId="42" fillId="0" borderId="19" xfId="8" applyNumberFormat="1" applyFont="1" applyBorder="1">
      <alignment horizontal="right" vertical="center"/>
    </xf>
    <xf numFmtId="3" fontId="25" fillId="8" borderId="19" xfId="0" applyNumberFormat="1" applyFont="1" applyFill="1" applyBorder="1" applyAlignment="1">
      <alignment horizontal="right" vertical="center"/>
    </xf>
    <xf numFmtId="3" fontId="25" fillId="8" borderId="21" xfId="0" applyNumberFormat="1" applyFont="1" applyFill="1" applyBorder="1" applyAlignment="1">
      <alignment horizontal="right" vertical="center"/>
    </xf>
    <xf numFmtId="0" fontId="42" fillId="41" borderId="30" xfId="7" quotePrefix="1" applyFont="1" applyFill="1" applyBorder="1" applyAlignment="1">
      <alignment horizontal="left" vertical="center" wrapText="1"/>
    </xf>
    <xf numFmtId="3" fontId="25" fillId="41" borderId="19" xfId="0" applyNumberFormat="1" applyFont="1" applyFill="1" applyBorder="1" applyAlignment="1">
      <alignment horizontal="right" vertical="center"/>
    </xf>
    <xf numFmtId="3" fontId="25" fillId="41" borderId="21" xfId="0" applyNumberFormat="1" applyFont="1" applyFill="1" applyBorder="1" applyAlignment="1">
      <alignment horizontal="right" vertical="center"/>
    </xf>
    <xf numFmtId="0" fontId="43" fillId="23" borderId="21" xfId="0" applyFont="1" applyFill="1" applyBorder="1" applyAlignment="1">
      <alignment horizontal="center" vertical="center"/>
    </xf>
    <xf numFmtId="3" fontId="26" fillId="8" borderId="19" xfId="0" applyNumberFormat="1" applyFont="1" applyFill="1" applyBorder="1" applyAlignment="1">
      <alignment horizontal="right" vertical="center"/>
    </xf>
    <xf numFmtId="0" fontId="43" fillId="23" borderId="23" xfId="0" applyFont="1" applyFill="1" applyBorder="1" applyAlignment="1">
      <alignment vertical="center" wrapText="1"/>
    </xf>
    <xf numFmtId="3" fontId="26" fillId="41" borderId="19" xfId="0" applyNumberFormat="1" applyFont="1" applyFill="1" applyBorder="1" applyAlignment="1">
      <alignment horizontal="right" vertical="center"/>
    </xf>
    <xf numFmtId="0" fontId="43" fillId="0" borderId="21" xfId="0" applyFont="1" applyBorder="1" applyAlignment="1">
      <alignment horizontal="center" vertical="center"/>
    </xf>
    <xf numFmtId="0" fontId="42" fillId="0" borderId="21" xfId="7" quotePrefix="1" applyFont="1" applyFill="1" applyBorder="1" applyAlignment="1">
      <alignment horizontal="center" vertical="center"/>
    </xf>
    <xf numFmtId="0" fontId="43" fillId="41" borderId="7" xfId="0" applyFont="1" applyFill="1" applyBorder="1" applyAlignment="1">
      <alignment horizontal="left" vertical="center"/>
    </xf>
    <xf numFmtId="0" fontId="43" fillId="41" borderId="7" xfId="0" applyFont="1" applyFill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vertical="center" wrapText="1"/>
    </xf>
    <xf numFmtId="3" fontId="1" fillId="19" borderId="22" xfId="6" applyNumberFormat="1" applyFont="1" applyFill="1" applyBorder="1">
      <alignment vertical="center"/>
    </xf>
    <xf numFmtId="3" fontId="1" fillId="19" borderId="19" xfId="6" applyNumberFormat="1" applyFont="1" applyFill="1" applyBorder="1">
      <alignment vertical="center"/>
    </xf>
    <xf numFmtId="3" fontId="1" fillId="19" borderId="21" xfId="6" applyNumberFormat="1" applyFont="1" applyFill="1" applyBorder="1">
      <alignment vertical="center"/>
    </xf>
    <xf numFmtId="3" fontId="42" fillId="19" borderId="21" xfId="6" applyNumberFormat="1" applyFont="1" applyFill="1" applyBorder="1">
      <alignment vertical="center"/>
    </xf>
    <xf numFmtId="0" fontId="43" fillId="37" borderId="21" xfId="0" applyFont="1" applyFill="1" applyBorder="1" applyAlignment="1">
      <alignment vertical="center"/>
    </xf>
    <xf numFmtId="3" fontId="44" fillId="41" borderId="19" xfId="0" applyNumberFormat="1" applyFont="1" applyFill="1" applyBorder="1" applyAlignment="1">
      <alignment vertical="center"/>
    </xf>
    <xf numFmtId="3" fontId="44" fillId="41" borderId="21" xfId="0" applyNumberFormat="1" applyFont="1" applyFill="1" applyBorder="1" applyAlignment="1">
      <alignment vertical="center"/>
    </xf>
    <xf numFmtId="3" fontId="44" fillId="0" borderId="19" xfId="0" applyNumberFormat="1" applyFont="1" applyBorder="1" applyAlignment="1">
      <alignment vertical="center"/>
    </xf>
    <xf numFmtId="3" fontId="25" fillId="0" borderId="8" xfId="0" applyNumberFormat="1" applyFont="1" applyBorder="1" applyAlignment="1">
      <alignment horizontal="right" vertical="center"/>
    </xf>
    <xf numFmtId="49" fontId="26" fillId="17" borderId="21" xfId="0" applyNumberFormat="1" applyFont="1" applyFill="1" applyBorder="1" applyAlignment="1">
      <alignment horizontal="center" vertical="center" wrapText="1"/>
    </xf>
    <xf numFmtId="3" fontId="43" fillId="17" borderId="21" xfId="0" applyNumberFormat="1" applyFont="1" applyFill="1" applyBorder="1" applyAlignment="1">
      <alignment horizontal="right" vertical="center" wrapText="1"/>
    </xf>
    <xf numFmtId="49" fontId="26" fillId="9" borderId="21" xfId="0" applyNumberFormat="1" applyFont="1" applyFill="1" applyBorder="1" applyAlignment="1">
      <alignment horizontal="center" vertical="center" wrapText="1"/>
    </xf>
    <xf numFmtId="3" fontId="43" fillId="9" borderId="21" xfId="0" applyNumberFormat="1" applyFont="1" applyFill="1" applyBorder="1" applyAlignment="1">
      <alignment horizontal="right" wrapText="1"/>
    </xf>
    <xf numFmtId="49" fontId="25" fillId="3" borderId="21" xfId="0" applyNumberFormat="1" applyFont="1" applyFill="1" applyBorder="1"/>
    <xf numFmtId="3" fontId="25" fillId="0" borderId="21" xfId="0" applyNumberFormat="1" applyFont="1" applyBorder="1"/>
    <xf numFmtId="49" fontId="25" fillId="0" borderId="21" xfId="0" applyNumberFormat="1" applyFont="1" applyBorder="1"/>
    <xf numFmtId="3" fontId="25" fillId="3" borderId="21" xfId="0" applyNumberFormat="1" applyFont="1" applyFill="1" applyBorder="1"/>
    <xf numFmtId="49" fontId="25" fillId="0" borderId="21" xfId="0" applyNumberFormat="1" applyFont="1" applyBorder="1" applyAlignment="1">
      <alignment wrapText="1"/>
    </xf>
    <xf numFmtId="3" fontId="26" fillId="0" borderId="0" xfId="0" applyNumberFormat="1" applyFont="1" applyAlignment="1">
      <alignment horizontal="center"/>
    </xf>
    <xf numFmtId="3" fontId="29" fillId="41" borderId="33" xfId="0" applyNumberFormat="1" applyFont="1" applyFill="1" applyBorder="1" applyAlignment="1">
      <alignment horizontal="right" vertical="center"/>
    </xf>
    <xf numFmtId="3" fontId="29" fillId="8" borderId="33" xfId="0" applyNumberFormat="1" applyFont="1" applyFill="1" applyBorder="1" applyAlignment="1">
      <alignment horizontal="right" vertical="center"/>
    </xf>
    <xf numFmtId="3" fontId="28" fillId="3" borderId="33" xfId="0" applyNumberFormat="1" applyFont="1" applyFill="1" applyBorder="1" applyAlignment="1">
      <alignment horizontal="right" vertical="center"/>
    </xf>
    <xf numFmtId="3" fontId="12" fillId="0" borderId="33" xfId="0" applyNumberFormat="1" applyFont="1" applyBorder="1" applyAlignment="1">
      <alignment horizontal="right" vertical="center"/>
    </xf>
    <xf numFmtId="3" fontId="28" fillId="2" borderId="33" xfId="0" applyNumberFormat="1" applyFont="1" applyFill="1" applyBorder="1" applyAlignment="1">
      <alignment horizontal="right" vertical="center"/>
    </xf>
    <xf numFmtId="3" fontId="17" fillId="0" borderId="33" xfId="6" applyNumberFormat="1" applyFont="1" applyFill="1" applyBorder="1">
      <alignment vertical="center"/>
    </xf>
    <xf numFmtId="3" fontId="12" fillId="0" borderId="33" xfId="8" applyNumberFormat="1" applyFont="1" applyBorder="1">
      <alignment horizontal="right" vertical="center"/>
    </xf>
    <xf numFmtId="3" fontId="37" fillId="3" borderId="33" xfId="0" applyNumberFormat="1" applyFont="1" applyFill="1" applyBorder="1" applyAlignment="1">
      <alignment horizontal="right" vertical="center"/>
    </xf>
    <xf numFmtId="3" fontId="12" fillId="2" borderId="33" xfId="0" applyNumberFormat="1" applyFont="1" applyFill="1" applyBorder="1" applyAlignment="1">
      <alignment horizontal="right" vertical="center"/>
    </xf>
    <xf numFmtId="3" fontId="17" fillId="8" borderId="33" xfId="6" applyNumberFormat="1" applyFont="1" applyFill="1" applyBorder="1">
      <alignment vertical="center"/>
    </xf>
    <xf numFmtId="3" fontId="17" fillId="9" borderId="33" xfId="6" applyNumberFormat="1" applyFont="1" applyFill="1" applyBorder="1">
      <alignment vertical="center"/>
    </xf>
    <xf numFmtId="164" fontId="12" fillId="0" borderId="33" xfId="8" applyNumberFormat="1" applyFont="1" applyBorder="1">
      <alignment horizontal="right" vertical="center"/>
    </xf>
    <xf numFmtId="164" fontId="17" fillId="0" borderId="33" xfId="6" applyNumberFormat="1" applyFont="1" applyFill="1" applyBorder="1">
      <alignment vertical="center"/>
    </xf>
    <xf numFmtId="3" fontId="12" fillId="0" borderId="33" xfId="8" applyNumberFormat="1" applyFont="1" applyBorder="1" applyAlignment="1">
      <alignment horizontal="center" vertical="center"/>
    </xf>
    <xf numFmtId="3" fontId="12" fillId="3" borderId="33" xfId="6" applyNumberFormat="1" applyFont="1" applyFill="1" applyBorder="1">
      <alignment vertical="center"/>
    </xf>
    <xf numFmtId="3" fontId="12" fillId="3" borderId="33" xfId="8" applyNumberFormat="1" applyFont="1" applyFill="1" applyBorder="1">
      <alignment horizontal="right" vertical="center"/>
    </xf>
    <xf numFmtId="3" fontId="12" fillId="0" borderId="33" xfId="6" applyNumberFormat="1" applyFont="1" applyFill="1" applyBorder="1" applyAlignment="1">
      <alignment horizontal="right" vertical="center"/>
    </xf>
    <xf numFmtId="3" fontId="17" fillId="41" borderId="33" xfId="6" applyNumberFormat="1" applyFont="1" applyFill="1" applyBorder="1">
      <alignment vertical="center"/>
    </xf>
    <xf numFmtId="3" fontId="17" fillId="3" borderId="33" xfId="6" applyNumberFormat="1" applyFont="1" applyFill="1" applyBorder="1">
      <alignment vertical="center"/>
    </xf>
    <xf numFmtId="3" fontId="37" fillId="3" borderId="33" xfId="0" applyNumberFormat="1" applyFont="1" applyFill="1" applyBorder="1" applyAlignment="1">
      <alignment vertical="center"/>
    </xf>
    <xf numFmtId="3" fontId="26" fillId="8" borderId="33" xfId="0" applyNumberFormat="1" applyFont="1" applyFill="1" applyBorder="1" applyAlignment="1">
      <alignment horizontal="right" vertical="center"/>
    </xf>
    <xf numFmtId="3" fontId="43" fillId="9" borderId="33" xfId="0" applyNumberFormat="1" applyFont="1" applyFill="1" applyBorder="1" applyAlignment="1">
      <alignment horizontal="right" vertical="center"/>
    </xf>
    <xf numFmtId="3" fontId="26" fillId="41" borderId="33" xfId="0" applyNumberFormat="1" applyFont="1" applyFill="1" applyBorder="1" applyAlignment="1">
      <alignment horizontal="right" vertical="center"/>
    </xf>
    <xf numFmtId="3" fontId="43" fillId="9" borderId="33" xfId="0" applyNumberFormat="1" applyFont="1" applyFill="1" applyBorder="1" applyAlignment="1">
      <alignment vertical="center"/>
    </xf>
    <xf numFmtId="3" fontId="43" fillId="41" borderId="33" xfId="0" applyNumberFormat="1" applyFont="1" applyFill="1" applyBorder="1" applyAlignment="1">
      <alignment horizontal="right" vertical="center"/>
    </xf>
    <xf numFmtId="3" fontId="43" fillId="3" borderId="33" xfId="0" applyNumberFormat="1" applyFont="1" applyFill="1" applyBorder="1" applyAlignment="1">
      <alignment horizontal="right" vertical="center"/>
    </xf>
    <xf numFmtId="3" fontId="26" fillId="2" borderId="33" xfId="0" applyNumberFormat="1" applyFont="1" applyFill="1" applyBorder="1" applyAlignment="1">
      <alignment horizontal="right" vertical="center"/>
    </xf>
    <xf numFmtId="3" fontId="43" fillId="21" borderId="33" xfId="0" applyNumberFormat="1" applyFont="1" applyFill="1" applyBorder="1" applyAlignment="1">
      <alignment vertical="center" wrapText="1"/>
    </xf>
    <xf numFmtId="3" fontId="44" fillId="3" borderId="33" xfId="0" applyNumberFormat="1" applyFont="1" applyFill="1" applyBorder="1" applyAlignment="1">
      <alignment vertical="center"/>
    </xf>
    <xf numFmtId="3" fontId="4" fillId="0" borderId="33" xfId="0" applyNumberFormat="1" applyFont="1" applyBorder="1" applyAlignment="1">
      <alignment horizontal="right" vertical="center"/>
    </xf>
    <xf numFmtId="3" fontId="1" fillId="0" borderId="33" xfId="0" applyNumberFormat="1" applyFont="1" applyBorder="1" applyAlignment="1">
      <alignment horizontal="right" vertical="center"/>
    </xf>
    <xf numFmtId="3" fontId="43" fillId="11" borderId="33" xfId="0" applyNumberFormat="1" applyFont="1" applyFill="1" applyBorder="1" applyAlignment="1">
      <alignment horizontal="right" vertical="center"/>
    </xf>
    <xf numFmtId="3" fontId="43" fillId="21" borderId="33" xfId="0" applyNumberFormat="1" applyFont="1" applyFill="1" applyBorder="1" applyAlignment="1">
      <alignment vertical="center"/>
    </xf>
    <xf numFmtId="3" fontId="43" fillId="21" borderId="33" xfId="0" applyNumberFormat="1" applyFont="1" applyFill="1" applyBorder="1" applyAlignment="1">
      <alignment horizontal="right" vertical="center"/>
    </xf>
    <xf numFmtId="3" fontId="26" fillId="21" borderId="33" xfId="0" applyNumberFormat="1" applyFont="1" applyFill="1" applyBorder="1" applyAlignment="1">
      <alignment horizontal="right" vertical="center"/>
    </xf>
    <xf numFmtId="3" fontId="1" fillId="0" borderId="33" xfId="6" applyNumberFormat="1" applyFont="1" applyFill="1" applyBorder="1">
      <alignment vertical="center"/>
    </xf>
    <xf numFmtId="3" fontId="1" fillId="3" borderId="33" xfId="0" applyNumberFormat="1" applyFont="1" applyFill="1" applyBorder="1" applyAlignment="1">
      <alignment horizontal="right" vertical="center"/>
    </xf>
    <xf numFmtId="3" fontId="45" fillId="0" borderId="33" xfId="0" applyNumberFormat="1" applyFont="1" applyBorder="1" applyAlignment="1">
      <alignment horizontal="right" vertical="center"/>
    </xf>
    <xf numFmtId="3" fontId="1" fillId="3" borderId="33" xfId="6" applyNumberFormat="1" applyFont="1" applyFill="1" applyBorder="1">
      <alignment vertical="center"/>
    </xf>
    <xf numFmtId="3" fontId="1" fillId="0" borderId="33" xfId="8" applyNumberFormat="1" applyFont="1" applyBorder="1">
      <alignment horizontal="right" vertical="center"/>
    </xf>
    <xf numFmtId="3" fontId="1" fillId="3" borderId="33" xfId="8" applyNumberFormat="1" applyFont="1" applyFill="1" applyBorder="1">
      <alignment horizontal="right" vertical="center"/>
    </xf>
    <xf numFmtId="3" fontId="42" fillId="0" borderId="33" xfId="6" applyNumberFormat="1" applyFont="1" applyFill="1" applyBorder="1" applyAlignment="1">
      <alignment horizontal="right" vertical="center"/>
    </xf>
    <xf numFmtId="3" fontId="1" fillId="0" borderId="33" xfId="6" applyNumberFormat="1" applyFont="1" applyFill="1" applyBorder="1" applyAlignment="1">
      <alignment horizontal="right" vertical="center"/>
    </xf>
    <xf numFmtId="3" fontId="28" fillId="0" borderId="0" xfId="0" applyNumberFormat="1" applyFont="1" applyAlignment="1">
      <alignment horizontal="center"/>
    </xf>
    <xf numFmtId="0" fontId="4" fillId="22" borderId="0" xfId="0" applyFont="1" applyFill="1"/>
    <xf numFmtId="0" fontId="7" fillId="22" borderId="0" xfId="0" applyFont="1" applyFill="1"/>
    <xf numFmtId="0" fontId="26" fillId="22" borderId="21" xfId="0" applyFont="1" applyFill="1" applyBorder="1" applyAlignment="1">
      <alignment horizontal="center" vertical="center"/>
    </xf>
    <xf numFmtId="0" fontId="26" fillId="22" borderId="21" xfId="0" applyFont="1" applyFill="1" applyBorder="1" applyAlignment="1">
      <alignment vertical="center" wrapText="1"/>
    </xf>
    <xf numFmtId="0" fontId="42" fillId="22" borderId="21" xfId="3" quotePrefix="1" applyFont="1" applyFill="1" applyBorder="1" applyAlignment="1">
      <alignment horizontal="center" vertical="center"/>
    </xf>
    <xf numFmtId="0" fontId="42" fillId="22" borderId="21" xfId="3" quotePrefix="1" applyFont="1" applyFill="1" applyBorder="1" applyAlignment="1">
      <alignment horizontal="left" vertical="center" wrapText="1"/>
    </xf>
    <xf numFmtId="0" fontId="42" fillId="22" borderId="21" xfId="3" quotePrefix="1" applyFont="1" applyFill="1" applyBorder="1" applyAlignment="1">
      <alignment vertical="center"/>
    </xf>
    <xf numFmtId="0" fontId="4" fillId="0" borderId="33" xfId="0" applyFont="1" applyBorder="1"/>
    <xf numFmtId="3" fontId="26" fillId="0" borderId="0" xfId="0" applyNumberFormat="1" applyFont="1" applyAlignment="1">
      <alignment horizontal="center"/>
    </xf>
    <xf numFmtId="0" fontId="25" fillId="0" borderId="33" xfId="0" applyFont="1" applyBorder="1"/>
    <xf numFmtId="0" fontId="7" fillId="3" borderId="0" xfId="0" applyFont="1" applyFill="1"/>
    <xf numFmtId="3" fontId="26" fillId="0" borderId="0" xfId="0" applyNumberFormat="1" applyFont="1" applyAlignment="1">
      <alignment horizontal="center"/>
    </xf>
    <xf numFmtId="0" fontId="4" fillId="0" borderId="0" xfId="0" applyFont="1" applyAlignment="1"/>
    <xf numFmtId="0" fontId="4" fillId="0" borderId="0" xfId="0" applyFont="1" applyBorder="1" applyAlignment="1"/>
    <xf numFmtId="0" fontId="4" fillId="3" borderId="0" xfId="0" applyFont="1" applyFill="1" applyBorder="1" applyAlignment="1"/>
    <xf numFmtId="0" fontId="0" fillId="3" borderId="0" xfId="0" applyFill="1" applyBorder="1" applyAlignment="1"/>
    <xf numFmtId="3" fontId="37" fillId="3" borderId="19" xfId="0" applyNumberFormat="1" applyFont="1" applyFill="1" applyBorder="1" applyAlignment="1">
      <alignment horizontal="right" vertical="center"/>
    </xf>
    <xf numFmtId="3" fontId="12" fillId="2" borderId="19" xfId="0" applyNumberFormat="1" applyFont="1" applyFill="1" applyBorder="1" applyAlignment="1">
      <alignment horizontal="right" vertical="center"/>
    </xf>
    <xf numFmtId="3" fontId="37" fillId="3" borderId="19" xfId="0" applyNumberFormat="1" applyFont="1" applyFill="1" applyBorder="1" applyAlignment="1">
      <alignment vertical="center"/>
    </xf>
    <xf numFmtId="0" fontId="34" fillId="40" borderId="40" xfId="2" quotePrefix="1" applyNumberFormat="1" applyFont="1" applyFill="1" applyBorder="1" applyAlignment="1">
      <alignment horizontal="center" vertical="center" wrapText="1" justifyLastLine="1"/>
    </xf>
    <xf numFmtId="0" fontId="35" fillId="40" borderId="40" xfId="0" applyFont="1" applyFill="1" applyBorder="1" applyAlignment="1">
      <alignment horizontal="center" vertical="center" wrapText="1"/>
    </xf>
    <xf numFmtId="49" fontId="29" fillId="0" borderId="33" xfId="0" applyNumberFormat="1" applyFont="1" applyBorder="1" applyAlignment="1">
      <alignment horizontal="right"/>
    </xf>
    <xf numFmtId="0" fontId="3" fillId="3" borderId="0" xfId="0" applyFont="1" applyFill="1"/>
    <xf numFmtId="2" fontId="4" fillId="0" borderId="0" xfId="0" applyNumberFormat="1" applyFont="1"/>
    <xf numFmtId="3" fontId="3" fillId="0" borderId="0" xfId="0" applyNumberFormat="1" applyFont="1"/>
    <xf numFmtId="3" fontId="0" fillId="0" borderId="0" xfId="0" applyNumberFormat="1"/>
    <xf numFmtId="0" fontId="37" fillId="23" borderId="33" xfId="0" applyFont="1" applyFill="1" applyBorder="1" applyAlignment="1">
      <alignment horizontal="center" vertical="center"/>
    </xf>
    <xf numFmtId="3" fontId="9" fillId="0" borderId="0" xfId="0" applyNumberFormat="1" applyFont="1"/>
    <xf numFmtId="3" fontId="7" fillId="3" borderId="0" xfId="0" applyNumberFormat="1" applyFont="1" applyFill="1"/>
    <xf numFmtId="3" fontId="26" fillId="8" borderId="23" xfId="0" applyNumberFormat="1" applyFont="1" applyFill="1" applyBorder="1" applyAlignment="1">
      <alignment horizontal="right" vertical="center"/>
    </xf>
    <xf numFmtId="3" fontId="25" fillId="0" borderId="39" xfId="0" applyNumberFormat="1" applyFont="1" applyFill="1" applyBorder="1" applyAlignment="1">
      <alignment horizontal="right" vertical="center"/>
    </xf>
    <xf numFmtId="3" fontId="43" fillId="0" borderId="41" xfId="0" applyNumberFormat="1" applyFont="1" applyFill="1" applyBorder="1" applyAlignment="1">
      <alignment horizontal="right" vertical="center"/>
    </xf>
    <xf numFmtId="3" fontId="44" fillId="0" borderId="0" xfId="0" applyNumberFormat="1" applyFont="1" applyFill="1" applyBorder="1" applyAlignment="1">
      <alignment horizontal="right" vertical="center"/>
    </xf>
    <xf numFmtId="0" fontId="25" fillId="0" borderId="33" xfId="0" applyFont="1" applyBorder="1" applyAlignment="1">
      <alignment horizontal="center" vertical="center"/>
    </xf>
    <xf numFmtId="0" fontId="25" fillId="0" borderId="33" xfId="0" applyFont="1" applyBorder="1" applyAlignment="1">
      <alignment vertical="center" wrapText="1"/>
    </xf>
    <xf numFmtId="3" fontId="25" fillId="39" borderId="33" xfId="0" applyNumberFormat="1" applyFont="1" applyFill="1" applyBorder="1" applyAlignment="1">
      <alignment horizontal="right" vertical="center"/>
    </xf>
    <xf numFmtId="3" fontId="31" fillId="41" borderId="21" xfId="0" applyNumberFormat="1" applyFont="1" applyFill="1" applyBorder="1" applyAlignment="1">
      <alignment vertical="center" wrapText="1"/>
    </xf>
    <xf numFmtId="3" fontId="26" fillId="0" borderId="0" xfId="0" applyNumberFormat="1" applyFont="1" applyFill="1" applyBorder="1" applyAlignment="1">
      <alignment horizontal="right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3" fontId="43" fillId="3" borderId="0" xfId="0" applyNumberFormat="1" applyFont="1" applyFill="1" applyBorder="1" applyAlignment="1">
      <alignment horizontal="right" vertical="center"/>
    </xf>
    <xf numFmtId="3" fontId="43" fillId="41" borderId="21" xfId="0" applyNumberFormat="1" applyFont="1" applyFill="1" applyBorder="1" applyAlignment="1">
      <alignment vertical="center" wrapText="1"/>
    </xf>
    <xf numFmtId="0" fontId="25" fillId="2" borderId="33" xfId="0" applyFont="1" applyFill="1" applyBorder="1" applyAlignment="1">
      <alignment vertical="center" wrapText="1"/>
    </xf>
    <xf numFmtId="3" fontId="25" fillId="2" borderId="33" xfId="0" applyNumberFormat="1" applyFont="1" applyFill="1" applyBorder="1" applyAlignment="1">
      <alignment horizontal="right" vertical="center"/>
    </xf>
    <xf numFmtId="3" fontId="26" fillId="3" borderId="41" xfId="0" applyNumberFormat="1" applyFont="1" applyFill="1" applyBorder="1" applyAlignment="1">
      <alignment horizontal="right" vertical="center"/>
    </xf>
    <xf numFmtId="0" fontId="1" fillId="3" borderId="33" xfId="7" quotePrefix="1" applyFont="1" applyFill="1" applyBorder="1" applyAlignment="1">
      <alignment horizontal="left" vertical="center" wrapText="1"/>
    </xf>
    <xf numFmtId="0" fontId="44" fillId="3" borderId="33" xfId="0" applyFont="1" applyFill="1" applyBorder="1" applyAlignment="1">
      <alignment horizontal="center" vertical="center"/>
    </xf>
    <xf numFmtId="0" fontId="44" fillId="3" borderId="33" xfId="0" applyFont="1" applyFill="1" applyBorder="1" applyAlignment="1">
      <alignment vertical="center" wrapText="1"/>
    </xf>
    <xf numFmtId="3" fontId="26" fillId="41" borderId="21" xfId="0" applyNumberFormat="1" applyFont="1" applyFill="1" applyBorder="1" applyAlignment="1">
      <alignment vertical="center" wrapText="1"/>
    </xf>
    <xf numFmtId="4" fontId="7" fillId="0" borderId="0" xfId="0" applyNumberFormat="1" applyFont="1"/>
    <xf numFmtId="0" fontId="4" fillId="37" borderId="0" xfId="0" applyFont="1" applyFill="1"/>
    <xf numFmtId="3" fontId="32" fillId="0" borderId="33" xfId="0" applyNumberFormat="1" applyFont="1" applyBorder="1"/>
    <xf numFmtId="49" fontId="28" fillId="0" borderId="33" xfId="0" applyNumberFormat="1" applyFont="1" applyBorder="1"/>
    <xf numFmtId="3" fontId="28" fillId="0" borderId="33" xfId="0" applyNumberFormat="1" applyFont="1" applyBorder="1"/>
    <xf numFmtId="0" fontId="28" fillId="0" borderId="33" xfId="0" applyFont="1" applyBorder="1"/>
    <xf numFmtId="0" fontId="43" fillId="4" borderId="21" xfId="0" applyFont="1" applyFill="1" applyBorder="1" applyAlignment="1">
      <alignment vertical="center"/>
    </xf>
    <xf numFmtId="3" fontId="43" fillId="4" borderId="21" xfId="0" applyNumberFormat="1" applyFont="1" applyFill="1" applyBorder="1" applyAlignment="1">
      <alignment vertical="center"/>
    </xf>
    <xf numFmtId="0" fontId="44" fillId="0" borderId="21" xfId="0" applyFont="1" applyBorder="1" applyAlignment="1">
      <alignment horizontal="center" vertical="center" wrapText="1"/>
    </xf>
    <xf numFmtId="3" fontId="25" fillId="0" borderId="21" xfId="0" applyNumberFormat="1" applyFont="1" applyBorder="1" applyAlignment="1">
      <alignment horizontal="right" vertical="center" wrapText="1"/>
    </xf>
    <xf numFmtId="3" fontId="25" fillId="0" borderId="33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43" fillId="0" borderId="21" xfId="0" applyFont="1" applyBorder="1" applyAlignment="1">
      <alignment horizontal="left" vertical="center" wrapText="1"/>
    </xf>
    <xf numFmtId="3" fontId="26" fillId="0" borderId="21" xfId="0" applyNumberFormat="1" applyFont="1" applyBorder="1" applyAlignment="1">
      <alignment horizontal="right" vertical="center" wrapText="1"/>
    </xf>
    <xf numFmtId="0" fontId="43" fillId="9" borderId="21" xfId="0" applyFont="1" applyFill="1" applyBorder="1" applyAlignment="1">
      <alignment vertical="center" wrapText="1"/>
    </xf>
    <xf numFmtId="3" fontId="43" fillId="9" borderId="21" xfId="0" applyNumberFormat="1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49" fontId="32" fillId="3" borderId="36" xfId="0" applyNumberFormat="1" applyFont="1" applyFill="1" applyBorder="1" applyAlignment="1">
      <alignment horizontal="center" vertical="center" wrapText="1"/>
    </xf>
    <xf numFmtId="0" fontId="32" fillId="0" borderId="36" xfId="0" applyFont="1" applyBorder="1" applyAlignment="1">
      <alignment horizontal="right" vertical="center" wrapText="1"/>
    </xf>
    <xf numFmtId="3" fontId="0" fillId="3" borderId="0" xfId="0" applyNumberFormat="1" applyFill="1"/>
    <xf numFmtId="3" fontId="25" fillId="34" borderId="19" xfId="0" applyNumberFormat="1" applyFont="1" applyFill="1" applyBorder="1" applyAlignment="1">
      <alignment horizontal="right" vertical="center"/>
    </xf>
    <xf numFmtId="3" fontId="25" fillId="34" borderId="21" xfId="0" applyNumberFormat="1" applyFont="1" applyFill="1" applyBorder="1" applyAlignment="1">
      <alignment horizontal="right" vertical="center"/>
    </xf>
    <xf numFmtId="3" fontId="25" fillId="34" borderId="33" xfId="0" applyNumberFormat="1" applyFont="1" applyFill="1" applyBorder="1" applyAlignment="1">
      <alignment horizontal="right" vertical="center"/>
    </xf>
    <xf numFmtId="3" fontId="28" fillId="34" borderId="19" xfId="0" applyNumberFormat="1" applyFont="1" applyFill="1" applyBorder="1" applyAlignment="1">
      <alignment horizontal="right" vertical="center"/>
    </xf>
    <xf numFmtId="3" fontId="28" fillId="34" borderId="33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/>
    </xf>
    <xf numFmtId="0" fontId="28" fillId="0" borderId="0" xfId="0" applyFont="1" applyAlignment="1">
      <alignment wrapText="1"/>
    </xf>
    <xf numFmtId="0" fontId="43" fillId="9" borderId="21" xfId="0" applyFont="1" applyFill="1" applyBorder="1" applyAlignment="1">
      <alignment vertical="center"/>
    </xf>
    <xf numFmtId="4" fontId="0" fillId="0" borderId="0" xfId="0" applyNumberFormat="1"/>
    <xf numFmtId="4" fontId="28" fillId="0" borderId="0" xfId="0" applyNumberFormat="1" applyFont="1"/>
    <xf numFmtId="4" fontId="26" fillId="0" borderId="0" xfId="0" applyNumberFormat="1" applyFont="1" applyAlignment="1">
      <alignment horizontal="center"/>
    </xf>
    <xf numFmtId="4" fontId="36" fillId="0" borderId="0" xfId="0" applyNumberFormat="1" applyFont="1"/>
    <xf numFmtId="4" fontId="29" fillId="0" borderId="0" xfId="0" applyNumberFormat="1" applyFont="1" applyAlignment="1">
      <alignment horizontal="right"/>
    </xf>
    <xf numFmtId="4" fontId="29" fillId="0" borderId="0" xfId="0" applyNumberFormat="1" applyFont="1"/>
    <xf numFmtId="4" fontId="28" fillId="38" borderId="0" xfId="0" applyNumberFormat="1" applyFont="1" applyFill="1"/>
    <xf numFmtId="4" fontId="29" fillId="0" borderId="0" xfId="0" applyNumberFormat="1" applyFont="1" applyAlignment="1">
      <alignment horizontal="left"/>
    </xf>
    <xf numFmtId="4" fontId="28" fillId="3" borderId="0" xfId="0" applyNumberFormat="1" applyFont="1" applyFill="1"/>
    <xf numFmtId="4" fontId="29" fillId="3" borderId="0" xfId="0" applyNumberFormat="1" applyFont="1" applyFill="1"/>
    <xf numFmtId="4" fontId="49" fillId="0" borderId="0" xfId="0" applyNumberFormat="1" applyFont="1"/>
    <xf numFmtId="4" fontId="39" fillId="0" borderId="0" xfId="0" applyNumberFormat="1" applyFont="1"/>
    <xf numFmtId="4" fontId="40" fillId="0" borderId="0" xfId="0" applyNumberFormat="1" applyFont="1"/>
    <xf numFmtId="4" fontId="4" fillId="0" borderId="0" xfId="0" applyNumberFormat="1" applyFont="1"/>
    <xf numFmtId="4" fontId="40" fillId="0" borderId="0" xfId="0" applyNumberFormat="1" applyFont="1" applyAlignment="1">
      <alignment horizontal="center"/>
    </xf>
    <xf numFmtId="4" fontId="28" fillId="44" borderId="0" xfId="0" applyNumberFormat="1" applyFont="1" applyFill="1"/>
    <xf numFmtId="4" fontId="17" fillId="41" borderId="33" xfId="6" applyNumberFormat="1" applyFont="1" applyFill="1" applyBorder="1">
      <alignment vertical="center"/>
    </xf>
    <xf numFmtId="4" fontId="32" fillId="0" borderId="0" xfId="0" applyNumberFormat="1" applyFont="1"/>
    <xf numFmtId="4" fontId="10" fillId="0" borderId="0" xfId="0" applyNumberFormat="1" applyFont="1"/>
    <xf numFmtId="3" fontId="1" fillId="41" borderId="33" xfId="8" applyNumberFormat="1" applyFont="1" applyFill="1" applyBorder="1">
      <alignment horizontal="right" vertical="center"/>
    </xf>
    <xf numFmtId="3" fontId="42" fillId="0" borderId="33" xfId="8" applyNumberFormat="1" applyFont="1" applyBorder="1">
      <alignment horizontal="right" vertical="center"/>
    </xf>
    <xf numFmtId="3" fontId="29" fillId="4" borderId="0" xfId="0" applyNumberFormat="1" applyFont="1" applyFill="1" applyBorder="1" applyAlignment="1">
      <alignment horizontal="right" vertical="center"/>
    </xf>
    <xf numFmtId="0" fontId="9" fillId="3" borderId="0" xfId="0" applyFont="1" applyFill="1"/>
    <xf numFmtId="0" fontId="43" fillId="9" borderId="21" xfId="0" applyFont="1" applyFill="1" applyBorder="1" applyAlignment="1">
      <alignment vertical="center"/>
    </xf>
    <xf numFmtId="0" fontId="28" fillId="0" borderId="0" xfId="0" applyFont="1" applyAlignment="1">
      <alignment horizontal="center"/>
    </xf>
    <xf numFmtId="3" fontId="32" fillId="0" borderId="23" xfId="0" applyNumberFormat="1" applyFont="1" applyBorder="1"/>
    <xf numFmtId="0" fontId="35" fillId="40" borderId="3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wrapText="1"/>
    </xf>
    <xf numFmtId="0" fontId="31" fillId="9" borderId="23" xfId="0" applyFont="1" applyFill="1" applyBorder="1" applyAlignment="1">
      <alignment vertical="center"/>
    </xf>
    <xf numFmtId="0" fontId="31" fillId="9" borderId="19" xfId="0" applyFont="1" applyFill="1" applyBorder="1" applyAlignment="1">
      <alignment vertical="center"/>
    </xf>
    <xf numFmtId="2" fontId="30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9" fillId="40" borderId="33" xfId="0" applyFont="1" applyFill="1" applyBorder="1" applyAlignment="1">
      <alignment horizontal="center" vertical="center" wrapText="1"/>
    </xf>
    <xf numFmtId="0" fontId="31" fillId="9" borderId="33" xfId="0" applyFont="1" applyFill="1" applyBorder="1" applyAlignment="1">
      <alignment vertical="center"/>
    </xf>
    <xf numFmtId="3" fontId="30" fillId="0" borderId="0" xfId="0" applyNumberFormat="1" applyFont="1" applyAlignment="1">
      <alignment horizontal="center"/>
    </xf>
    <xf numFmtId="3" fontId="29" fillId="13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wrapText="1"/>
    </xf>
    <xf numFmtId="3" fontId="35" fillId="13" borderId="0" xfId="0" applyNumberFormat="1" applyFont="1" applyFill="1" applyBorder="1" applyAlignment="1">
      <alignment horizontal="center" vertical="center" wrapText="1"/>
    </xf>
    <xf numFmtId="4" fontId="24" fillId="0" borderId="0" xfId="0" applyNumberFormat="1" applyFont="1"/>
    <xf numFmtId="4" fontId="3" fillId="0" borderId="0" xfId="0" applyNumberFormat="1" applyFont="1"/>
    <xf numFmtId="49" fontId="31" fillId="6" borderId="33" xfId="0" applyNumberFormat="1" applyFont="1" applyFill="1" applyBorder="1" applyAlignment="1">
      <alignment horizontal="center" vertical="center"/>
    </xf>
    <xf numFmtId="49" fontId="17" fillId="8" borderId="23" xfId="0" applyNumberFormat="1" applyFont="1" applyFill="1" applyBorder="1" applyAlignment="1">
      <alignment horizontal="center" vertical="center"/>
    </xf>
    <xf numFmtId="3" fontId="29" fillId="9" borderId="34" xfId="0" applyNumberFormat="1" applyFont="1" applyFill="1" applyBorder="1" applyAlignment="1">
      <alignment horizontal="right" vertical="center"/>
    </xf>
    <xf numFmtId="3" fontId="29" fillId="9" borderId="33" xfId="0" applyNumberFormat="1" applyFont="1" applyFill="1" applyBorder="1" applyAlignment="1">
      <alignment horizontal="right" vertical="center"/>
    </xf>
    <xf numFmtId="0" fontId="31" fillId="41" borderId="23" xfId="0" applyFont="1" applyFill="1" applyBorder="1" applyAlignment="1">
      <alignment vertical="center"/>
    </xf>
    <xf numFmtId="3" fontId="29" fillId="41" borderId="34" xfId="0" applyNumberFormat="1" applyFont="1" applyFill="1" applyBorder="1" applyAlignment="1">
      <alignment horizontal="right" vertical="center"/>
    </xf>
    <xf numFmtId="3" fontId="29" fillId="21" borderId="33" xfId="0" applyNumberFormat="1" applyFont="1" applyFill="1" applyBorder="1" applyAlignment="1">
      <alignment horizontal="right" vertical="center"/>
    </xf>
    <xf numFmtId="49" fontId="31" fillId="0" borderId="23" xfId="0" applyNumberFormat="1" applyFont="1" applyBorder="1" applyAlignment="1">
      <alignment horizontal="left" vertical="center"/>
    </xf>
    <xf numFmtId="49" fontId="37" fillId="0" borderId="23" xfId="0" applyNumberFormat="1" applyFont="1" applyBorder="1" applyAlignment="1">
      <alignment horizontal="center" vertical="center"/>
    </xf>
    <xf numFmtId="0" fontId="37" fillId="0" borderId="33" xfId="0" applyFont="1" applyBorder="1" applyAlignment="1">
      <alignment vertical="center" wrapText="1"/>
    </xf>
    <xf numFmtId="3" fontId="17" fillId="8" borderId="34" xfId="0" applyNumberFormat="1" applyFont="1" applyFill="1" applyBorder="1" applyAlignment="1">
      <alignment horizontal="right" vertical="center"/>
    </xf>
    <xf numFmtId="3" fontId="17" fillId="8" borderId="44" xfId="3" quotePrefix="1" applyNumberFormat="1" applyFont="1" applyFill="1" applyBorder="1" applyAlignment="1">
      <alignment horizontal="left" vertical="center"/>
    </xf>
    <xf numFmtId="0" fontId="29" fillId="8" borderId="33" xfId="0" applyFont="1" applyFill="1" applyBorder="1" applyAlignment="1">
      <alignment vertical="center" wrapText="1"/>
    </xf>
    <xf numFmtId="3" fontId="29" fillId="8" borderId="34" xfId="0" applyNumberFormat="1" applyFont="1" applyFill="1" applyBorder="1" applyAlignment="1">
      <alignment horizontal="right" vertical="center"/>
    </xf>
    <xf numFmtId="0" fontId="31" fillId="41" borderId="33" xfId="0" applyFont="1" applyFill="1" applyBorder="1" applyAlignment="1">
      <alignment vertical="center"/>
    </xf>
    <xf numFmtId="0" fontId="31" fillId="0" borderId="33" xfId="0" applyFont="1" applyBorder="1" applyAlignment="1">
      <alignment horizontal="left" vertical="center"/>
    </xf>
    <xf numFmtId="0" fontId="37" fillId="0" borderId="33" xfId="0" applyFont="1" applyBorder="1" applyAlignment="1">
      <alignment horizontal="center" vertical="center"/>
    </xf>
    <xf numFmtId="0" fontId="31" fillId="41" borderId="33" xfId="0" applyFont="1" applyFill="1" applyBorder="1" applyAlignment="1">
      <alignment horizontal="left" vertical="center" wrapText="1"/>
    </xf>
    <xf numFmtId="4" fontId="6" fillId="0" borderId="0" xfId="0" applyNumberFormat="1" applyFont="1" applyAlignment="1">
      <alignment horizontal="left"/>
    </xf>
    <xf numFmtId="3" fontId="28" fillId="0" borderId="19" xfId="0" applyNumberFormat="1" applyFont="1" applyFill="1" applyBorder="1" applyAlignment="1">
      <alignment horizontal="right" vertical="center"/>
    </xf>
    <xf numFmtId="3" fontId="28" fillId="34" borderId="34" xfId="0" applyNumberFormat="1" applyFont="1" applyFill="1" applyBorder="1" applyAlignment="1">
      <alignment horizontal="right" vertical="center"/>
    </xf>
    <xf numFmtId="3" fontId="28" fillId="39" borderId="33" xfId="0" applyNumberFormat="1" applyFont="1" applyFill="1" applyBorder="1" applyAlignment="1">
      <alignment horizontal="right" vertical="center"/>
    </xf>
    <xf numFmtId="3" fontId="28" fillId="3" borderId="34" xfId="0" applyNumberFormat="1" applyFont="1" applyFill="1" applyBorder="1" applyAlignment="1">
      <alignment horizontal="right" vertical="center"/>
    </xf>
    <xf numFmtId="4" fontId="6" fillId="0" borderId="0" xfId="0" applyNumberFormat="1" applyFont="1"/>
    <xf numFmtId="0" fontId="31" fillId="0" borderId="33" xfId="0" applyFont="1" applyBorder="1" applyAlignment="1">
      <alignment horizontal="left" vertical="center" wrapText="1"/>
    </xf>
    <xf numFmtId="3" fontId="28" fillId="2" borderId="34" xfId="0" applyNumberFormat="1" applyFont="1" applyFill="1" applyBorder="1" applyAlignment="1">
      <alignment horizontal="right" vertical="center"/>
    </xf>
    <xf numFmtId="3" fontId="29" fillId="19" borderId="33" xfId="0" applyNumberFormat="1" applyFont="1" applyFill="1" applyBorder="1" applyAlignment="1">
      <alignment horizontal="right" vertical="center"/>
    </xf>
    <xf numFmtId="0" fontId="31" fillId="41" borderId="23" xfId="0" applyFont="1" applyFill="1" applyBorder="1" applyAlignment="1">
      <alignment horizontal="left" vertical="center"/>
    </xf>
    <xf numFmtId="0" fontId="31" fillId="0" borderId="23" xfId="0" applyFont="1" applyBorder="1" applyAlignment="1">
      <alignment horizontal="left" vertical="center"/>
    </xf>
    <xf numFmtId="0" fontId="37" fillId="0" borderId="23" xfId="0" applyFont="1" applyBorder="1" applyAlignment="1">
      <alignment horizontal="center" vertical="center"/>
    </xf>
    <xf numFmtId="0" fontId="29" fillId="0" borderId="33" xfId="0" applyFont="1" applyBorder="1" applyAlignment="1">
      <alignment vertical="center" wrapText="1"/>
    </xf>
    <xf numFmtId="0" fontId="17" fillId="0" borderId="33" xfId="7" quotePrefix="1" applyFont="1" applyFill="1" applyBorder="1" applyAlignment="1">
      <alignment vertical="center"/>
    </xf>
    <xf numFmtId="0" fontId="17" fillId="0" borderId="33" xfId="7" quotePrefix="1" applyFont="1" applyFill="1" applyBorder="1" applyAlignment="1">
      <alignment horizontal="left" vertical="center" wrapText="1"/>
    </xf>
    <xf numFmtId="3" fontId="17" fillId="0" borderId="34" xfId="6" applyNumberFormat="1" applyFont="1" applyFill="1" applyBorder="1">
      <alignment vertical="center"/>
    </xf>
    <xf numFmtId="3" fontId="12" fillId="0" borderId="34" xfId="8" applyNumberFormat="1" applyFont="1" applyBorder="1">
      <alignment horizontal="right" vertical="center"/>
    </xf>
    <xf numFmtId="0" fontId="17" fillId="41" borderId="33" xfId="7" quotePrefix="1" applyFont="1" applyFill="1" applyBorder="1" applyAlignment="1">
      <alignment horizontal="left" vertical="center"/>
    </xf>
    <xf numFmtId="0" fontId="17" fillId="41" borderId="33" xfId="7" quotePrefix="1" applyFont="1" applyFill="1" applyBorder="1" applyAlignment="1">
      <alignment horizontal="left" vertical="center" wrapText="1"/>
    </xf>
    <xf numFmtId="3" fontId="17" fillId="41" borderId="34" xfId="8" applyNumberFormat="1" applyFont="1" applyFill="1" applyBorder="1">
      <alignment horizontal="right" vertical="center"/>
    </xf>
    <xf numFmtId="3" fontId="17" fillId="41" borderId="33" xfId="8" applyNumberFormat="1" applyFont="1" applyFill="1" applyBorder="1">
      <alignment horizontal="right" vertical="center"/>
    </xf>
    <xf numFmtId="3" fontId="17" fillId="21" borderId="33" xfId="8" applyNumberFormat="1" applyFont="1" applyFill="1" applyBorder="1">
      <alignment horizontal="right" vertical="center"/>
    </xf>
    <xf numFmtId="3" fontId="17" fillId="0" borderId="34" xfId="8" applyNumberFormat="1" applyFont="1" applyBorder="1">
      <alignment horizontal="right" vertical="center"/>
    </xf>
    <xf numFmtId="3" fontId="17" fillId="0" borderId="33" xfId="8" applyNumberFormat="1" applyFont="1" applyBorder="1">
      <alignment horizontal="right" vertical="center"/>
    </xf>
    <xf numFmtId="3" fontId="31" fillId="3" borderId="34" xfId="0" applyNumberFormat="1" applyFont="1" applyFill="1" applyBorder="1" applyAlignment="1">
      <alignment horizontal="right" vertical="center"/>
    </xf>
    <xf numFmtId="3" fontId="31" fillId="3" borderId="33" xfId="0" applyNumberFormat="1" applyFont="1" applyFill="1" applyBorder="1" applyAlignment="1">
      <alignment horizontal="right" vertical="center"/>
    </xf>
    <xf numFmtId="0" fontId="29" fillId="41" borderId="33" xfId="0" applyFont="1" applyFill="1" applyBorder="1" applyAlignment="1">
      <alignment horizontal="left" vertical="center"/>
    </xf>
    <xf numFmtId="0" fontId="29" fillId="41" borderId="33" xfId="0" applyFont="1" applyFill="1" applyBorder="1" applyAlignment="1">
      <alignment vertical="center" wrapText="1"/>
    </xf>
    <xf numFmtId="3" fontId="12" fillId="0" borderId="34" xfId="0" applyNumberFormat="1" applyFont="1" applyBorder="1" applyAlignment="1">
      <alignment horizontal="right" vertical="center"/>
    </xf>
    <xf numFmtId="0" fontId="29" fillId="8" borderId="33" xfId="0" applyFont="1" applyFill="1" applyBorder="1" applyAlignment="1">
      <alignment horizontal="center" vertical="center"/>
    </xf>
    <xf numFmtId="0" fontId="31" fillId="41" borderId="19" xfId="0" applyFont="1" applyFill="1" applyBorder="1" applyAlignment="1">
      <alignment vertical="center" wrapText="1"/>
    </xf>
    <xf numFmtId="4" fontId="9" fillId="0" borderId="0" xfId="0" applyNumberFormat="1" applyFont="1"/>
    <xf numFmtId="0" fontId="28" fillId="2" borderId="33" xfId="0" applyFont="1" applyFill="1" applyBorder="1" applyAlignment="1">
      <alignment horizontal="center" vertical="center"/>
    </xf>
    <xf numFmtId="0" fontId="28" fillId="2" borderId="33" xfId="0" applyFont="1" applyFill="1" applyBorder="1" applyAlignment="1">
      <alignment vertical="center" wrapText="1"/>
    </xf>
    <xf numFmtId="0" fontId="29" fillId="2" borderId="33" xfId="0" applyFont="1" applyFill="1" applyBorder="1" applyAlignment="1">
      <alignment horizontal="left" vertical="center"/>
    </xf>
    <xf numFmtId="0" fontId="17" fillId="8" borderId="33" xfId="3" quotePrefix="1" applyFont="1" applyFill="1" applyBorder="1" applyAlignment="1">
      <alignment vertical="center"/>
    </xf>
    <xf numFmtId="0" fontId="17" fillId="8" borderId="33" xfId="3" quotePrefix="1" applyFont="1" applyFill="1" applyBorder="1" applyAlignment="1">
      <alignment horizontal="left" vertical="center" wrapText="1"/>
    </xf>
    <xf numFmtId="3" fontId="17" fillId="8" borderId="34" xfId="6" applyNumberFormat="1" applyFont="1" applyFill="1" applyBorder="1">
      <alignment vertical="center"/>
    </xf>
    <xf numFmtId="3" fontId="17" fillId="9" borderId="34" xfId="6" applyNumberFormat="1" applyFont="1" applyFill="1" applyBorder="1">
      <alignment vertical="center"/>
    </xf>
    <xf numFmtId="3" fontId="31" fillId="18" borderId="33" xfId="0" applyNumberFormat="1" applyFont="1" applyFill="1" applyBorder="1" applyAlignment="1">
      <alignment horizontal="right" vertical="center"/>
    </xf>
    <xf numFmtId="0" fontId="29" fillId="22" borderId="33" xfId="0" applyFont="1" applyFill="1" applyBorder="1" applyAlignment="1">
      <alignment horizontal="center" vertical="center"/>
    </xf>
    <xf numFmtId="0" fontId="29" fillId="22" borderId="33" xfId="0" applyFont="1" applyFill="1" applyBorder="1" applyAlignment="1">
      <alignment vertical="center" wrapText="1"/>
    </xf>
    <xf numFmtId="0" fontId="17" fillId="0" borderId="33" xfId="7" quotePrefix="1" applyFont="1" applyFill="1" applyBorder="1" applyAlignment="1">
      <alignment horizontal="left" vertical="center"/>
    </xf>
    <xf numFmtId="3" fontId="17" fillId="18" borderId="33" xfId="6" applyNumberFormat="1" applyFont="1" applyFill="1" applyBorder="1">
      <alignment vertical="center"/>
    </xf>
    <xf numFmtId="164" fontId="12" fillId="0" borderId="34" xfId="8" applyNumberFormat="1" applyFont="1" applyBorder="1">
      <alignment horizontal="right" vertical="center"/>
    </xf>
    <xf numFmtId="164" fontId="17" fillId="0" borderId="34" xfId="6" applyNumberFormat="1" applyFont="1" applyFill="1" applyBorder="1">
      <alignment vertical="center"/>
    </xf>
    <xf numFmtId="3" fontId="12" fillId="0" borderId="34" xfId="8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17" fillId="22" borderId="33" xfId="3" quotePrefix="1" applyFont="1" applyFill="1" applyBorder="1" applyAlignment="1">
      <alignment vertical="center"/>
    </xf>
    <xf numFmtId="0" fontId="17" fillId="22" borderId="33" xfId="3" quotePrefix="1" applyFont="1" applyFill="1" applyBorder="1" applyAlignment="1">
      <alignment horizontal="left" vertical="center" wrapText="1"/>
    </xf>
    <xf numFmtId="0" fontId="12" fillId="3" borderId="33" xfId="7" quotePrefix="1" applyFont="1" applyFill="1" applyBorder="1" applyAlignment="1">
      <alignment horizontal="center" vertical="center"/>
    </xf>
    <xf numFmtId="0" fontId="12" fillId="3" borderId="33" xfId="7" quotePrefix="1" applyFont="1" applyFill="1" applyBorder="1" applyAlignment="1">
      <alignment horizontal="left" vertical="center" wrapText="1"/>
    </xf>
    <xf numFmtId="3" fontId="12" fillId="3" borderId="34" xfId="6" applyNumberFormat="1" applyFont="1" applyFill="1" applyBorder="1">
      <alignment vertical="center"/>
    </xf>
    <xf numFmtId="3" fontId="12" fillId="3" borderId="34" xfId="8" applyNumberFormat="1" applyFont="1" applyFill="1" applyBorder="1">
      <alignment horizontal="right" vertical="center"/>
    </xf>
    <xf numFmtId="3" fontId="12" fillId="0" borderId="34" xfId="6" applyNumberFormat="1" applyFont="1" applyFill="1" applyBorder="1" applyAlignment="1">
      <alignment horizontal="right" vertical="center"/>
    </xf>
    <xf numFmtId="3" fontId="17" fillId="41" borderId="34" xfId="6" applyNumberFormat="1" applyFont="1" applyFill="1" applyBorder="1">
      <alignment vertical="center"/>
    </xf>
    <xf numFmtId="3" fontId="17" fillId="21" borderId="33" xfId="6" applyNumberFormat="1" applyFont="1" applyFill="1" applyBorder="1">
      <alignment vertical="center"/>
    </xf>
    <xf numFmtId="0" fontId="31" fillId="0" borderId="33" xfId="0" applyFont="1" applyBorder="1" applyAlignment="1">
      <alignment vertical="center"/>
    </xf>
    <xf numFmtId="0" fontId="31" fillId="0" borderId="23" xfId="0" applyFont="1" applyBorder="1" applyAlignment="1">
      <alignment vertical="center" wrapText="1"/>
    </xf>
    <xf numFmtId="3" fontId="38" fillId="22" borderId="19" xfId="0" applyNumberFormat="1" applyFont="1" applyFill="1" applyBorder="1" applyAlignment="1">
      <alignment horizontal="right" vertical="center"/>
    </xf>
    <xf numFmtId="3" fontId="17" fillId="41" borderId="34" xfId="6" applyNumberFormat="1" applyFont="1" applyFill="1" applyBorder="1" applyAlignment="1">
      <alignment horizontal="right" vertical="center"/>
    </xf>
    <xf numFmtId="3" fontId="17" fillId="41" borderId="33" xfId="6" applyNumberFormat="1" applyFont="1" applyFill="1" applyBorder="1" applyAlignment="1">
      <alignment horizontal="right" vertical="center"/>
    </xf>
    <xf numFmtId="3" fontId="17" fillId="21" borderId="33" xfId="6" applyNumberFormat="1" applyFont="1" applyFill="1" applyBorder="1" applyAlignment="1">
      <alignment horizontal="right" vertical="center"/>
    </xf>
    <xf numFmtId="0" fontId="31" fillId="23" borderId="33" xfId="0" applyFont="1" applyFill="1" applyBorder="1" applyAlignment="1">
      <alignment horizontal="left" vertical="center"/>
    </xf>
    <xf numFmtId="3" fontId="17" fillId="0" borderId="34" xfId="6" applyNumberFormat="1" applyFont="1" applyFill="1" applyBorder="1" applyAlignment="1">
      <alignment horizontal="right" vertical="center"/>
    </xf>
    <xf numFmtId="3" fontId="17" fillId="0" borderId="33" xfId="6" applyNumberFormat="1" applyFont="1" applyFill="1" applyBorder="1" applyAlignment="1">
      <alignment horizontal="right" vertical="center"/>
    </xf>
    <xf numFmtId="0" fontId="31" fillId="42" borderId="33" xfId="0" applyFont="1" applyFill="1" applyBorder="1" applyAlignment="1">
      <alignment horizontal="left" vertical="center"/>
    </xf>
    <xf numFmtId="0" fontId="31" fillId="42" borderId="33" xfId="0" applyFont="1" applyFill="1" applyBorder="1" applyAlignment="1">
      <alignment vertical="center" wrapText="1"/>
    </xf>
    <xf numFmtId="3" fontId="17" fillId="3" borderId="34" xfId="6" applyNumberFormat="1" applyFont="1" applyFill="1" applyBorder="1">
      <alignment vertical="center"/>
    </xf>
    <xf numFmtId="0" fontId="37" fillId="3" borderId="33" xfId="0" applyFont="1" applyFill="1" applyBorder="1" applyAlignment="1">
      <alignment horizontal="center" vertical="center"/>
    </xf>
    <xf numFmtId="0" fontId="37" fillId="3" borderId="33" xfId="0" applyFont="1" applyFill="1" applyBorder="1" applyAlignment="1">
      <alignment vertical="center" wrapText="1"/>
    </xf>
    <xf numFmtId="0" fontId="31" fillId="3" borderId="33" xfId="0" applyFont="1" applyFill="1" applyBorder="1" applyAlignment="1">
      <alignment horizontal="left" vertical="center"/>
    </xf>
    <xf numFmtId="0" fontId="31" fillId="3" borderId="33" xfId="0" applyFont="1" applyFill="1" applyBorder="1" applyAlignment="1">
      <alignment vertical="center" wrapText="1"/>
    </xf>
    <xf numFmtId="0" fontId="12" fillId="23" borderId="33" xfId="0" applyFont="1" applyFill="1" applyBorder="1" applyAlignment="1">
      <alignment horizontal="center" vertical="center"/>
    </xf>
    <xf numFmtId="0" fontId="12" fillId="23" borderId="33" xfId="0" applyFont="1" applyFill="1" applyBorder="1" applyAlignment="1">
      <alignment vertical="center" wrapText="1"/>
    </xf>
    <xf numFmtId="3" fontId="17" fillId="24" borderId="33" xfId="6" applyNumberFormat="1" applyFont="1" applyFill="1" applyBorder="1">
      <alignment vertical="center"/>
    </xf>
    <xf numFmtId="0" fontId="37" fillId="3" borderId="23" xfId="0" applyFont="1" applyFill="1" applyBorder="1" applyAlignment="1">
      <alignment vertical="center" wrapText="1"/>
    </xf>
    <xf numFmtId="0" fontId="43" fillId="23" borderId="33" xfId="0" applyFont="1" applyFill="1" applyBorder="1" applyAlignment="1">
      <alignment horizontal="center" vertical="center"/>
    </xf>
    <xf numFmtId="3" fontId="42" fillId="0" borderId="34" xfId="6" applyNumberFormat="1" applyFont="1" applyFill="1" applyBorder="1">
      <alignment vertical="center"/>
    </xf>
    <xf numFmtId="3" fontId="42" fillId="0" borderId="33" xfId="6" applyNumberFormat="1" applyFont="1" applyFill="1" applyBorder="1">
      <alignment vertical="center"/>
    </xf>
    <xf numFmtId="3" fontId="12" fillId="8" borderId="34" xfId="6" applyNumberFormat="1" applyFont="1" applyFill="1" applyBorder="1">
      <alignment vertical="center"/>
    </xf>
    <xf numFmtId="3" fontId="12" fillId="8" borderId="33" xfId="6" applyNumberFormat="1" applyFont="1" applyFill="1" applyBorder="1">
      <alignment vertical="center"/>
    </xf>
    <xf numFmtId="3" fontId="12" fillId="9" borderId="34" xfId="6" applyNumberFormat="1" applyFont="1" applyFill="1" applyBorder="1">
      <alignment vertical="center"/>
    </xf>
    <xf numFmtId="3" fontId="12" fillId="9" borderId="33" xfId="6" applyNumberFormat="1" applyFont="1" applyFill="1" applyBorder="1">
      <alignment vertical="center"/>
    </xf>
    <xf numFmtId="3" fontId="12" fillId="41" borderId="34" xfId="6" applyNumberFormat="1" applyFont="1" applyFill="1" applyBorder="1">
      <alignment vertical="center"/>
    </xf>
    <xf numFmtId="3" fontId="12" fillId="41" borderId="33" xfId="6" applyNumberFormat="1" applyFont="1" applyFill="1" applyBorder="1">
      <alignment vertical="center"/>
    </xf>
    <xf numFmtId="3" fontId="12" fillId="19" borderId="34" xfId="6" applyNumberFormat="1" applyFont="1" applyFill="1" applyBorder="1">
      <alignment vertical="center"/>
    </xf>
    <xf numFmtId="3" fontId="12" fillId="19" borderId="33" xfId="6" applyNumberFormat="1" applyFont="1" applyFill="1" applyBorder="1">
      <alignment vertical="center"/>
    </xf>
    <xf numFmtId="3" fontId="17" fillId="19" borderId="33" xfId="6" applyNumberFormat="1" applyFont="1" applyFill="1" applyBorder="1">
      <alignment vertical="center"/>
    </xf>
    <xf numFmtId="3" fontId="31" fillId="9" borderId="33" xfId="0" applyNumberFormat="1" applyFont="1" applyFill="1" applyBorder="1" applyAlignment="1">
      <alignment vertical="center"/>
    </xf>
    <xf numFmtId="3" fontId="31" fillId="18" borderId="33" xfId="0" applyNumberFormat="1" applyFont="1" applyFill="1" applyBorder="1" applyAlignment="1">
      <alignment vertical="center"/>
    </xf>
    <xf numFmtId="3" fontId="37" fillId="41" borderId="33" xfId="0" applyNumberFormat="1" applyFont="1" applyFill="1" applyBorder="1" applyAlignment="1">
      <alignment vertical="center"/>
    </xf>
    <xf numFmtId="3" fontId="28" fillId="41" borderId="33" xfId="0" applyNumberFormat="1" applyFont="1" applyFill="1" applyBorder="1" applyAlignment="1">
      <alignment horizontal="right" vertical="center"/>
    </xf>
    <xf numFmtId="0" fontId="37" fillId="0" borderId="33" xfId="0" applyFont="1" applyBorder="1" applyAlignment="1">
      <alignment vertical="center"/>
    </xf>
    <xf numFmtId="0" fontId="31" fillId="23" borderId="33" xfId="0" applyFont="1" applyFill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17" fillId="0" borderId="33" xfId="7" quotePrefix="1" applyFont="1" applyFill="1" applyBorder="1" applyAlignment="1">
      <alignment horizontal="center" vertical="center"/>
    </xf>
    <xf numFmtId="4" fontId="8" fillId="0" borderId="0" xfId="0" applyNumberFormat="1" applyFont="1"/>
    <xf numFmtId="49" fontId="29" fillId="12" borderId="33" xfId="0" applyNumberFormat="1" applyFont="1" applyFill="1" applyBorder="1" applyAlignment="1">
      <alignment horizontal="center" vertical="center" wrapText="1"/>
    </xf>
    <xf numFmtId="3" fontId="31" fillId="12" borderId="34" xfId="0" applyNumberFormat="1" applyFont="1" applyFill="1" applyBorder="1" applyAlignment="1">
      <alignment horizontal="right" vertical="center" wrapText="1"/>
    </xf>
    <xf numFmtId="3" fontId="31" fillId="12" borderId="33" xfId="0" applyNumberFormat="1" applyFont="1" applyFill="1" applyBorder="1" applyAlignment="1">
      <alignment horizontal="right" vertical="center" wrapText="1"/>
    </xf>
    <xf numFmtId="49" fontId="29" fillId="0" borderId="33" xfId="0" applyNumberFormat="1" applyFont="1" applyBorder="1" applyAlignment="1">
      <alignment horizontal="center" vertical="center" wrapText="1"/>
    </xf>
    <xf numFmtId="3" fontId="31" fillId="0" borderId="29" xfId="0" applyNumberFormat="1" applyFont="1" applyBorder="1" applyAlignment="1">
      <alignment horizontal="right" vertical="center" wrapText="1"/>
    </xf>
    <xf numFmtId="49" fontId="32" fillId="3" borderId="33" xfId="0" applyNumberFormat="1" applyFont="1" applyFill="1" applyBorder="1"/>
    <xf numFmtId="49" fontId="32" fillId="0" borderId="33" xfId="0" applyNumberFormat="1" applyFont="1" applyBorder="1" applyAlignment="1">
      <alignment wrapText="1"/>
    </xf>
    <xf numFmtId="3" fontId="32" fillId="3" borderId="33" xfId="0" applyNumberFormat="1" applyFont="1" applyFill="1" applyBorder="1"/>
    <xf numFmtId="0" fontId="43" fillId="9" borderId="33" xfId="0" applyFont="1" applyFill="1" applyBorder="1" applyAlignment="1">
      <alignment vertical="center"/>
    </xf>
    <xf numFmtId="0" fontId="17" fillId="16" borderId="6" xfId="3" quotePrefix="1" applyFont="1" applyFill="1" applyBorder="1" applyAlignment="1">
      <alignment horizontal="right" vertical="center" wrapText="1"/>
    </xf>
    <xf numFmtId="3" fontId="31" fillId="3" borderId="33" xfId="0" applyNumberFormat="1" applyFont="1" applyFill="1" applyBorder="1" applyAlignment="1">
      <alignment vertical="center" wrapText="1"/>
    </xf>
    <xf numFmtId="3" fontId="17" fillId="16" borderId="6" xfId="3" quotePrefix="1" applyNumberFormat="1" applyFont="1" applyFill="1" applyBorder="1" applyAlignment="1">
      <alignment horizontal="right" vertical="center" wrapText="1"/>
    </xf>
    <xf numFmtId="3" fontId="31" fillId="41" borderId="33" xfId="0" applyNumberFormat="1" applyFont="1" applyFill="1" applyBorder="1" applyAlignment="1">
      <alignment vertical="center" wrapText="1"/>
    </xf>
    <xf numFmtId="3" fontId="26" fillId="41" borderId="41" xfId="0" applyNumberFormat="1" applyFont="1" applyFill="1" applyBorder="1" applyAlignment="1">
      <alignment horizontal="right" vertical="center"/>
    </xf>
    <xf numFmtId="2" fontId="30" fillId="0" borderId="0" xfId="0" applyNumberFormat="1" applyFont="1" applyAlignment="1">
      <alignment horizontal="center"/>
    </xf>
    <xf numFmtId="0" fontId="28" fillId="0" borderId="33" xfId="0" applyFont="1" applyFill="1" applyBorder="1" applyAlignment="1">
      <alignment horizontal="center" vertical="center"/>
    </xf>
    <xf numFmtId="0" fontId="28" fillId="0" borderId="33" xfId="0" applyFont="1" applyFill="1" applyBorder="1" applyAlignment="1">
      <alignment vertical="center" wrapText="1"/>
    </xf>
    <xf numFmtId="3" fontId="2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3" fontId="44" fillId="0" borderId="33" xfId="0" applyNumberFormat="1" applyFont="1" applyFill="1" applyBorder="1" applyAlignment="1">
      <alignment horizontal="right" vertical="center"/>
    </xf>
    <xf numFmtId="3" fontId="43" fillId="0" borderId="21" xfId="0" applyNumberFormat="1" applyFont="1" applyFill="1" applyBorder="1" applyAlignment="1">
      <alignment horizontal="right" vertical="center"/>
    </xf>
    <xf numFmtId="3" fontId="44" fillId="0" borderId="21" xfId="0" applyNumberFormat="1" applyFont="1" applyFill="1" applyBorder="1" applyAlignment="1">
      <alignment horizontal="right" vertical="center"/>
    </xf>
    <xf numFmtId="0" fontId="44" fillId="0" borderId="21" xfId="0" applyFont="1" applyFill="1" applyBorder="1" applyAlignment="1">
      <alignment horizontal="center" vertical="center"/>
    </xf>
    <xf numFmtId="0" fontId="44" fillId="0" borderId="21" xfId="0" applyFont="1" applyFill="1" applyBorder="1" applyAlignment="1">
      <alignment vertical="center"/>
    </xf>
    <xf numFmtId="3" fontId="25" fillId="0" borderId="19" xfId="0" applyNumberFormat="1" applyFont="1" applyFill="1" applyBorder="1" applyAlignment="1">
      <alignment horizontal="right" vertical="center"/>
    </xf>
    <xf numFmtId="3" fontId="25" fillId="0" borderId="21" xfId="0" applyNumberFormat="1" applyFont="1" applyFill="1" applyBorder="1" applyAlignment="1">
      <alignment horizontal="right" vertical="center"/>
    </xf>
    <xf numFmtId="3" fontId="25" fillId="0" borderId="33" xfId="0" applyNumberFormat="1" applyFont="1" applyFill="1" applyBorder="1" applyAlignment="1">
      <alignment horizontal="right" vertical="center"/>
    </xf>
    <xf numFmtId="49" fontId="25" fillId="0" borderId="33" xfId="0" applyNumberFormat="1" applyFont="1" applyBorder="1"/>
    <xf numFmtId="49" fontId="29" fillId="12" borderId="11" xfId="0" applyNumberFormat="1" applyFont="1" applyFill="1" applyBorder="1" applyAlignment="1">
      <alignment horizontal="center" vertical="center" wrapText="1"/>
    </xf>
    <xf numFmtId="49" fontId="29" fillId="12" borderId="11" xfId="0" applyNumberFormat="1" applyFont="1" applyFill="1" applyBorder="1" applyAlignment="1">
      <alignment horizontal="left" vertical="center" wrapText="1"/>
    </xf>
    <xf numFmtId="3" fontId="31" fillId="12" borderId="11" xfId="0" applyNumberFormat="1" applyFont="1" applyFill="1" applyBorder="1" applyAlignment="1">
      <alignment horizontal="right" vertical="center" wrapText="1"/>
    </xf>
    <xf numFmtId="3" fontId="31" fillId="12" borderId="21" xfId="0" applyNumberFormat="1" applyFont="1" applyFill="1" applyBorder="1" applyAlignment="1">
      <alignment horizontal="right" vertical="center" wrapText="1"/>
    </xf>
    <xf numFmtId="49" fontId="29" fillId="11" borderId="11" xfId="0" applyNumberFormat="1" applyFont="1" applyFill="1" applyBorder="1" applyAlignment="1">
      <alignment horizontal="center" vertical="center" wrapText="1"/>
    </xf>
    <xf numFmtId="49" fontId="29" fillId="11" borderId="11" xfId="0" applyNumberFormat="1" applyFont="1" applyFill="1" applyBorder="1" applyAlignment="1">
      <alignment horizontal="left" vertical="center" wrapText="1"/>
    </xf>
    <xf numFmtId="3" fontId="31" fillId="11" borderId="11" xfId="0" applyNumberFormat="1" applyFont="1" applyFill="1" applyBorder="1" applyAlignment="1">
      <alignment horizontal="right" vertical="center" wrapText="1"/>
    </xf>
    <xf numFmtId="3" fontId="31" fillId="11" borderId="21" xfId="0" applyNumberFormat="1" applyFont="1" applyFill="1" applyBorder="1" applyAlignment="1">
      <alignment horizontal="right" vertical="center" wrapText="1"/>
    </xf>
    <xf numFmtId="49" fontId="29" fillId="13" borderId="11" xfId="0" applyNumberFormat="1" applyFont="1" applyFill="1" applyBorder="1" applyAlignment="1">
      <alignment horizontal="center" vertical="center" wrapText="1"/>
    </xf>
    <xf numFmtId="49" fontId="29" fillId="13" borderId="11" xfId="0" applyNumberFormat="1" applyFont="1" applyFill="1" applyBorder="1" applyAlignment="1">
      <alignment horizontal="left" vertical="center" wrapText="1"/>
    </xf>
    <xf numFmtId="3" fontId="31" fillId="13" borderId="11" xfId="0" applyNumberFormat="1" applyFont="1" applyFill="1" applyBorder="1" applyAlignment="1">
      <alignment horizontal="right" vertical="center" wrapText="1"/>
    </xf>
    <xf numFmtId="3" fontId="31" fillId="13" borderId="21" xfId="0" applyNumberFormat="1" applyFont="1" applyFill="1" applyBorder="1" applyAlignment="1">
      <alignment horizontal="right" vertical="center" wrapText="1"/>
    </xf>
    <xf numFmtId="3" fontId="31" fillId="13" borderId="29" xfId="0" applyNumberFormat="1" applyFont="1" applyFill="1" applyBorder="1" applyAlignment="1">
      <alignment horizontal="right" vertical="center" wrapText="1"/>
    </xf>
    <xf numFmtId="0" fontId="46" fillId="40" borderId="2" xfId="2" quotePrefix="1" applyNumberFormat="1" applyFont="1" applyFill="1" applyBorder="1" applyAlignment="1">
      <alignment horizontal="center" vertical="center" wrapText="1" justifyLastLine="1"/>
    </xf>
    <xf numFmtId="0" fontId="47" fillId="3" borderId="46" xfId="0" applyFont="1" applyFill="1" applyBorder="1" applyAlignment="1">
      <alignment horizontal="center" vertical="center" wrapText="1"/>
    </xf>
    <xf numFmtId="0" fontId="47" fillId="3" borderId="2" xfId="0" applyFont="1" applyFill="1" applyBorder="1" applyAlignment="1">
      <alignment horizontal="center" vertical="center" wrapText="1"/>
    </xf>
    <xf numFmtId="0" fontId="46" fillId="3" borderId="2" xfId="0" applyFont="1" applyFill="1" applyBorder="1" applyAlignment="1">
      <alignment horizontal="center" vertical="center" wrapText="1"/>
    </xf>
    <xf numFmtId="0" fontId="50" fillId="40" borderId="2" xfId="0" applyFont="1" applyFill="1" applyBorder="1" applyAlignment="1">
      <alignment horizontal="center" vertical="center" wrapText="1"/>
    </xf>
    <xf numFmtId="0" fontId="42" fillId="40" borderId="45" xfId="2" quotePrefix="1" applyNumberFormat="1" applyFont="1" applyFill="1" applyBorder="1" applyAlignment="1">
      <alignment horizontal="center" vertical="center" wrapText="1" justifyLastLine="1"/>
    </xf>
    <xf numFmtId="0" fontId="26" fillId="32" borderId="47" xfId="0" applyFont="1" applyFill="1" applyBorder="1" applyAlignment="1">
      <alignment horizontal="center" vertical="center" wrapText="1"/>
    </xf>
    <xf numFmtId="0" fontId="26" fillId="32" borderId="45" xfId="0" applyFont="1" applyFill="1" applyBorder="1" applyAlignment="1">
      <alignment horizontal="center" vertical="center" wrapText="1"/>
    </xf>
    <xf numFmtId="0" fontId="42" fillId="32" borderId="45" xfId="0" applyFont="1" applyFill="1" applyBorder="1" applyAlignment="1">
      <alignment horizontal="center" vertical="center" wrapText="1"/>
    </xf>
    <xf numFmtId="0" fontId="29" fillId="40" borderId="45" xfId="0" applyFont="1" applyFill="1" applyBorder="1" applyAlignment="1">
      <alignment horizontal="center" vertical="center" wrapText="1"/>
    </xf>
    <xf numFmtId="0" fontId="31" fillId="9" borderId="23" xfId="0" applyFont="1" applyFill="1" applyBorder="1" applyAlignment="1">
      <alignment vertical="center"/>
    </xf>
    <xf numFmtId="0" fontId="31" fillId="9" borderId="19" xfId="0" applyFont="1" applyFill="1" applyBorder="1" applyAlignment="1">
      <alignment vertical="center"/>
    </xf>
    <xf numFmtId="3" fontId="4" fillId="3" borderId="0" xfId="0" applyNumberFormat="1" applyFont="1" applyFill="1" applyAlignment="1">
      <alignment wrapText="1"/>
    </xf>
    <xf numFmtId="0" fontId="0" fillId="3" borderId="0" xfId="0" applyFill="1" applyAlignment="1">
      <alignment wrapText="1"/>
    </xf>
    <xf numFmtId="0" fontId="7" fillId="3" borderId="0" xfId="0" applyFont="1" applyFill="1" applyAlignment="1">
      <alignment wrapText="1"/>
    </xf>
    <xf numFmtId="0" fontId="0" fillId="3" borderId="0" xfId="0" applyFill="1" applyAlignment="1"/>
    <xf numFmtId="0" fontId="4" fillId="3" borderId="0" xfId="0" applyFont="1" applyFill="1" applyAlignment="1">
      <alignment wrapText="1"/>
    </xf>
    <xf numFmtId="0" fontId="31" fillId="9" borderId="33" xfId="0" applyFont="1" applyFill="1" applyBorder="1" applyAlignment="1">
      <alignment vertical="center"/>
    </xf>
    <xf numFmtId="0" fontId="35" fillId="40" borderId="33" xfId="0" applyFont="1" applyFill="1" applyBorder="1" applyAlignment="1">
      <alignment horizontal="center" vertical="center" wrapText="1"/>
    </xf>
    <xf numFmtId="0" fontId="48" fillId="0" borderId="33" xfId="0" applyFont="1" applyBorder="1" applyAlignment="1">
      <alignment wrapText="1"/>
    </xf>
    <xf numFmtId="49" fontId="35" fillId="40" borderId="33" xfId="0" applyNumberFormat="1" applyFont="1" applyFill="1" applyBorder="1" applyAlignment="1">
      <alignment horizontal="center" vertical="center" wrapText="1"/>
    </xf>
    <xf numFmtId="0" fontId="48" fillId="40" borderId="33" xfId="0" applyFont="1" applyFill="1" applyBorder="1" applyAlignment="1">
      <alignment horizontal="center" vertical="center" wrapText="1"/>
    </xf>
    <xf numFmtId="2" fontId="30" fillId="0" borderId="0" xfId="0" applyNumberFormat="1" applyFont="1" applyAlignment="1">
      <alignment horizontal="center"/>
    </xf>
    <xf numFmtId="0" fontId="29" fillId="13" borderId="0" xfId="0" applyFont="1" applyFill="1" applyBorder="1" applyAlignment="1">
      <alignment horizontal="center" vertical="center" wrapText="1"/>
    </xf>
    <xf numFmtId="0" fontId="0" fillId="0" borderId="42" xfId="0" applyBorder="1" applyAlignment="1">
      <alignment wrapText="1"/>
    </xf>
    <xf numFmtId="0" fontId="17" fillId="40" borderId="33" xfId="2" quotePrefix="1" applyNumberFormat="1" applyFont="1" applyFill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17" fillId="40" borderId="33" xfId="2" quotePrefix="1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wrapText="1"/>
    </xf>
    <xf numFmtId="0" fontId="29" fillId="40" borderId="33" xfId="0" applyFont="1" applyFill="1" applyBorder="1" applyAlignment="1">
      <alignment horizontal="center" vertical="center" wrapText="1"/>
    </xf>
    <xf numFmtId="0" fontId="0" fillId="0" borderId="33" xfId="0" applyBorder="1" applyAlignment="1"/>
    <xf numFmtId="0" fontId="0" fillId="40" borderId="33" xfId="0" applyFill="1" applyBorder="1" applyAlignment="1">
      <alignment wrapText="1"/>
    </xf>
    <xf numFmtId="0" fontId="29" fillId="40" borderId="39" xfId="0" applyFont="1" applyFill="1" applyBorder="1" applyAlignment="1">
      <alignment horizontal="center" vertical="center" wrapText="1"/>
    </xf>
    <xf numFmtId="0" fontId="0" fillId="0" borderId="43" xfId="0" applyBorder="1" applyAlignment="1">
      <alignment wrapText="1"/>
    </xf>
    <xf numFmtId="0" fontId="29" fillId="40" borderId="0" xfId="0" applyFont="1" applyFill="1" applyBorder="1" applyAlignment="1">
      <alignment horizontal="center" vertical="center" wrapText="1"/>
    </xf>
    <xf numFmtId="49" fontId="29" fillId="40" borderId="33" xfId="0" applyNumberFormat="1" applyFont="1" applyFill="1" applyBorder="1" applyAlignment="1">
      <alignment horizontal="center" wrapText="1"/>
    </xf>
    <xf numFmtId="0" fontId="0" fillId="40" borderId="33" xfId="0" applyFill="1" applyBorder="1" applyAlignment="1">
      <alignment horizontal="center"/>
    </xf>
    <xf numFmtId="0" fontId="43" fillId="9" borderId="21" xfId="0" applyFont="1" applyFill="1" applyBorder="1" applyAlignment="1">
      <alignment vertical="center" wrapText="1"/>
    </xf>
    <xf numFmtId="0" fontId="43" fillId="9" borderId="21" xfId="0" applyFont="1" applyFill="1" applyBorder="1" applyAlignment="1">
      <alignment vertical="center"/>
    </xf>
    <xf numFmtId="0" fontId="43" fillId="9" borderId="21" xfId="0" applyFont="1" applyFill="1" applyBorder="1" applyAlignment="1">
      <alignment horizontal="left" vertical="center"/>
    </xf>
    <xf numFmtId="49" fontId="26" fillId="0" borderId="14" xfId="0" applyNumberFormat="1" applyFont="1" applyBorder="1" applyAlignment="1">
      <alignment horizontal="center"/>
    </xf>
    <xf numFmtId="0" fontId="43" fillId="9" borderId="23" xfId="0" applyFont="1" applyFill="1" applyBorder="1" applyAlignment="1">
      <alignment vertical="center"/>
    </xf>
    <xf numFmtId="0" fontId="43" fillId="9" borderId="19" xfId="0" applyFont="1" applyFill="1" applyBorder="1" applyAlignment="1">
      <alignment vertical="center"/>
    </xf>
    <xf numFmtId="0" fontId="43" fillId="20" borderId="21" xfId="0" applyFont="1" applyFill="1" applyBorder="1" applyAlignment="1">
      <alignment vertical="center"/>
    </xf>
    <xf numFmtId="0" fontId="41" fillId="0" borderId="0" xfId="0" applyFont="1" applyAlignment="1">
      <alignment horizontal="center" vertical="center" wrapText="1"/>
    </xf>
    <xf numFmtId="0" fontId="43" fillId="9" borderId="23" xfId="0" applyFont="1" applyFill="1" applyBorder="1" applyAlignment="1">
      <alignment vertical="center" wrapText="1"/>
    </xf>
    <xf numFmtId="0" fontId="43" fillId="9" borderId="19" xfId="0" applyFont="1" applyFill="1" applyBorder="1" applyAlignment="1">
      <alignment vertical="center" wrapText="1"/>
    </xf>
    <xf numFmtId="0" fontId="30" fillId="0" borderId="14" xfId="0" applyFont="1" applyBorder="1" applyAlignment="1">
      <alignment horizontal="center" wrapText="1"/>
    </xf>
    <xf numFmtId="0" fontId="30" fillId="0" borderId="0" xfId="0" applyFont="1" applyAlignment="1">
      <alignment horizontal="center" wrapText="1"/>
    </xf>
    <xf numFmtId="0" fontId="29" fillId="33" borderId="29" xfId="0" applyFont="1" applyFill="1" applyBorder="1" applyAlignment="1">
      <alignment horizontal="center" vertical="center" wrapText="1"/>
    </xf>
    <xf numFmtId="0" fontId="29" fillId="33" borderId="2" xfId="0" applyFont="1" applyFill="1" applyBorder="1" applyAlignment="1">
      <alignment horizontal="center" vertical="center" wrapText="1"/>
    </xf>
    <xf numFmtId="49" fontId="29" fillId="33" borderId="11" xfId="0" applyNumberFormat="1" applyFont="1" applyFill="1" applyBorder="1" applyAlignment="1">
      <alignment horizontal="center" vertical="center" wrapText="1"/>
    </xf>
    <xf numFmtId="0" fontId="31" fillId="33" borderId="11" xfId="0" applyFont="1" applyFill="1" applyBorder="1" applyAlignment="1">
      <alignment horizontal="center" vertical="center" wrapText="1"/>
    </xf>
  </cellXfs>
  <cellStyles count="34">
    <cellStyle name="Datum" xfId="30"/>
    <cellStyle name="Desni zeleni obrub" xfId="27"/>
    <cellStyle name="Donji obrub" xfId="26"/>
    <cellStyle name="GrayCell" xfId="23"/>
    <cellStyle name="Isticanje" xfId="31"/>
    <cellStyle name="Lijevi donji zeleni obrub" xfId="28"/>
    <cellStyle name="Lijevi zeleni obrub" xfId="29"/>
    <cellStyle name="Naslov 1 2" xfId="16"/>
    <cellStyle name="Naslov 2 2" xfId="17"/>
    <cellStyle name="Naslov 3 2" xfId="24"/>
    <cellStyle name="Naslov 4 2" xfId="25"/>
    <cellStyle name="Naslov 5" xfId="18"/>
    <cellStyle name="Normalno" xfId="0" builtinId="0"/>
    <cellStyle name="Normalno 2" xfId="5"/>
    <cellStyle name="Normalno 3" xfId="15"/>
    <cellStyle name="Normalno 5" xfId="12"/>
    <cellStyle name="Obično 2" xfId="1"/>
    <cellStyle name="Obično_Bilanca prihoda" xfId="13"/>
    <cellStyle name="OrangeBorder" xfId="21"/>
    <cellStyle name="SAPBEXaggData" xfId="6"/>
    <cellStyle name="SAPBEXaggItem" xfId="11"/>
    <cellStyle name="SAPBEXchaText" xfId="2"/>
    <cellStyle name="SAPBEXformats" xfId="10"/>
    <cellStyle name="SAPBEXHLevel0" xfId="14"/>
    <cellStyle name="SAPBEXHLevel1" xfId="4"/>
    <cellStyle name="SAPBEXHLevel2" xfId="3"/>
    <cellStyle name="SAPBEXHLevel3" xfId="7"/>
    <cellStyle name="SAPBEXstdData" xfId="8"/>
    <cellStyle name="SAPBEXstdItem" xfId="9"/>
    <cellStyle name="Tekst Pokreni" xfId="19"/>
    <cellStyle name="Tekst u stupcu Od Ž do A" xfId="20"/>
    <cellStyle name="Valuta [0] 2" xfId="33"/>
    <cellStyle name="Valuta 2" xfId="32"/>
    <cellStyle name="YellowCell" xfId="22"/>
  </cellStyles>
  <dxfs count="4">
    <dxf>
      <font>
        <color theme="0"/>
      </font>
      <fill>
        <patternFill>
          <bgColor rgb="FF359966"/>
        </patternFill>
      </fill>
    </dxf>
    <dxf>
      <font>
        <color theme="0"/>
      </font>
      <fill>
        <patternFill>
          <bgColor rgb="FF359966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2" defaultTableStyle="TableStyleMedium2" defaultPivotStyle="PivotStyleLight16">
    <tableStyle name="CustomTableStyle" pivot="0" count="2">
      <tableStyleElement type="headerRow" dxfId="3"/>
      <tableStyleElement type="firstRowStripe" dxfId="2"/>
    </tableStyle>
    <tableStyle name="Stil zaokretne tablice 1" table="0" count="2">
      <tableStyleElement type="headerRow" dxfId="1"/>
      <tableStyleElement type="totalRow" dxfId="0"/>
    </tableStyle>
  </tableStyles>
  <colors>
    <mruColors>
      <color rgb="FFF9FBA3"/>
      <color rgb="FF92CDDC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923925</xdr:colOff>
      <xdr:row>177</xdr:row>
      <xdr:rowOff>0</xdr:rowOff>
    </xdr:from>
    <xdr:to>
      <xdr:col>0</xdr:col>
      <xdr:colOff>1047750</xdr:colOff>
      <xdr:row>177</xdr:row>
      <xdr:rowOff>123825</xdr:rowOff>
    </xdr:to>
    <xdr:pic>
      <xdr:nvPicPr>
        <xdr:cNvPr id="2" name="BExXTKAUX1WF2OZPXSNXALZLKGCO" descr="Expand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509492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1266825</xdr:colOff>
      <xdr:row>178</xdr:row>
      <xdr:rowOff>0</xdr:rowOff>
    </xdr:from>
    <xdr:to>
      <xdr:col>0</xdr:col>
      <xdr:colOff>1390650</xdr:colOff>
      <xdr:row>178</xdr:row>
      <xdr:rowOff>123825</xdr:rowOff>
    </xdr:to>
    <xdr:pic>
      <xdr:nvPicPr>
        <xdr:cNvPr id="4" name="BExS4R4TNKEVJJW2M2WFRZE2I16B" descr="Expande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512730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1381125</xdr:colOff>
      <xdr:row>179</xdr:row>
      <xdr:rowOff>0</xdr:rowOff>
    </xdr:from>
    <xdr:to>
      <xdr:col>0</xdr:col>
      <xdr:colOff>1504950</xdr:colOff>
      <xdr:row>179</xdr:row>
      <xdr:rowOff>123825</xdr:rowOff>
    </xdr:to>
    <xdr:pic>
      <xdr:nvPicPr>
        <xdr:cNvPr id="5" name="BExQJYSSARZM4DYBE7563XYCDUP5" descr="Collapse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514350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1266825</xdr:colOff>
      <xdr:row>180</xdr:row>
      <xdr:rowOff>0</xdr:rowOff>
    </xdr:from>
    <xdr:to>
      <xdr:col>0</xdr:col>
      <xdr:colOff>1390650</xdr:colOff>
      <xdr:row>180</xdr:row>
      <xdr:rowOff>123825</xdr:rowOff>
    </xdr:to>
    <xdr:pic>
      <xdr:nvPicPr>
        <xdr:cNvPr id="6" name="BExW32TILCTUNWHFKU0UN85IZFNM" descr="Expande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515969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1381125</xdr:colOff>
      <xdr:row>181</xdr:row>
      <xdr:rowOff>0</xdr:rowOff>
    </xdr:from>
    <xdr:to>
      <xdr:col>0</xdr:col>
      <xdr:colOff>1504950</xdr:colOff>
      <xdr:row>181</xdr:row>
      <xdr:rowOff>123825</xdr:rowOff>
    </xdr:to>
    <xdr:pic>
      <xdr:nvPicPr>
        <xdr:cNvPr id="7" name="BExODWVRC1SXHAILZ6QY88MPOU9N" descr="Collapsed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517588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1266825</xdr:colOff>
      <xdr:row>182</xdr:row>
      <xdr:rowOff>0</xdr:rowOff>
    </xdr:from>
    <xdr:to>
      <xdr:col>0</xdr:col>
      <xdr:colOff>1390650</xdr:colOff>
      <xdr:row>182</xdr:row>
      <xdr:rowOff>123825</xdr:rowOff>
    </xdr:to>
    <xdr:pic>
      <xdr:nvPicPr>
        <xdr:cNvPr id="8" name="BExXQJNP4TWMU3USGW6U4LZ0ZHTQ" descr="Expanded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519207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1381125</xdr:colOff>
      <xdr:row>183</xdr:row>
      <xdr:rowOff>0</xdr:rowOff>
    </xdr:from>
    <xdr:to>
      <xdr:col>0</xdr:col>
      <xdr:colOff>1504950</xdr:colOff>
      <xdr:row>183</xdr:row>
      <xdr:rowOff>123825</xdr:rowOff>
    </xdr:to>
    <xdr:pic>
      <xdr:nvPicPr>
        <xdr:cNvPr id="9" name="BExETY2H4UR4LZ2BEH7SQ49SXJGA" descr="Collapsed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520827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1381125</xdr:colOff>
      <xdr:row>184</xdr:row>
      <xdr:rowOff>0</xdr:rowOff>
    </xdr:from>
    <xdr:to>
      <xdr:col>0</xdr:col>
      <xdr:colOff>1504950</xdr:colOff>
      <xdr:row>184</xdr:row>
      <xdr:rowOff>123825</xdr:rowOff>
    </xdr:to>
    <xdr:pic>
      <xdr:nvPicPr>
        <xdr:cNvPr id="10" name="BEx1IM9OFERCD9Q0MV33MTB42ZI2" descr="Collapsed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522446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923925</xdr:colOff>
      <xdr:row>178</xdr:row>
      <xdr:rowOff>0</xdr:rowOff>
    </xdr:from>
    <xdr:to>
      <xdr:col>0</xdr:col>
      <xdr:colOff>1047750</xdr:colOff>
      <xdr:row>178</xdr:row>
      <xdr:rowOff>123825</xdr:rowOff>
    </xdr:to>
    <xdr:pic>
      <xdr:nvPicPr>
        <xdr:cNvPr id="11" name="BExXTKAUX1WF2OZPXSNXALZLKGCO" descr="Expand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9438600"/>
          <a:ext cx="3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1266825</xdr:colOff>
      <xdr:row>179</xdr:row>
      <xdr:rowOff>0</xdr:rowOff>
    </xdr:from>
    <xdr:to>
      <xdr:col>0</xdr:col>
      <xdr:colOff>1390650</xdr:colOff>
      <xdr:row>179</xdr:row>
      <xdr:rowOff>123825</xdr:rowOff>
    </xdr:to>
    <xdr:pic>
      <xdr:nvPicPr>
        <xdr:cNvPr id="12" name="BExS4R4TNKEVJJW2M2WFRZE2I16B" descr="Expande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9438600"/>
          <a:ext cx="3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1381125</xdr:colOff>
      <xdr:row>180</xdr:row>
      <xdr:rowOff>0</xdr:rowOff>
    </xdr:from>
    <xdr:to>
      <xdr:col>0</xdr:col>
      <xdr:colOff>1504950</xdr:colOff>
      <xdr:row>180</xdr:row>
      <xdr:rowOff>123825</xdr:rowOff>
    </xdr:to>
    <xdr:pic>
      <xdr:nvPicPr>
        <xdr:cNvPr id="13" name="BExQJYSSARZM4DYBE7563XYCDUP5" descr="Collapse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9438600"/>
          <a:ext cx="3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1266825</xdr:colOff>
      <xdr:row>181</xdr:row>
      <xdr:rowOff>0</xdr:rowOff>
    </xdr:from>
    <xdr:to>
      <xdr:col>0</xdr:col>
      <xdr:colOff>1390650</xdr:colOff>
      <xdr:row>181</xdr:row>
      <xdr:rowOff>123825</xdr:rowOff>
    </xdr:to>
    <xdr:pic>
      <xdr:nvPicPr>
        <xdr:cNvPr id="14" name="BExW32TILCTUNWHFKU0UN85IZFNM" descr="Expande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9438600"/>
          <a:ext cx="31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1381125</xdr:colOff>
      <xdr:row>182</xdr:row>
      <xdr:rowOff>0</xdr:rowOff>
    </xdr:from>
    <xdr:to>
      <xdr:col>0</xdr:col>
      <xdr:colOff>1504950</xdr:colOff>
      <xdr:row>182</xdr:row>
      <xdr:rowOff>123825</xdr:rowOff>
    </xdr:to>
    <xdr:pic>
      <xdr:nvPicPr>
        <xdr:cNvPr id="15" name="BExODWVRC1SXHAILZ6QY88MPOU9N" descr="Collapsed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9597350"/>
          <a:ext cx="3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1266825</xdr:colOff>
      <xdr:row>183</xdr:row>
      <xdr:rowOff>0</xdr:rowOff>
    </xdr:from>
    <xdr:to>
      <xdr:col>0</xdr:col>
      <xdr:colOff>1390650</xdr:colOff>
      <xdr:row>183</xdr:row>
      <xdr:rowOff>123825</xdr:rowOff>
    </xdr:to>
    <xdr:pic>
      <xdr:nvPicPr>
        <xdr:cNvPr id="16" name="BExXQJNP4TWMU3USGW6U4LZ0ZHTQ" descr="Expanded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9597350"/>
          <a:ext cx="3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1381125</xdr:colOff>
      <xdr:row>184</xdr:row>
      <xdr:rowOff>0</xdr:rowOff>
    </xdr:from>
    <xdr:to>
      <xdr:col>0</xdr:col>
      <xdr:colOff>1504950</xdr:colOff>
      <xdr:row>184</xdr:row>
      <xdr:rowOff>123825</xdr:rowOff>
    </xdr:to>
    <xdr:pic>
      <xdr:nvPicPr>
        <xdr:cNvPr id="17" name="BExETY2H4UR4LZ2BEH7SQ49SXJGA" descr="Collapsed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9597350"/>
          <a:ext cx="3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1381125</xdr:colOff>
      <xdr:row>185</xdr:row>
      <xdr:rowOff>0</xdr:rowOff>
    </xdr:from>
    <xdr:to>
      <xdr:col>0</xdr:col>
      <xdr:colOff>1504950</xdr:colOff>
      <xdr:row>185</xdr:row>
      <xdr:rowOff>123825</xdr:rowOff>
    </xdr:to>
    <xdr:pic>
      <xdr:nvPicPr>
        <xdr:cNvPr id="18" name="BEx1IM9OFERCD9Q0MV33MTB42ZI2" descr="Collapsed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9597350"/>
          <a:ext cx="3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L992"/>
  <sheetViews>
    <sheetView zoomScale="81" zoomScaleNormal="81" workbookViewId="0">
      <pane xSplit="2" ySplit="7" topLeftCell="M9" activePane="bottomRight" state="frozen"/>
      <selection pane="topRight" activeCell="C1" sqref="C1"/>
      <selection pane="bottomLeft" activeCell="A6" sqref="A6"/>
      <selection pane="bottomRight" activeCell="AJ89" sqref="AJ89"/>
    </sheetView>
  </sheetViews>
  <sheetFormatPr defaultColWidth="9.21875" defaultRowHeight="13.8" x14ac:dyDescent="0.3"/>
  <cols>
    <col min="1" max="1" width="9.77734375" style="1" customWidth="1"/>
    <col min="2" max="2" width="47.21875" style="14" customWidth="1"/>
    <col min="3" max="4" width="11.44140625" style="3" hidden="1" customWidth="1"/>
    <col min="5" max="5" width="11.21875" style="3" hidden="1" customWidth="1"/>
    <col min="6" max="6" width="10.77734375" style="3" hidden="1" customWidth="1"/>
    <col min="7" max="7" width="11.21875" style="3" hidden="1" customWidth="1"/>
    <col min="8" max="8" width="14.21875" style="1" hidden="1" customWidth="1"/>
    <col min="9" max="9" width="11.77734375" style="1" hidden="1" customWidth="1"/>
    <col min="10" max="10" width="12" style="1" hidden="1" customWidth="1"/>
    <col min="11" max="12" width="11.21875" style="1" hidden="1" customWidth="1"/>
    <col min="13" max="13" width="14" style="1" hidden="1" customWidth="1"/>
    <col min="14" max="14" width="0.21875" style="1" customWidth="1"/>
    <col min="15" max="15" width="17.5546875" style="1" hidden="1" customWidth="1"/>
    <col min="16" max="16" width="14.44140625" style="1" customWidth="1"/>
    <col min="17" max="17" width="15.21875" style="1" customWidth="1"/>
    <col min="18" max="18" width="13.77734375" style="1" customWidth="1"/>
    <col min="19" max="19" width="14.77734375" style="1" hidden="1" customWidth="1"/>
    <col min="20" max="20" width="14.21875" style="1" hidden="1" customWidth="1"/>
    <col min="21" max="21" width="15.21875" style="1" hidden="1" customWidth="1"/>
    <col min="22" max="23" width="15.21875" style="3" hidden="1" customWidth="1"/>
    <col min="24" max="24" width="56.21875" style="1" hidden="1" customWidth="1"/>
    <col min="25" max="25" width="42.21875" style="498" hidden="1" customWidth="1"/>
    <col min="26" max="26" width="14.21875" style="1" hidden="1" customWidth="1"/>
    <col min="27" max="27" width="13.21875" style="1" hidden="1" customWidth="1"/>
    <col min="28" max="28" width="8.77734375" style="1" hidden="1" customWidth="1"/>
    <col min="29" max="29" width="2" style="1" hidden="1" customWidth="1"/>
    <col min="30" max="30" width="30.21875" style="1" hidden="1" customWidth="1"/>
    <col min="31" max="31" width="28.21875" style="1" hidden="1" customWidth="1"/>
    <col min="32" max="32" width="11" style="1" hidden="1" customWidth="1"/>
    <col min="33" max="33" width="18.77734375" style="1" customWidth="1"/>
    <col min="34" max="34" width="18.77734375" style="498" customWidth="1"/>
    <col min="35" max="35" width="22.77734375" style="498" hidden="1" customWidth="1"/>
    <col min="36" max="36" width="13.21875" style="498" customWidth="1"/>
    <col min="37" max="38" width="9.21875" style="498"/>
    <col min="39" max="16384" width="9.21875" style="1"/>
  </cols>
  <sheetData>
    <row r="1" spans="1:38" ht="18" hidden="1" customHeight="1" x14ac:dyDescent="0.35">
      <c r="A1" s="705" t="s">
        <v>466</v>
      </c>
      <c r="B1" s="705"/>
      <c r="C1" s="705"/>
      <c r="D1" s="705"/>
      <c r="E1" s="705"/>
      <c r="F1" s="705"/>
      <c r="G1" s="705"/>
      <c r="H1" s="705"/>
      <c r="I1" s="705"/>
      <c r="J1" s="705"/>
      <c r="K1" s="705"/>
      <c r="L1" s="705"/>
      <c r="M1" s="705"/>
      <c r="N1" s="705"/>
      <c r="O1" s="705"/>
      <c r="P1" s="705"/>
      <c r="Q1" s="705"/>
      <c r="R1" s="705"/>
      <c r="S1" s="705"/>
      <c r="T1" s="705"/>
      <c r="U1" s="705"/>
      <c r="V1" s="520"/>
      <c r="W1" s="520"/>
      <c r="X1" s="31"/>
      <c r="Y1" s="486"/>
      <c r="Z1" s="31"/>
      <c r="AA1" s="31"/>
      <c r="AB1" s="31"/>
    </row>
    <row r="2" spans="1:38" ht="18" customHeight="1" x14ac:dyDescent="0.3">
      <c r="A2" s="656"/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9" t="s">
        <v>487</v>
      </c>
      <c r="S2" s="656"/>
      <c r="T2" s="656"/>
      <c r="U2" s="656"/>
      <c r="V2" s="520"/>
      <c r="W2" s="520"/>
      <c r="X2" s="31"/>
      <c r="Y2" s="486"/>
      <c r="Z2" s="31"/>
      <c r="AA2" s="31"/>
      <c r="AB2" s="31"/>
    </row>
    <row r="3" spans="1:38" ht="18" customHeight="1" x14ac:dyDescent="0.3">
      <c r="A3" s="705" t="s">
        <v>485</v>
      </c>
      <c r="B3" s="705"/>
      <c r="C3" s="705"/>
      <c r="D3" s="705"/>
      <c r="E3" s="705"/>
      <c r="F3" s="705"/>
      <c r="G3" s="705"/>
      <c r="H3" s="705"/>
      <c r="I3" s="705"/>
      <c r="J3" s="705"/>
      <c r="K3" s="705"/>
      <c r="L3" s="705"/>
      <c r="M3" s="705"/>
      <c r="N3" s="705"/>
      <c r="O3" s="705"/>
      <c r="P3" s="705"/>
      <c r="Q3" s="705"/>
      <c r="R3" s="705"/>
      <c r="S3" s="656"/>
      <c r="T3" s="656"/>
      <c r="U3" s="656"/>
      <c r="V3" s="520"/>
      <c r="W3" s="520"/>
      <c r="X3" s="31"/>
      <c r="Y3" s="486"/>
      <c r="Z3" s="31"/>
      <c r="AA3" s="31"/>
      <c r="AB3" s="31"/>
    </row>
    <row r="4" spans="1:38" ht="18.600000000000001" customHeight="1" x14ac:dyDescent="0.3">
      <c r="A4" s="705" t="s">
        <v>421</v>
      </c>
      <c r="B4" s="705"/>
      <c r="C4" s="705"/>
      <c r="D4" s="705"/>
      <c r="E4" s="705"/>
      <c r="F4" s="705"/>
      <c r="G4" s="705"/>
      <c r="H4" s="705"/>
      <c r="I4" s="705"/>
      <c r="J4" s="705"/>
      <c r="K4" s="705"/>
      <c r="L4" s="705"/>
      <c r="M4" s="705"/>
      <c r="N4" s="705"/>
      <c r="O4" s="705"/>
      <c r="P4" s="705"/>
      <c r="Q4" s="705"/>
      <c r="R4" s="705"/>
      <c r="S4" s="515"/>
      <c r="T4" s="515"/>
      <c r="U4" s="515"/>
      <c r="V4" s="520"/>
      <c r="W4" s="520"/>
      <c r="X4" s="31"/>
      <c r="Y4" s="486"/>
      <c r="Z4" s="31"/>
      <c r="AA4" s="31"/>
      <c r="AB4" s="31"/>
    </row>
    <row r="5" spans="1:38" ht="18.600000000000001" customHeight="1" x14ac:dyDescent="0.3">
      <c r="A5" s="516"/>
      <c r="B5" s="517"/>
      <c r="C5" s="517"/>
      <c r="D5" s="517"/>
      <c r="E5" s="517"/>
      <c r="F5" s="517"/>
      <c r="G5" s="517"/>
      <c r="H5" s="517"/>
      <c r="I5" s="517"/>
      <c r="J5" s="517"/>
      <c r="K5" s="517"/>
      <c r="L5" s="517"/>
      <c r="M5" s="517"/>
      <c r="N5" s="517"/>
      <c r="O5" s="517"/>
      <c r="P5" s="517"/>
      <c r="Q5" s="407"/>
      <c r="R5" s="660" t="s">
        <v>438</v>
      </c>
      <c r="S5" s="515"/>
      <c r="T5" s="515"/>
      <c r="U5" s="515"/>
      <c r="V5" s="520"/>
      <c r="W5" s="520"/>
      <c r="X5" s="31"/>
      <c r="Y5" s="486"/>
      <c r="Z5" s="31"/>
      <c r="AA5" s="31"/>
      <c r="AB5" s="31"/>
    </row>
    <row r="6" spans="1:38" ht="18.600000000000001" customHeight="1" x14ac:dyDescent="0.3">
      <c r="A6" s="708" t="s">
        <v>92</v>
      </c>
      <c r="B6" s="710" t="s">
        <v>93</v>
      </c>
      <c r="C6" s="429"/>
      <c r="D6" s="429"/>
      <c r="E6" s="429"/>
      <c r="F6" s="429"/>
      <c r="G6" s="429"/>
      <c r="H6" s="712" t="s">
        <v>423</v>
      </c>
      <c r="I6" s="718" t="s">
        <v>449</v>
      </c>
      <c r="J6" s="719"/>
      <c r="K6" s="703" t="s">
        <v>450</v>
      </c>
      <c r="L6" s="701" t="s">
        <v>451</v>
      </c>
      <c r="M6" s="712" t="s">
        <v>448</v>
      </c>
      <c r="N6" s="715" t="s">
        <v>369</v>
      </c>
      <c r="O6" s="717" t="s">
        <v>425</v>
      </c>
      <c r="P6" s="712" t="s">
        <v>481</v>
      </c>
      <c r="Q6" s="712" t="s">
        <v>482</v>
      </c>
      <c r="R6" s="712" t="s">
        <v>483</v>
      </c>
      <c r="S6" s="706" t="s">
        <v>426</v>
      </c>
      <c r="T6" s="706" t="s">
        <v>427</v>
      </c>
      <c r="U6" s="706" t="s">
        <v>428</v>
      </c>
      <c r="V6" s="521"/>
      <c r="W6" s="521"/>
      <c r="X6" s="31"/>
      <c r="Y6" s="486"/>
      <c r="Z6" s="31"/>
      <c r="AA6" s="31"/>
      <c r="AB6" s="31"/>
    </row>
    <row r="7" spans="1:38" ht="20.25" customHeight="1" thickBot="1" x14ac:dyDescent="0.35">
      <c r="A7" s="709"/>
      <c r="B7" s="711"/>
      <c r="C7" s="518" t="s">
        <v>370</v>
      </c>
      <c r="D7" s="518"/>
      <c r="E7" s="518" t="s">
        <v>400</v>
      </c>
      <c r="F7" s="518" t="s">
        <v>368</v>
      </c>
      <c r="G7" s="518" t="s">
        <v>369</v>
      </c>
      <c r="H7" s="713"/>
      <c r="I7" s="511" t="s">
        <v>436</v>
      </c>
      <c r="J7" s="511" t="s">
        <v>376</v>
      </c>
      <c r="K7" s="704"/>
      <c r="L7" s="702"/>
      <c r="M7" s="714"/>
      <c r="N7" s="716"/>
      <c r="O7" s="707"/>
      <c r="P7" s="714"/>
      <c r="Q7" s="714"/>
      <c r="R7" s="714"/>
      <c r="S7" s="707"/>
      <c r="T7" s="707"/>
      <c r="U7" s="707"/>
      <c r="V7" s="522"/>
      <c r="W7" s="522"/>
      <c r="X7" s="482" t="s">
        <v>458</v>
      </c>
      <c r="Y7" s="487" t="s">
        <v>459</v>
      </c>
      <c r="Z7" s="31" t="s">
        <v>407</v>
      </c>
      <c r="AA7" s="31" t="s">
        <v>408</v>
      </c>
      <c r="AB7" s="31" t="s">
        <v>429</v>
      </c>
    </row>
    <row r="8" spans="1:38" s="19" customFormat="1" ht="15.75" hidden="1" customHeight="1" thickTop="1" thickBot="1" x14ac:dyDescent="0.3">
      <c r="A8" s="427" t="s">
        <v>377</v>
      </c>
      <c r="B8" s="427" t="s">
        <v>396</v>
      </c>
      <c r="C8" s="428">
        <v>1</v>
      </c>
      <c r="D8" s="428"/>
      <c r="E8" s="428">
        <v>2</v>
      </c>
      <c r="F8" s="428">
        <v>3</v>
      </c>
      <c r="G8" s="428">
        <v>4</v>
      </c>
      <c r="H8" s="428">
        <v>1</v>
      </c>
      <c r="I8" s="428">
        <v>2</v>
      </c>
      <c r="J8" s="428">
        <v>3</v>
      </c>
      <c r="K8" s="428">
        <v>4</v>
      </c>
      <c r="L8" s="428">
        <v>5</v>
      </c>
      <c r="M8" s="428" t="s">
        <v>447</v>
      </c>
      <c r="N8" s="140">
        <v>5</v>
      </c>
      <c r="O8" s="140">
        <v>6</v>
      </c>
      <c r="P8" s="428">
        <v>1</v>
      </c>
      <c r="Q8" s="428">
        <v>2</v>
      </c>
      <c r="R8" s="428">
        <v>3</v>
      </c>
      <c r="S8" s="48" t="s">
        <v>439</v>
      </c>
      <c r="T8" s="48" t="s">
        <v>440</v>
      </c>
      <c r="U8" s="48" t="s">
        <v>441</v>
      </c>
      <c r="V8" s="523"/>
      <c r="W8" s="523"/>
      <c r="X8" s="49" t="s">
        <v>457</v>
      </c>
      <c r="Y8" s="488"/>
      <c r="Z8" s="50">
        <v>901244393</v>
      </c>
      <c r="AA8" s="50">
        <v>898872615</v>
      </c>
      <c r="AB8" s="50"/>
      <c r="AH8" s="524"/>
      <c r="AI8" s="524"/>
      <c r="AJ8" s="524"/>
      <c r="AK8" s="524"/>
      <c r="AL8" s="524"/>
    </row>
    <row r="9" spans="1:38" s="2" customFormat="1" ht="21.75" customHeight="1" thickTop="1" x14ac:dyDescent="0.3">
      <c r="A9" s="51" t="s">
        <v>90</v>
      </c>
      <c r="B9" s="52" t="s">
        <v>0</v>
      </c>
      <c r="C9" s="53">
        <f t="shared" ref="C9:U9" si="0">SUM(C10)</f>
        <v>866574740</v>
      </c>
      <c r="D9" s="53"/>
      <c r="E9" s="53">
        <f t="shared" si="0"/>
        <v>921561740</v>
      </c>
      <c r="F9" s="53">
        <f t="shared" si="0"/>
        <v>857411288</v>
      </c>
      <c r="G9" s="53">
        <f t="shared" si="0"/>
        <v>858208573</v>
      </c>
      <c r="H9" s="53">
        <f t="shared" si="0"/>
        <v>1051431150</v>
      </c>
      <c r="I9" s="53">
        <f t="shared" si="0"/>
        <v>15137500</v>
      </c>
      <c r="J9" s="53">
        <f t="shared" si="0"/>
        <v>15137500</v>
      </c>
      <c r="K9" s="53">
        <f t="shared" si="0"/>
        <v>5300000</v>
      </c>
      <c r="L9" s="53">
        <f t="shared" si="0"/>
        <v>64700000</v>
      </c>
      <c r="M9" s="53">
        <f t="shared" si="0"/>
        <v>1108906150</v>
      </c>
      <c r="N9" s="53">
        <f t="shared" si="0"/>
        <v>1049806393</v>
      </c>
      <c r="O9" s="53">
        <f t="shared" si="0"/>
        <v>1049287615</v>
      </c>
      <c r="P9" s="53">
        <f t="shared" si="0"/>
        <v>1204716179</v>
      </c>
      <c r="Q9" s="53">
        <f t="shared" si="0"/>
        <v>1161300739</v>
      </c>
      <c r="R9" s="53">
        <f t="shared" si="0"/>
        <v>1141434841</v>
      </c>
      <c r="S9" s="53">
        <f t="shared" si="0"/>
        <v>95800029</v>
      </c>
      <c r="T9" s="53">
        <f t="shared" si="0"/>
        <v>154899786</v>
      </c>
      <c r="U9" s="53">
        <f t="shared" si="0"/>
        <v>111899624</v>
      </c>
      <c r="V9" s="506">
        <f>P9-M9</f>
        <v>95810029</v>
      </c>
      <c r="W9" s="506">
        <f>S9-V9</f>
        <v>-10000</v>
      </c>
      <c r="X9" s="54" t="s">
        <v>399</v>
      </c>
      <c r="Y9" s="489"/>
      <c r="Z9" s="55"/>
      <c r="AA9" s="55"/>
      <c r="AB9" s="55"/>
      <c r="AH9" s="525"/>
      <c r="AI9" s="525"/>
      <c r="AJ9" s="525"/>
      <c r="AK9" s="525"/>
      <c r="AL9" s="525"/>
    </row>
    <row r="10" spans="1:38" s="2" customFormat="1" ht="16.5" customHeight="1" x14ac:dyDescent="0.3">
      <c r="A10" s="526" t="s">
        <v>91</v>
      </c>
      <c r="B10" s="56" t="s">
        <v>0</v>
      </c>
      <c r="C10" s="57">
        <f t="shared" ref="C10:O10" si="1">SUM(C11,C18,C25,C85,C106,C136,C150,C204,C234,C252,C282,C334,C366,C394,C419,C452,C486,C514,C555,C595,C604,C609,C622,C629,C662,C676,C693,C717,C753,C785,C790,C795,C811,C834,C839,C853,C872,C892,C945)</f>
        <v>866574740</v>
      </c>
      <c r="D10" s="57">
        <f t="shared" si="1"/>
        <v>0</v>
      </c>
      <c r="E10" s="57">
        <f t="shared" si="1"/>
        <v>921561740</v>
      </c>
      <c r="F10" s="57">
        <f t="shared" si="1"/>
        <v>857411288</v>
      </c>
      <c r="G10" s="57">
        <f t="shared" si="1"/>
        <v>858208573</v>
      </c>
      <c r="H10" s="57">
        <f t="shared" si="1"/>
        <v>1051431150</v>
      </c>
      <c r="I10" s="57">
        <f t="shared" si="1"/>
        <v>15137500</v>
      </c>
      <c r="J10" s="57">
        <f t="shared" si="1"/>
        <v>15137500</v>
      </c>
      <c r="K10" s="57">
        <f t="shared" si="1"/>
        <v>5300000</v>
      </c>
      <c r="L10" s="57">
        <f t="shared" si="1"/>
        <v>64700000</v>
      </c>
      <c r="M10" s="57">
        <f t="shared" si="1"/>
        <v>1108906150</v>
      </c>
      <c r="N10" s="57">
        <f t="shared" si="1"/>
        <v>1049806393</v>
      </c>
      <c r="O10" s="57">
        <f t="shared" si="1"/>
        <v>1049287615</v>
      </c>
      <c r="P10" s="57">
        <f>SUM(P11,P18,P25,P85,P106,P136,P150,P204,P234,P252,P282,P334,P366,P394,P419,P452,P486,P514,P555,P595,P604,P609,P622,P629,P662,P676,P693,P717,P753,P785,P790,P795,P811,P834,P839,P853,P872,P892,P945,P209)</f>
        <v>1204716179</v>
      </c>
      <c r="Q10" s="57">
        <f t="shared" ref="Q10:R10" si="2">SUM(Q11,Q18,Q25,Q85,Q106,Q136,Q150,Q204,Q234,Q252,Q282,Q334,Q366,Q394,Q419,Q452,Q486,Q514,Q555,Q595,Q604,Q609,Q622,Q629,Q662,Q676,Q693,Q717,Q753,Q785,Q790,Q795,Q811,Q834,Q839,Q853,Q872,Q892,Q945,Q209)</f>
        <v>1161300739</v>
      </c>
      <c r="R10" s="57">
        <f t="shared" si="2"/>
        <v>1141434841</v>
      </c>
      <c r="S10" s="57">
        <f>SUM(S11,S18,S25,S85,S106,S136,S150,S204,S234,S252,S282,S334,S366,S394,S419,S452,S486,S514,S555,S595,S604,S609,S622,S629,S662,S676,S693,S717,S753,S785,S790,S795,S811,S834,S839,S853,S872,S892,S945,S209)</f>
        <v>95800029</v>
      </c>
      <c r="T10" s="57">
        <f t="shared" ref="T10:U10" si="3">SUM(T11,T18,T25,T85,T106,T136,T150,T204,T234,T252,T282,T334,T366,T394,T419,T452,T486,T514,T555,T595,T604,T609,T622,T629,T662,T676,T693,T717,T753,T785,T790,T795,T811,T834,T839,T853,T872,T892,T945,T209)</f>
        <v>154899786</v>
      </c>
      <c r="U10" s="57">
        <f t="shared" si="3"/>
        <v>111899624</v>
      </c>
      <c r="V10" s="506">
        <f t="shared" ref="V10:V73" si="4">P10-M10</f>
        <v>95810029</v>
      </c>
      <c r="W10" s="506">
        <f t="shared" ref="W10:W73" si="5">S10-V10</f>
        <v>-10000</v>
      </c>
      <c r="X10" s="34"/>
      <c r="Y10" s="490"/>
      <c r="Z10" s="34"/>
      <c r="AA10" s="34"/>
      <c r="AB10" s="34"/>
      <c r="AH10" s="525"/>
      <c r="AI10" s="525"/>
      <c r="AJ10" s="525"/>
      <c r="AK10" s="525"/>
      <c r="AL10" s="525"/>
    </row>
    <row r="11" spans="1:38" s="2" customFormat="1" ht="20.25" customHeight="1" x14ac:dyDescent="0.3">
      <c r="A11" s="527" t="s">
        <v>208</v>
      </c>
      <c r="B11" s="58" t="s">
        <v>444</v>
      </c>
      <c r="C11" s="59">
        <f t="shared" ref="C11:U12" si="6">SUM(C12)</f>
        <v>1592700</v>
      </c>
      <c r="D11" s="59"/>
      <c r="E11" s="59">
        <f t="shared" si="6"/>
        <v>1592700</v>
      </c>
      <c r="F11" s="59">
        <f t="shared" si="6"/>
        <v>1592700</v>
      </c>
      <c r="G11" s="59">
        <f t="shared" si="6"/>
        <v>1592700</v>
      </c>
      <c r="H11" s="59">
        <f t="shared" si="6"/>
        <v>1592700</v>
      </c>
      <c r="I11" s="59">
        <f t="shared" si="6"/>
        <v>0</v>
      </c>
      <c r="J11" s="59">
        <f t="shared" si="6"/>
        <v>0</v>
      </c>
      <c r="K11" s="59">
        <f t="shared" si="6"/>
        <v>0</v>
      </c>
      <c r="L11" s="59">
        <f t="shared" si="6"/>
        <v>0</v>
      </c>
      <c r="M11" s="59">
        <f t="shared" si="6"/>
        <v>1592700</v>
      </c>
      <c r="N11" s="59">
        <f t="shared" si="6"/>
        <v>1592700</v>
      </c>
      <c r="O11" s="59">
        <f t="shared" si="6"/>
        <v>1592700</v>
      </c>
      <c r="P11" s="59">
        <f t="shared" si="6"/>
        <v>2000000</v>
      </c>
      <c r="Q11" s="59">
        <f t="shared" si="6"/>
        <v>2000000</v>
      </c>
      <c r="R11" s="59">
        <f t="shared" si="6"/>
        <v>2000000</v>
      </c>
      <c r="S11" s="59">
        <f t="shared" si="6"/>
        <v>407300</v>
      </c>
      <c r="T11" s="59">
        <f t="shared" si="6"/>
        <v>407300</v>
      </c>
      <c r="U11" s="59">
        <f t="shared" si="6"/>
        <v>407300</v>
      </c>
      <c r="V11" s="506">
        <f t="shared" si="4"/>
        <v>407300</v>
      </c>
      <c r="W11" s="506">
        <f t="shared" si="5"/>
        <v>0</v>
      </c>
      <c r="X11" s="60" t="s">
        <v>397</v>
      </c>
      <c r="Y11" s="490"/>
      <c r="Z11" s="34"/>
      <c r="AA11" s="34"/>
      <c r="AB11" s="34"/>
      <c r="AH11" s="525"/>
      <c r="AI11" s="525"/>
      <c r="AJ11" s="525"/>
      <c r="AK11" s="525"/>
      <c r="AL11" s="525"/>
    </row>
    <row r="12" spans="1:38" s="2" customFormat="1" ht="17.25" customHeight="1" x14ac:dyDescent="0.3">
      <c r="A12" s="700" t="s">
        <v>1</v>
      </c>
      <c r="B12" s="700"/>
      <c r="C12" s="528">
        <f t="shared" si="6"/>
        <v>1592700</v>
      </c>
      <c r="D12" s="61"/>
      <c r="E12" s="61">
        <f t="shared" si="6"/>
        <v>1592700</v>
      </c>
      <c r="F12" s="529">
        <f t="shared" si="6"/>
        <v>1592700</v>
      </c>
      <c r="G12" s="529">
        <f t="shared" si="6"/>
        <v>1592700</v>
      </c>
      <c r="H12" s="529">
        <f t="shared" si="6"/>
        <v>1592700</v>
      </c>
      <c r="I12" s="529">
        <f t="shared" si="6"/>
        <v>0</v>
      </c>
      <c r="J12" s="529">
        <f t="shared" si="6"/>
        <v>0</v>
      </c>
      <c r="K12" s="529">
        <f t="shared" si="6"/>
        <v>0</v>
      </c>
      <c r="L12" s="529">
        <f t="shared" si="6"/>
        <v>0</v>
      </c>
      <c r="M12" s="529">
        <f t="shared" si="6"/>
        <v>1592700</v>
      </c>
      <c r="N12" s="529">
        <f t="shared" si="6"/>
        <v>1592700</v>
      </c>
      <c r="O12" s="529">
        <f t="shared" si="6"/>
        <v>1592700</v>
      </c>
      <c r="P12" s="529">
        <f t="shared" si="6"/>
        <v>2000000</v>
      </c>
      <c r="Q12" s="529">
        <f t="shared" si="6"/>
        <v>2000000</v>
      </c>
      <c r="R12" s="529">
        <f t="shared" si="6"/>
        <v>2000000</v>
      </c>
      <c r="S12" s="529">
        <f t="shared" si="6"/>
        <v>407300</v>
      </c>
      <c r="T12" s="529">
        <f t="shared" si="6"/>
        <v>407300</v>
      </c>
      <c r="U12" s="529">
        <f t="shared" si="6"/>
        <v>407300</v>
      </c>
      <c r="V12" s="506">
        <f t="shared" si="4"/>
        <v>407300</v>
      </c>
      <c r="W12" s="506">
        <f t="shared" si="5"/>
        <v>0</v>
      </c>
      <c r="X12" s="34"/>
      <c r="Y12" s="490"/>
      <c r="Z12" s="34"/>
      <c r="AA12" s="34"/>
      <c r="AB12" s="34"/>
      <c r="AH12" s="525"/>
      <c r="AI12" s="525"/>
      <c r="AJ12" s="525"/>
      <c r="AK12" s="525"/>
      <c r="AL12" s="525"/>
    </row>
    <row r="13" spans="1:38" s="2" customFormat="1" ht="17.25" customHeight="1" x14ac:dyDescent="0.3">
      <c r="A13" s="530" t="s">
        <v>313</v>
      </c>
      <c r="B13" s="145" t="s">
        <v>314</v>
      </c>
      <c r="C13" s="531">
        <f t="shared" ref="C13:U13" si="7">SUM(C14,C16)</f>
        <v>1592700</v>
      </c>
      <c r="D13" s="141"/>
      <c r="E13" s="141">
        <f t="shared" ref="E13" si="8">SUM(E14,E16)</f>
        <v>1592700</v>
      </c>
      <c r="F13" s="364">
        <f t="shared" si="7"/>
        <v>1592700</v>
      </c>
      <c r="G13" s="364">
        <f t="shared" si="7"/>
        <v>1592700</v>
      </c>
      <c r="H13" s="364">
        <f t="shared" si="7"/>
        <v>1592700</v>
      </c>
      <c r="I13" s="364">
        <f t="shared" si="7"/>
        <v>0</v>
      </c>
      <c r="J13" s="364">
        <f t="shared" si="7"/>
        <v>0</v>
      </c>
      <c r="K13" s="364">
        <f t="shared" si="7"/>
        <v>0</v>
      </c>
      <c r="L13" s="364">
        <f t="shared" si="7"/>
        <v>0</v>
      </c>
      <c r="M13" s="364">
        <f t="shared" si="7"/>
        <v>1592700</v>
      </c>
      <c r="N13" s="364">
        <f t="shared" si="7"/>
        <v>1592700</v>
      </c>
      <c r="O13" s="364">
        <f t="shared" si="7"/>
        <v>1592700</v>
      </c>
      <c r="P13" s="364">
        <f t="shared" si="7"/>
        <v>2000000</v>
      </c>
      <c r="Q13" s="364">
        <f t="shared" si="7"/>
        <v>2000000</v>
      </c>
      <c r="R13" s="364">
        <f t="shared" si="7"/>
        <v>2000000</v>
      </c>
      <c r="S13" s="532">
        <f t="shared" si="7"/>
        <v>407300</v>
      </c>
      <c r="T13" s="532">
        <f t="shared" si="7"/>
        <v>407300</v>
      </c>
      <c r="U13" s="532">
        <f t="shared" si="7"/>
        <v>407300</v>
      </c>
      <c r="V13" s="506">
        <f t="shared" si="4"/>
        <v>407300</v>
      </c>
      <c r="W13" s="506">
        <f t="shared" si="5"/>
        <v>0</v>
      </c>
      <c r="X13" s="34"/>
      <c r="Y13" s="490"/>
      <c r="Z13" s="34"/>
      <c r="AA13" s="34"/>
      <c r="AB13" s="34"/>
      <c r="AH13" s="525"/>
      <c r="AI13" s="525"/>
      <c r="AJ13" s="525"/>
      <c r="AK13" s="525"/>
      <c r="AL13" s="525"/>
    </row>
    <row r="14" spans="1:38" s="2" customFormat="1" ht="15" customHeight="1" x14ac:dyDescent="0.3">
      <c r="A14" s="533" t="s">
        <v>139</v>
      </c>
      <c r="B14" s="89" t="s">
        <v>124</v>
      </c>
      <c r="C14" s="90">
        <f t="shared" ref="C14:U14" si="9">SUM(C15)</f>
        <v>929000</v>
      </c>
      <c r="D14" s="62"/>
      <c r="E14" s="62">
        <f t="shared" si="9"/>
        <v>929000</v>
      </c>
      <c r="F14" s="91">
        <f t="shared" si="9"/>
        <v>929000</v>
      </c>
      <c r="G14" s="91">
        <f t="shared" si="9"/>
        <v>929000</v>
      </c>
      <c r="H14" s="91">
        <f t="shared" si="9"/>
        <v>929000</v>
      </c>
      <c r="I14" s="91">
        <f t="shared" si="9"/>
        <v>0</v>
      </c>
      <c r="J14" s="91">
        <f t="shared" si="9"/>
        <v>0</v>
      </c>
      <c r="K14" s="91">
        <f t="shared" si="9"/>
        <v>0</v>
      </c>
      <c r="L14" s="91">
        <f t="shared" si="9"/>
        <v>0</v>
      </c>
      <c r="M14" s="91">
        <f>SUM(M15)</f>
        <v>929000</v>
      </c>
      <c r="N14" s="91">
        <f t="shared" si="9"/>
        <v>929000</v>
      </c>
      <c r="O14" s="91">
        <f t="shared" si="9"/>
        <v>929000</v>
      </c>
      <c r="P14" s="91">
        <f t="shared" si="9"/>
        <v>1000000</v>
      </c>
      <c r="Q14" s="91">
        <f t="shared" si="9"/>
        <v>1000000</v>
      </c>
      <c r="R14" s="91">
        <f t="shared" si="9"/>
        <v>1000000</v>
      </c>
      <c r="S14" s="91">
        <f t="shared" si="9"/>
        <v>71000</v>
      </c>
      <c r="T14" s="91">
        <f t="shared" si="9"/>
        <v>71000</v>
      </c>
      <c r="U14" s="91">
        <f t="shared" si="9"/>
        <v>71000</v>
      </c>
      <c r="V14" s="506">
        <f t="shared" si="4"/>
        <v>71000</v>
      </c>
      <c r="W14" s="506">
        <f t="shared" si="5"/>
        <v>0</v>
      </c>
      <c r="X14" s="34"/>
      <c r="Y14" s="490"/>
      <c r="Z14" s="34"/>
      <c r="AA14" s="34"/>
      <c r="AB14" s="34"/>
      <c r="AH14" s="525"/>
      <c r="AI14" s="525"/>
      <c r="AJ14" s="525"/>
      <c r="AK14" s="525"/>
      <c r="AL14" s="525"/>
    </row>
    <row r="15" spans="1:38" ht="12.75" customHeight="1" x14ac:dyDescent="0.3">
      <c r="A15" s="534" t="s">
        <v>140</v>
      </c>
      <c r="B15" s="535" t="s">
        <v>46</v>
      </c>
      <c r="C15" s="94">
        <v>929000</v>
      </c>
      <c r="D15" s="63"/>
      <c r="E15" s="63">
        <v>929000</v>
      </c>
      <c r="F15" s="63">
        <v>929000</v>
      </c>
      <c r="G15" s="63">
        <v>929000</v>
      </c>
      <c r="H15" s="63">
        <v>929000</v>
      </c>
      <c r="I15" s="63"/>
      <c r="J15" s="63"/>
      <c r="K15" s="63"/>
      <c r="L15" s="63"/>
      <c r="M15" s="63">
        <f>H15-I15+J15-K15+L15</f>
        <v>929000</v>
      </c>
      <c r="N15" s="63">
        <v>929000</v>
      </c>
      <c r="O15" s="63">
        <v>929000</v>
      </c>
      <c r="P15" s="63">
        <v>1000000</v>
      </c>
      <c r="Q15" s="63">
        <v>1000000</v>
      </c>
      <c r="R15" s="63">
        <v>1000000</v>
      </c>
      <c r="S15" s="70">
        <f>P15-M15</f>
        <v>71000</v>
      </c>
      <c r="T15" s="70">
        <f>P15-N15</f>
        <v>71000</v>
      </c>
      <c r="U15" s="70">
        <f>Q15-O15</f>
        <v>71000</v>
      </c>
      <c r="V15" s="506">
        <f t="shared" si="4"/>
        <v>71000</v>
      </c>
      <c r="W15" s="506">
        <f t="shared" si="5"/>
        <v>0</v>
      </c>
      <c r="X15" s="31"/>
      <c r="Y15" s="486"/>
      <c r="Z15" s="31"/>
      <c r="AA15" s="31"/>
      <c r="AB15" s="31"/>
      <c r="AD15" s="24"/>
    </row>
    <row r="16" spans="1:38" s="2" customFormat="1" ht="14.25" customHeight="1" x14ac:dyDescent="0.3">
      <c r="A16" s="533" t="s">
        <v>141</v>
      </c>
      <c r="B16" s="89" t="s">
        <v>211</v>
      </c>
      <c r="C16" s="90">
        <f t="shared" ref="C16:U16" si="10">SUM(C17)</f>
        <v>663700</v>
      </c>
      <c r="D16" s="62"/>
      <c r="E16" s="62">
        <f t="shared" si="10"/>
        <v>663700</v>
      </c>
      <c r="F16" s="91">
        <f t="shared" si="10"/>
        <v>663700</v>
      </c>
      <c r="G16" s="91">
        <f t="shared" si="10"/>
        <v>663700</v>
      </c>
      <c r="H16" s="91">
        <f t="shared" si="10"/>
        <v>663700</v>
      </c>
      <c r="I16" s="91">
        <f t="shared" si="10"/>
        <v>0</v>
      </c>
      <c r="J16" s="91">
        <f t="shared" si="10"/>
        <v>0</v>
      </c>
      <c r="K16" s="91">
        <f t="shared" si="10"/>
        <v>0</v>
      </c>
      <c r="L16" s="91">
        <f t="shared" si="10"/>
        <v>0</v>
      </c>
      <c r="M16" s="91">
        <f>SUM(M17)</f>
        <v>663700</v>
      </c>
      <c r="N16" s="91">
        <f t="shared" si="10"/>
        <v>663700</v>
      </c>
      <c r="O16" s="91">
        <f t="shared" si="10"/>
        <v>663700</v>
      </c>
      <c r="P16" s="91">
        <f t="shared" si="10"/>
        <v>1000000</v>
      </c>
      <c r="Q16" s="91">
        <f t="shared" si="10"/>
        <v>1000000</v>
      </c>
      <c r="R16" s="91">
        <f t="shared" si="10"/>
        <v>1000000</v>
      </c>
      <c r="S16" s="91">
        <f t="shared" si="10"/>
        <v>336300</v>
      </c>
      <c r="T16" s="91">
        <f t="shared" si="10"/>
        <v>336300</v>
      </c>
      <c r="U16" s="91">
        <f t="shared" si="10"/>
        <v>336300</v>
      </c>
      <c r="V16" s="506">
        <f t="shared" si="4"/>
        <v>336300</v>
      </c>
      <c r="W16" s="506">
        <f t="shared" si="5"/>
        <v>0</v>
      </c>
      <c r="X16" s="34"/>
      <c r="Y16" s="490"/>
      <c r="Z16" s="34"/>
      <c r="AA16" s="34"/>
      <c r="AB16" s="34"/>
      <c r="AH16" s="525"/>
      <c r="AI16" s="525"/>
      <c r="AJ16" s="525"/>
      <c r="AK16" s="525"/>
      <c r="AL16" s="525"/>
    </row>
    <row r="17" spans="1:38" ht="13.05" x14ac:dyDescent="0.3">
      <c r="A17" s="534" t="s">
        <v>142</v>
      </c>
      <c r="B17" s="535" t="s">
        <v>130</v>
      </c>
      <c r="C17" s="94">
        <v>663700</v>
      </c>
      <c r="D17" s="63"/>
      <c r="E17" s="63">
        <v>663700</v>
      </c>
      <c r="F17" s="63">
        <v>663700</v>
      </c>
      <c r="G17" s="63">
        <v>663700</v>
      </c>
      <c r="H17" s="63">
        <v>663700</v>
      </c>
      <c r="I17" s="63"/>
      <c r="J17" s="63"/>
      <c r="K17" s="63"/>
      <c r="L17" s="63"/>
      <c r="M17" s="63">
        <f>H17-I17+J17-K17+L17</f>
        <v>663700</v>
      </c>
      <c r="N17" s="63">
        <v>663700</v>
      </c>
      <c r="O17" s="63">
        <v>663700</v>
      </c>
      <c r="P17" s="63">
        <v>1000000</v>
      </c>
      <c r="Q17" s="63">
        <v>1000000</v>
      </c>
      <c r="R17" s="63">
        <v>1000000</v>
      </c>
      <c r="S17" s="70">
        <f>P17-M17</f>
        <v>336300</v>
      </c>
      <c r="T17" s="70">
        <f>P17-N17</f>
        <v>336300</v>
      </c>
      <c r="U17" s="70">
        <f>Q17-O17</f>
        <v>336300</v>
      </c>
      <c r="V17" s="506">
        <f t="shared" si="4"/>
        <v>336300</v>
      </c>
      <c r="W17" s="506">
        <f t="shared" si="5"/>
        <v>0</v>
      </c>
      <c r="X17" s="31"/>
      <c r="Y17" s="486"/>
      <c r="Z17" s="31"/>
      <c r="AA17" s="31"/>
      <c r="AB17" s="31"/>
    </row>
    <row r="18" spans="1:38" s="2" customFormat="1" ht="19.5" customHeight="1" x14ac:dyDescent="0.3">
      <c r="A18" s="527" t="s">
        <v>359</v>
      </c>
      <c r="B18" s="58" t="s">
        <v>335</v>
      </c>
      <c r="C18" s="536">
        <f t="shared" ref="C18:U19" si="11">SUM(C19)</f>
        <v>796400</v>
      </c>
      <c r="D18" s="64"/>
      <c r="E18" s="64">
        <f t="shared" si="11"/>
        <v>796400</v>
      </c>
      <c r="F18" s="59">
        <f t="shared" si="11"/>
        <v>796400</v>
      </c>
      <c r="G18" s="59">
        <f t="shared" si="11"/>
        <v>796400</v>
      </c>
      <c r="H18" s="59">
        <f t="shared" si="11"/>
        <v>796400</v>
      </c>
      <c r="I18" s="59">
        <f t="shared" si="11"/>
        <v>0</v>
      </c>
      <c r="J18" s="59">
        <f t="shared" si="11"/>
        <v>0</v>
      </c>
      <c r="K18" s="59">
        <f t="shared" si="11"/>
        <v>0</v>
      </c>
      <c r="L18" s="59">
        <f t="shared" si="11"/>
        <v>0</v>
      </c>
      <c r="M18" s="59">
        <f t="shared" si="11"/>
        <v>796400</v>
      </c>
      <c r="N18" s="59">
        <f t="shared" si="11"/>
        <v>796400</v>
      </c>
      <c r="O18" s="59">
        <f t="shared" si="11"/>
        <v>796400</v>
      </c>
      <c r="P18" s="59">
        <f t="shared" si="11"/>
        <v>1000000</v>
      </c>
      <c r="Q18" s="59">
        <f t="shared" si="11"/>
        <v>1000000</v>
      </c>
      <c r="R18" s="59">
        <f t="shared" si="11"/>
        <v>1000000</v>
      </c>
      <c r="S18" s="59">
        <f t="shared" si="11"/>
        <v>203600</v>
      </c>
      <c r="T18" s="59">
        <f t="shared" si="11"/>
        <v>203600</v>
      </c>
      <c r="U18" s="59">
        <f t="shared" si="11"/>
        <v>203600</v>
      </c>
      <c r="V18" s="506">
        <f t="shared" si="4"/>
        <v>203600</v>
      </c>
      <c r="W18" s="506">
        <f t="shared" si="5"/>
        <v>0</v>
      </c>
      <c r="X18" s="60" t="s">
        <v>397</v>
      </c>
      <c r="Y18" s="490"/>
      <c r="Z18" s="34"/>
      <c r="AA18" s="34"/>
      <c r="AB18" s="34"/>
      <c r="AH18" s="525"/>
      <c r="AI18" s="525"/>
      <c r="AJ18" s="525"/>
      <c r="AK18" s="525"/>
      <c r="AL18" s="525"/>
    </row>
    <row r="19" spans="1:38" s="2" customFormat="1" ht="17.25" customHeight="1" x14ac:dyDescent="0.3">
      <c r="A19" s="700" t="s">
        <v>1</v>
      </c>
      <c r="B19" s="700"/>
      <c r="C19" s="528">
        <f t="shared" si="11"/>
        <v>796400</v>
      </c>
      <c r="D19" s="61"/>
      <c r="E19" s="61">
        <f t="shared" si="11"/>
        <v>796400</v>
      </c>
      <c r="F19" s="529">
        <f t="shared" si="11"/>
        <v>796400</v>
      </c>
      <c r="G19" s="529">
        <f t="shared" si="11"/>
        <v>796400</v>
      </c>
      <c r="H19" s="529">
        <f t="shared" si="11"/>
        <v>796400</v>
      </c>
      <c r="I19" s="529">
        <f t="shared" si="11"/>
        <v>0</v>
      </c>
      <c r="J19" s="529">
        <f t="shared" si="11"/>
        <v>0</v>
      </c>
      <c r="K19" s="529">
        <f t="shared" si="11"/>
        <v>0</v>
      </c>
      <c r="L19" s="529">
        <f t="shared" si="11"/>
        <v>0</v>
      </c>
      <c r="M19" s="529">
        <f t="shared" si="11"/>
        <v>796400</v>
      </c>
      <c r="N19" s="529">
        <f t="shared" si="11"/>
        <v>796400</v>
      </c>
      <c r="O19" s="529">
        <f t="shared" si="11"/>
        <v>796400</v>
      </c>
      <c r="P19" s="529">
        <f t="shared" si="11"/>
        <v>1000000</v>
      </c>
      <c r="Q19" s="529">
        <f t="shared" si="11"/>
        <v>1000000</v>
      </c>
      <c r="R19" s="529">
        <f t="shared" si="11"/>
        <v>1000000</v>
      </c>
      <c r="S19" s="529">
        <f t="shared" si="11"/>
        <v>203600</v>
      </c>
      <c r="T19" s="529">
        <f t="shared" si="11"/>
        <v>203600</v>
      </c>
      <c r="U19" s="529">
        <f t="shared" si="11"/>
        <v>203600</v>
      </c>
      <c r="V19" s="506">
        <f t="shared" si="4"/>
        <v>203600</v>
      </c>
      <c r="W19" s="506">
        <f t="shared" si="5"/>
        <v>0</v>
      </c>
      <c r="X19" s="34"/>
      <c r="Y19" s="490"/>
      <c r="Z19" s="34"/>
      <c r="AA19" s="34"/>
      <c r="AB19" s="34"/>
      <c r="AH19" s="525"/>
      <c r="AI19" s="525"/>
      <c r="AJ19" s="525"/>
      <c r="AK19" s="525"/>
      <c r="AL19" s="525"/>
    </row>
    <row r="20" spans="1:38" s="2" customFormat="1" ht="17.25" customHeight="1" x14ac:dyDescent="0.3">
      <c r="A20" s="530" t="s">
        <v>313</v>
      </c>
      <c r="B20" s="145" t="s">
        <v>314</v>
      </c>
      <c r="C20" s="531">
        <f t="shared" ref="C20:U20" si="12">SUM(C21,C23)</f>
        <v>796400</v>
      </c>
      <c r="D20" s="141"/>
      <c r="E20" s="141">
        <f t="shared" ref="E20" si="13">SUM(E21,E23)</f>
        <v>796400</v>
      </c>
      <c r="F20" s="364">
        <f t="shared" si="12"/>
        <v>796400</v>
      </c>
      <c r="G20" s="364">
        <f t="shared" si="12"/>
        <v>796400</v>
      </c>
      <c r="H20" s="364">
        <f t="shared" si="12"/>
        <v>796400</v>
      </c>
      <c r="I20" s="364">
        <f t="shared" si="12"/>
        <v>0</v>
      </c>
      <c r="J20" s="364">
        <f t="shared" si="12"/>
        <v>0</v>
      </c>
      <c r="K20" s="364">
        <f t="shared" si="12"/>
        <v>0</v>
      </c>
      <c r="L20" s="364">
        <f t="shared" si="12"/>
        <v>0</v>
      </c>
      <c r="M20" s="364">
        <f t="shared" si="12"/>
        <v>796400</v>
      </c>
      <c r="N20" s="364">
        <f t="shared" si="12"/>
        <v>796400</v>
      </c>
      <c r="O20" s="364">
        <f t="shared" si="12"/>
        <v>796400</v>
      </c>
      <c r="P20" s="364">
        <f t="shared" si="12"/>
        <v>1000000</v>
      </c>
      <c r="Q20" s="364">
        <f t="shared" si="12"/>
        <v>1000000</v>
      </c>
      <c r="R20" s="364">
        <f t="shared" si="12"/>
        <v>1000000</v>
      </c>
      <c r="S20" s="532">
        <f t="shared" si="12"/>
        <v>203600</v>
      </c>
      <c r="T20" s="532">
        <f t="shared" si="12"/>
        <v>203600</v>
      </c>
      <c r="U20" s="532">
        <f t="shared" si="12"/>
        <v>203600</v>
      </c>
      <c r="V20" s="506">
        <f t="shared" si="4"/>
        <v>203600</v>
      </c>
      <c r="W20" s="506">
        <f t="shared" si="5"/>
        <v>0</v>
      </c>
      <c r="X20" s="34"/>
      <c r="Y20" s="490"/>
      <c r="Z20" s="34"/>
      <c r="AA20" s="34"/>
      <c r="AB20" s="34"/>
      <c r="AH20" s="525"/>
      <c r="AI20" s="525"/>
      <c r="AJ20" s="525"/>
      <c r="AK20" s="525"/>
      <c r="AL20" s="525"/>
    </row>
    <row r="21" spans="1:38" s="2" customFormat="1" ht="15" customHeight="1" x14ac:dyDescent="0.3">
      <c r="A21" s="533" t="s">
        <v>139</v>
      </c>
      <c r="B21" s="89" t="s">
        <v>124</v>
      </c>
      <c r="C21" s="90">
        <f t="shared" ref="C21:U21" si="14">SUM(C22)</f>
        <v>796400</v>
      </c>
      <c r="D21" s="62"/>
      <c r="E21" s="62">
        <f t="shared" si="14"/>
        <v>796400</v>
      </c>
      <c r="F21" s="91">
        <f t="shared" si="14"/>
        <v>796400</v>
      </c>
      <c r="G21" s="91">
        <f t="shared" si="14"/>
        <v>796400</v>
      </c>
      <c r="H21" s="91">
        <f t="shared" si="14"/>
        <v>796400</v>
      </c>
      <c r="I21" s="91">
        <f t="shared" si="14"/>
        <v>0</v>
      </c>
      <c r="J21" s="91">
        <f t="shared" si="14"/>
        <v>0</v>
      </c>
      <c r="K21" s="91">
        <f t="shared" si="14"/>
        <v>0</v>
      </c>
      <c r="L21" s="91">
        <f t="shared" si="14"/>
        <v>0</v>
      </c>
      <c r="M21" s="91">
        <f>SUM(M22)</f>
        <v>796400</v>
      </c>
      <c r="N21" s="91">
        <f t="shared" si="14"/>
        <v>796400</v>
      </c>
      <c r="O21" s="91">
        <f t="shared" si="14"/>
        <v>796400</v>
      </c>
      <c r="P21" s="91">
        <f t="shared" si="14"/>
        <v>1000000</v>
      </c>
      <c r="Q21" s="91">
        <f t="shared" si="14"/>
        <v>1000000</v>
      </c>
      <c r="R21" s="91">
        <f t="shared" si="14"/>
        <v>1000000</v>
      </c>
      <c r="S21" s="91">
        <f t="shared" si="14"/>
        <v>203600</v>
      </c>
      <c r="T21" s="91">
        <f t="shared" si="14"/>
        <v>203600</v>
      </c>
      <c r="U21" s="91">
        <f t="shared" si="14"/>
        <v>203600</v>
      </c>
      <c r="V21" s="506">
        <f t="shared" si="4"/>
        <v>203600</v>
      </c>
      <c r="W21" s="506">
        <f t="shared" si="5"/>
        <v>0</v>
      </c>
      <c r="X21" s="34"/>
      <c r="Y21" s="490"/>
      <c r="Z21" s="34"/>
      <c r="AA21" s="34"/>
      <c r="AB21" s="34"/>
      <c r="AH21" s="525"/>
      <c r="AI21" s="525"/>
      <c r="AJ21" s="525"/>
      <c r="AK21" s="525"/>
      <c r="AL21" s="525"/>
    </row>
    <row r="22" spans="1:38" ht="12.75" customHeight="1" x14ac:dyDescent="0.3">
      <c r="A22" s="534" t="s">
        <v>140</v>
      </c>
      <c r="B22" s="535" t="s">
        <v>46</v>
      </c>
      <c r="C22" s="94">
        <v>796400</v>
      </c>
      <c r="D22" s="63"/>
      <c r="E22" s="63">
        <v>796400</v>
      </c>
      <c r="F22" s="63">
        <v>796400</v>
      </c>
      <c r="G22" s="63">
        <v>796400</v>
      </c>
      <c r="H22" s="63">
        <v>796400</v>
      </c>
      <c r="I22" s="63"/>
      <c r="J22" s="63"/>
      <c r="K22" s="63"/>
      <c r="L22" s="63"/>
      <c r="M22" s="63">
        <f>H22-I22+J22-K22+L22</f>
        <v>796400</v>
      </c>
      <c r="N22" s="63">
        <v>796400</v>
      </c>
      <c r="O22" s="63">
        <v>796400</v>
      </c>
      <c r="P22" s="63">
        <v>1000000</v>
      </c>
      <c r="Q22" s="63">
        <v>1000000</v>
      </c>
      <c r="R22" s="63">
        <v>1000000</v>
      </c>
      <c r="S22" s="70">
        <f>P22-M22</f>
        <v>203600</v>
      </c>
      <c r="T22" s="70">
        <f>P22-N22</f>
        <v>203600</v>
      </c>
      <c r="U22" s="70">
        <f>Q22-O22</f>
        <v>203600</v>
      </c>
      <c r="V22" s="506">
        <f t="shared" si="4"/>
        <v>203600</v>
      </c>
      <c r="W22" s="506">
        <f t="shared" si="5"/>
        <v>0</v>
      </c>
      <c r="X22" s="31"/>
      <c r="Y22" s="486"/>
      <c r="Z22" s="31"/>
      <c r="AA22" s="31"/>
      <c r="AB22" s="31"/>
    </row>
    <row r="23" spans="1:38" s="2" customFormat="1" ht="14.25" hidden="1" customHeight="1" x14ac:dyDescent="0.3">
      <c r="A23" s="533" t="s">
        <v>141</v>
      </c>
      <c r="B23" s="89" t="s">
        <v>211</v>
      </c>
      <c r="C23" s="90">
        <f t="shared" ref="C23:U23" si="15">SUM(C24)</f>
        <v>0</v>
      </c>
      <c r="D23" s="62"/>
      <c r="E23" s="62">
        <f t="shared" si="15"/>
        <v>0</v>
      </c>
      <c r="F23" s="91">
        <f t="shared" si="15"/>
        <v>0</v>
      </c>
      <c r="G23" s="91">
        <f t="shared" si="15"/>
        <v>0</v>
      </c>
      <c r="H23" s="91">
        <f t="shared" si="15"/>
        <v>0</v>
      </c>
      <c r="I23" s="91"/>
      <c r="J23" s="91"/>
      <c r="K23" s="91"/>
      <c r="L23" s="91"/>
      <c r="M23" s="91"/>
      <c r="N23" s="91">
        <f t="shared" si="15"/>
        <v>0</v>
      </c>
      <c r="O23" s="91">
        <f t="shared" si="15"/>
        <v>0</v>
      </c>
      <c r="P23" s="91"/>
      <c r="Q23" s="91"/>
      <c r="R23" s="91"/>
      <c r="S23" s="91">
        <f t="shared" si="15"/>
        <v>0</v>
      </c>
      <c r="T23" s="91"/>
      <c r="U23" s="91">
        <f t="shared" si="15"/>
        <v>0</v>
      </c>
      <c r="V23" s="506">
        <f t="shared" si="4"/>
        <v>0</v>
      </c>
      <c r="W23" s="506">
        <f t="shared" si="5"/>
        <v>0</v>
      </c>
      <c r="X23" s="34"/>
      <c r="Y23" s="490"/>
      <c r="Z23" s="34"/>
      <c r="AA23" s="34"/>
      <c r="AB23" s="34"/>
      <c r="AH23" s="525"/>
      <c r="AI23" s="525"/>
      <c r="AJ23" s="525"/>
      <c r="AK23" s="525"/>
      <c r="AL23" s="525"/>
    </row>
    <row r="24" spans="1:38" ht="13.05" hidden="1" x14ac:dyDescent="0.3">
      <c r="A24" s="534" t="s">
        <v>142</v>
      </c>
      <c r="B24" s="535" t="s">
        <v>130</v>
      </c>
      <c r="C24" s="94"/>
      <c r="D24" s="63"/>
      <c r="E24" s="63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506">
        <f t="shared" si="4"/>
        <v>0</v>
      </c>
      <c r="W24" s="506">
        <f t="shared" si="5"/>
        <v>0</v>
      </c>
      <c r="X24" s="31"/>
      <c r="Y24" s="486"/>
      <c r="Z24" s="31"/>
      <c r="AA24" s="31"/>
      <c r="AB24" s="31"/>
    </row>
    <row r="25" spans="1:38" ht="18.75" customHeight="1" x14ac:dyDescent="0.3">
      <c r="A25" s="537" t="s">
        <v>2</v>
      </c>
      <c r="B25" s="538" t="s">
        <v>3</v>
      </c>
      <c r="C25" s="539">
        <f t="shared" ref="C25:U25" si="16">SUM(C26)</f>
        <v>717763640</v>
      </c>
      <c r="D25" s="65"/>
      <c r="E25" s="65">
        <f t="shared" si="16"/>
        <v>777716440</v>
      </c>
      <c r="F25" s="365">
        <f t="shared" si="16"/>
        <v>723594088</v>
      </c>
      <c r="G25" s="365">
        <f t="shared" si="16"/>
        <v>727923473</v>
      </c>
      <c r="H25" s="365">
        <f t="shared" si="16"/>
        <v>898838800</v>
      </c>
      <c r="I25" s="365">
        <f t="shared" si="16"/>
        <v>299000</v>
      </c>
      <c r="J25" s="365">
        <f t="shared" si="16"/>
        <v>3482000</v>
      </c>
      <c r="K25" s="365">
        <f t="shared" si="16"/>
        <v>300000</v>
      </c>
      <c r="L25" s="365">
        <f t="shared" si="16"/>
        <v>64700000</v>
      </c>
      <c r="M25" s="365">
        <f t="shared" si="16"/>
        <v>966421800</v>
      </c>
      <c r="N25" s="365">
        <f t="shared" si="16"/>
        <v>913499000</v>
      </c>
      <c r="O25" s="365">
        <f t="shared" si="16"/>
        <v>920023265</v>
      </c>
      <c r="P25" s="365">
        <f t="shared" si="16"/>
        <v>1000977179</v>
      </c>
      <c r="Q25" s="365">
        <f t="shared" si="16"/>
        <v>1014081239</v>
      </c>
      <c r="R25" s="365">
        <f t="shared" si="16"/>
        <v>1013990841</v>
      </c>
      <c r="S25" s="365">
        <f t="shared" si="16"/>
        <v>34555379</v>
      </c>
      <c r="T25" s="365">
        <f t="shared" si="16"/>
        <v>87478179</v>
      </c>
      <c r="U25" s="365">
        <f t="shared" si="16"/>
        <v>94057974</v>
      </c>
      <c r="V25" s="506">
        <f t="shared" si="4"/>
        <v>34555379</v>
      </c>
      <c r="W25" s="506">
        <f t="shared" si="5"/>
        <v>0</v>
      </c>
      <c r="X25" s="60"/>
      <c r="Y25" s="490"/>
      <c r="Z25" s="31"/>
      <c r="AA25" s="31"/>
      <c r="AB25" s="31"/>
    </row>
    <row r="26" spans="1:38" ht="18" customHeight="1" x14ac:dyDescent="0.3">
      <c r="A26" s="700" t="s">
        <v>1</v>
      </c>
      <c r="B26" s="700"/>
      <c r="C26" s="85">
        <f>SUM(C27,C36,C68,C74,C78)</f>
        <v>717763640</v>
      </c>
      <c r="D26" s="66"/>
      <c r="E26" s="66">
        <f t="shared" ref="E26:U26" si="17">SUM(E27,E36,E68,E74,E78)</f>
        <v>777716440</v>
      </c>
      <c r="F26" s="86">
        <f t="shared" si="17"/>
        <v>723594088</v>
      </c>
      <c r="G26" s="86">
        <f t="shared" si="17"/>
        <v>727923473</v>
      </c>
      <c r="H26" s="86">
        <f t="shared" si="17"/>
        <v>898838800</v>
      </c>
      <c r="I26" s="86">
        <f t="shared" si="17"/>
        <v>299000</v>
      </c>
      <c r="J26" s="86">
        <f t="shared" si="17"/>
        <v>3482000</v>
      </c>
      <c r="K26" s="86">
        <f t="shared" si="17"/>
        <v>300000</v>
      </c>
      <c r="L26" s="86">
        <f t="shared" si="17"/>
        <v>64700000</v>
      </c>
      <c r="M26" s="86">
        <f t="shared" si="17"/>
        <v>966421800</v>
      </c>
      <c r="N26" s="86">
        <f t="shared" si="17"/>
        <v>913499000</v>
      </c>
      <c r="O26" s="86">
        <f t="shared" si="17"/>
        <v>920023265</v>
      </c>
      <c r="P26" s="86">
        <f t="shared" si="17"/>
        <v>1000977179</v>
      </c>
      <c r="Q26" s="86">
        <f t="shared" si="17"/>
        <v>1014081239</v>
      </c>
      <c r="R26" s="86">
        <f t="shared" si="17"/>
        <v>1013990841</v>
      </c>
      <c r="S26" s="86">
        <f t="shared" si="17"/>
        <v>34555379</v>
      </c>
      <c r="T26" s="86">
        <f t="shared" si="17"/>
        <v>87478179</v>
      </c>
      <c r="U26" s="86">
        <f t="shared" si="17"/>
        <v>94057974</v>
      </c>
      <c r="V26" s="506">
        <f t="shared" si="4"/>
        <v>34555379</v>
      </c>
      <c r="W26" s="506">
        <f t="shared" si="5"/>
        <v>0</v>
      </c>
      <c r="X26" s="31"/>
      <c r="Y26" s="486"/>
      <c r="Z26" s="31"/>
      <c r="AA26" s="31"/>
      <c r="AB26" s="31"/>
    </row>
    <row r="27" spans="1:38" ht="18" customHeight="1" x14ac:dyDescent="0.3">
      <c r="A27" s="540" t="s">
        <v>315</v>
      </c>
      <c r="B27" s="145" t="s">
        <v>316</v>
      </c>
      <c r="C27" s="146">
        <f t="shared" ref="C27" si="18">SUM(C28,C31,C33)</f>
        <v>615654640</v>
      </c>
      <c r="D27" s="142"/>
      <c r="E27" s="142">
        <f t="shared" ref="E27:U27" si="19">SUM(E28,E31,E33)</f>
        <v>662387640</v>
      </c>
      <c r="F27" s="147">
        <f t="shared" si="19"/>
        <v>619999088</v>
      </c>
      <c r="G27" s="147">
        <f t="shared" si="19"/>
        <v>624328473</v>
      </c>
      <c r="H27" s="147">
        <f t="shared" si="19"/>
        <v>794102000</v>
      </c>
      <c r="I27" s="147">
        <f t="shared" si="19"/>
        <v>0</v>
      </c>
      <c r="J27" s="147">
        <f t="shared" si="19"/>
        <v>0</v>
      </c>
      <c r="K27" s="147">
        <f t="shared" si="19"/>
        <v>0</v>
      </c>
      <c r="L27" s="147">
        <f t="shared" si="19"/>
        <v>64700000</v>
      </c>
      <c r="M27" s="147">
        <f t="shared" si="19"/>
        <v>858802000</v>
      </c>
      <c r="N27" s="147">
        <f t="shared" si="19"/>
        <v>807817000</v>
      </c>
      <c r="O27" s="147">
        <f t="shared" si="19"/>
        <v>812829000</v>
      </c>
      <c r="P27" s="147">
        <f t="shared" si="19"/>
        <v>888232179</v>
      </c>
      <c r="Q27" s="147">
        <f t="shared" si="19"/>
        <v>893336239</v>
      </c>
      <c r="R27" s="147">
        <f t="shared" si="19"/>
        <v>897745841</v>
      </c>
      <c r="S27" s="87">
        <f t="shared" si="19"/>
        <v>29430179</v>
      </c>
      <c r="T27" s="87">
        <f t="shared" si="19"/>
        <v>80415179</v>
      </c>
      <c r="U27" s="87">
        <f t="shared" si="19"/>
        <v>80507239</v>
      </c>
      <c r="V27" s="506">
        <f t="shared" si="4"/>
        <v>29430179</v>
      </c>
      <c r="W27" s="506">
        <f t="shared" si="5"/>
        <v>0</v>
      </c>
      <c r="X27" s="60" t="s">
        <v>397</v>
      </c>
      <c r="Y27" s="490"/>
      <c r="Z27" s="31"/>
      <c r="AA27" s="47"/>
      <c r="AB27" s="31"/>
      <c r="AD27" s="3">
        <f>M27-H27</f>
        <v>64700000</v>
      </c>
    </row>
    <row r="28" spans="1:38" x14ac:dyDescent="0.3">
      <c r="A28" s="541">
        <v>311</v>
      </c>
      <c r="B28" s="89" t="s">
        <v>4</v>
      </c>
      <c r="C28" s="90">
        <f t="shared" ref="C28:U28" si="20">SUM(C29:C30)</f>
        <v>477692640</v>
      </c>
      <c r="D28" s="62"/>
      <c r="E28" s="62">
        <f t="shared" ref="E28" si="21">SUM(E29:E30)</f>
        <v>515635640</v>
      </c>
      <c r="F28" s="91">
        <f t="shared" si="20"/>
        <v>481140088</v>
      </c>
      <c r="G28" s="91">
        <f t="shared" si="20"/>
        <v>484707473</v>
      </c>
      <c r="H28" s="91">
        <f t="shared" si="20"/>
        <v>615729000</v>
      </c>
      <c r="I28" s="91">
        <f t="shared" si="20"/>
        <v>0</v>
      </c>
      <c r="J28" s="91">
        <f t="shared" si="20"/>
        <v>0</v>
      </c>
      <c r="K28" s="91">
        <f t="shared" si="20"/>
        <v>0</v>
      </c>
      <c r="L28" s="91">
        <f t="shared" si="20"/>
        <v>58000000</v>
      </c>
      <c r="M28" s="91">
        <f>SUM(M29:M30)</f>
        <v>673729000</v>
      </c>
      <c r="N28" s="91">
        <f t="shared" si="20"/>
        <v>625177000</v>
      </c>
      <c r="O28" s="91">
        <f t="shared" si="20"/>
        <v>628920000</v>
      </c>
      <c r="P28" s="91">
        <f t="shared" si="20"/>
        <v>701232179</v>
      </c>
      <c r="Q28" s="91">
        <f t="shared" si="20"/>
        <v>703336239</v>
      </c>
      <c r="R28" s="91">
        <f t="shared" si="20"/>
        <v>705245841</v>
      </c>
      <c r="S28" s="91">
        <f t="shared" si="20"/>
        <v>27503179</v>
      </c>
      <c r="T28" s="91">
        <f t="shared" si="20"/>
        <v>76055179</v>
      </c>
      <c r="U28" s="91">
        <f t="shared" si="20"/>
        <v>74416239</v>
      </c>
      <c r="V28" s="506">
        <f t="shared" si="4"/>
        <v>27503179</v>
      </c>
      <c r="W28" s="506">
        <f t="shared" si="5"/>
        <v>0</v>
      </c>
      <c r="X28" s="31"/>
      <c r="Y28" s="486"/>
      <c r="Z28" s="31"/>
      <c r="AA28" s="31"/>
      <c r="AB28" s="31"/>
    </row>
    <row r="29" spans="1:38" ht="13.2" customHeight="1" x14ac:dyDescent="0.3">
      <c r="A29" s="542">
        <v>3111</v>
      </c>
      <c r="B29" s="535" t="s">
        <v>5</v>
      </c>
      <c r="C29" s="94">
        <v>467738640</v>
      </c>
      <c r="D29" s="63"/>
      <c r="E29" s="63">
        <v>503481640</v>
      </c>
      <c r="F29" s="95">
        <f>432200000+613+22773193+16212282</f>
        <v>471186088</v>
      </c>
      <c r="G29" s="95">
        <f>432584000+1371+25838259+16329843</f>
        <v>474753473</v>
      </c>
      <c r="H29" s="366">
        <v>602312000</v>
      </c>
      <c r="I29" s="366"/>
      <c r="J29" s="366"/>
      <c r="K29" s="70"/>
      <c r="L29" s="70">
        <v>52000000</v>
      </c>
      <c r="M29" s="63">
        <f>H29-I29+J29-K29+L29</f>
        <v>654312000</v>
      </c>
      <c r="N29" s="366">
        <f>495898000+112862000</f>
        <v>608760000</v>
      </c>
      <c r="O29" s="366">
        <f>498488000+114015000</f>
        <v>612503000</v>
      </c>
      <c r="P29" s="70">
        <f>691138000+5000000-16781000-124821</f>
        <v>679232179</v>
      </c>
      <c r="Q29" s="70">
        <f>700000000-19163761</f>
        <v>680836239</v>
      </c>
      <c r="R29" s="70">
        <v>682245841</v>
      </c>
      <c r="S29" s="70">
        <f>P29-M29</f>
        <v>24920179</v>
      </c>
      <c r="T29" s="70">
        <f>P29-N29</f>
        <v>70472179</v>
      </c>
      <c r="U29" s="70">
        <f>Q29-O29</f>
        <v>68333239</v>
      </c>
      <c r="V29" s="506">
        <f t="shared" si="4"/>
        <v>24920179</v>
      </c>
      <c r="W29" s="506">
        <f t="shared" si="5"/>
        <v>0</v>
      </c>
      <c r="X29" s="68" t="s">
        <v>412</v>
      </c>
      <c r="Y29" s="491"/>
      <c r="Z29" s="31"/>
      <c r="AA29" s="31"/>
      <c r="AB29" s="31"/>
    </row>
    <row r="30" spans="1:38" x14ac:dyDescent="0.3">
      <c r="A30" s="542">
        <v>3113</v>
      </c>
      <c r="B30" s="535" t="s">
        <v>6</v>
      </c>
      <c r="C30" s="94">
        <v>9954000</v>
      </c>
      <c r="D30" s="63"/>
      <c r="E30" s="63">
        <v>12154000</v>
      </c>
      <c r="F30" s="95">
        <v>9954000</v>
      </c>
      <c r="G30" s="95">
        <v>9954000</v>
      </c>
      <c r="H30" s="95">
        <f>16417000-3000000</f>
        <v>13417000</v>
      </c>
      <c r="I30" s="95"/>
      <c r="J30" s="95"/>
      <c r="K30" s="63"/>
      <c r="L30" s="63">
        <v>6000000</v>
      </c>
      <c r="M30" s="63">
        <f>H30-I30+J30-K30+L30</f>
        <v>19417000</v>
      </c>
      <c r="N30" s="95">
        <v>16417000</v>
      </c>
      <c r="O30" s="95">
        <v>16417000</v>
      </c>
      <c r="P30" s="63">
        <f>24775000-2775000</f>
        <v>22000000</v>
      </c>
      <c r="Q30" s="63">
        <v>22500000</v>
      </c>
      <c r="R30" s="63">
        <v>23000000</v>
      </c>
      <c r="S30" s="70">
        <f>P30-M30</f>
        <v>2583000</v>
      </c>
      <c r="T30" s="70">
        <f>P30-N30</f>
        <v>5583000</v>
      </c>
      <c r="U30" s="70">
        <f>Q30-O30</f>
        <v>6083000</v>
      </c>
      <c r="V30" s="506">
        <f t="shared" si="4"/>
        <v>2583000</v>
      </c>
      <c r="W30" s="506">
        <f t="shared" si="5"/>
        <v>0</v>
      </c>
      <c r="X30" s="31"/>
      <c r="Y30" s="491"/>
      <c r="Z30" s="31"/>
      <c r="AA30" s="31"/>
      <c r="AB30" s="31"/>
      <c r="AD30" s="24"/>
    </row>
    <row r="31" spans="1:38" ht="13.05" x14ac:dyDescent="0.3">
      <c r="A31" s="541">
        <v>312</v>
      </c>
      <c r="B31" s="89" t="s">
        <v>7</v>
      </c>
      <c r="C31" s="90">
        <f t="shared" ref="C31:U31" si="22">SUM(C32)</f>
        <v>26611000</v>
      </c>
      <c r="D31" s="62"/>
      <c r="E31" s="62">
        <f t="shared" si="22"/>
        <v>32411000</v>
      </c>
      <c r="F31" s="91">
        <f t="shared" si="22"/>
        <v>26744000</v>
      </c>
      <c r="G31" s="91">
        <f t="shared" si="22"/>
        <v>26877000</v>
      </c>
      <c r="H31" s="91">
        <f t="shared" si="22"/>
        <v>37400000</v>
      </c>
      <c r="I31" s="91">
        <f t="shared" si="22"/>
        <v>0</v>
      </c>
      <c r="J31" s="91">
        <f t="shared" si="22"/>
        <v>0</v>
      </c>
      <c r="K31" s="91">
        <f t="shared" si="22"/>
        <v>0</v>
      </c>
      <c r="L31" s="91">
        <f t="shared" si="22"/>
        <v>1000000</v>
      </c>
      <c r="M31" s="91">
        <f>SUM(M32)</f>
        <v>38400000</v>
      </c>
      <c r="N31" s="91">
        <f t="shared" si="22"/>
        <v>39400000</v>
      </c>
      <c r="O31" s="91">
        <f t="shared" si="22"/>
        <v>39400000</v>
      </c>
      <c r="P31" s="91">
        <f t="shared" si="22"/>
        <v>38000000</v>
      </c>
      <c r="Q31" s="91">
        <f t="shared" si="22"/>
        <v>38500000</v>
      </c>
      <c r="R31" s="91">
        <f t="shared" si="22"/>
        <v>39000000</v>
      </c>
      <c r="S31" s="91">
        <f t="shared" si="22"/>
        <v>-400000</v>
      </c>
      <c r="T31" s="91">
        <f t="shared" si="22"/>
        <v>-1400000</v>
      </c>
      <c r="U31" s="91">
        <f t="shared" si="22"/>
        <v>-900000</v>
      </c>
      <c r="V31" s="506">
        <f t="shared" si="4"/>
        <v>-400000</v>
      </c>
      <c r="W31" s="506">
        <f t="shared" si="5"/>
        <v>0</v>
      </c>
      <c r="X31" s="31"/>
      <c r="Y31" s="486"/>
      <c r="Z31" s="31"/>
      <c r="AA31" s="31"/>
      <c r="AB31" s="31"/>
    </row>
    <row r="32" spans="1:38" x14ac:dyDescent="0.3">
      <c r="A32" s="542">
        <v>3121</v>
      </c>
      <c r="B32" s="535" t="s">
        <v>7</v>
      </c>
      <c r="C32" s="94">
        <f>24553000+2058000</f>
        <v>26611000</v>
      </c>
      <c r="D32" s="63"/>
      <c r="E32" s="63">
        <v>32411000</v>
      </c>
      <c r="F32" s="95">
        <f>24686000+2058000</f>
        <v>26744000</v>
      </c>
      <c r="G32" s="95">
        <f>24819000+2058000</f>
        <v>26877000</v>
      </c>
      <c r="H32" s="366">
        <f>34400000-1000000-1000000+5000000</f>
        <v>37400000</v>
      </c>
      <c r="I32" s="366"/>
      <c r="J32" s="366"/>
      <c r="K32" s="70"/>
      <c r="L32" s="70">
        <v>1000000</v>
      </c>
      <c r="M32" s="63">
        <f>H32-I32+J32-K32+L32</f>
        <v>38400000</v>
      </c>
      <c r="N32" s="366">
        <f>34400000+5000000</f>
        <v>39400000</v>
      </c>
      <c r="O32" s="366">
        <f>34400000+5000000</f>
        <v>39400000</v>
      </c>
      <c r="P32" s="70">
        <f>38262000-262000</f>
        <v>38000000</v>
      </c>
      <c r="Q32" s="70">
        <v>38500000</v>
      </c>
      <c r="R32" s="70">
        <v>39000000</v>
      </c>
      <c r="S32" s="70">
        <f>P32-M32</f>
        <v>-400000</v>
      </c>
      <c r="T32" s="70">
        <f>P32-N32</f>
        <v>-1400000</v>
      </c>
      <c r="U32" s="70">
        <f>Q32-O32</f>
        <v>-900000</v>
      </c>
      <c r="V32" s="506">
        <f t="shared" si="4"/>
        <v>-400000</v>
      </c>
      <c r="W32" s="506">
        <f t="shared" si="5"/>
        <v>0</v>
      </c>
      <c r="X32" s="68" t="s">
        <v>412</v>
      </c>
      <c r="Y32" s="491"/>
      <c r="Z32" s="31"/>
      <c r="AA32" s="31"/>
      <c r="AB32" s="31"/>
    </row>
    <row r="33" spans="1:38" x14ac:dyDescent="0.3">
      <c r="A33" s="541">
        <v>313</v>
      </c>
      <c r="B33" s="89" t="s">
        <v>8</v>
      </c>
      <c r="C33" s="90">
        <f>SUM(C34:C35)</f>
        <v>111351000</v>
      </c>
      <c r="D33" s="62"/>
      <c r="E33" s="62">
        <f t="shared" ref="E33:U33" si="23">SUM(E34:E35)</f>
        <v>114341000</v>
      </c>
      <c r="F33" s="91">
        <f t="shared" si="23"/>
        <v>112115000</v>
      </c>
      <c r="G33" s="91">
        <f t="shared" si="23"/>
        <v>112744000</v>
      </c>
      <c r="H33" s="91">
        <f t="shared" si="23"/>
        <v>140973000</v>
      </c>
      <c r="I33" s="91">
        <f t="shared" si="23"/>
        <v>0</v>
      </c>
      <c r="J33" s="91">
        <f t="shared" si="23"/>
        <v>0</v>
      </c>
      <c r="K33" s="91">
        <f t="shared" si="23"/>
        <v>0</v>
      </c>
      <c r="L33" s="91">
        <f t="shared" si="23"/>
        <v>5700000</v>
      </c>
      <c r="M33" s="91">
        <f t="shared" si="23"/>
        <v>146673000</v>
      </c>
      <c r="N33" s="91">
        <f t="shared" si="23"/>
        <v>143240000</v>
      </c>
      <c r="O33" s="91">
        <f t="shared" si="23"/>
        <v>144509000</v>
      </c>
      <c r="P33" s="91">
        <f t="shared" si="23"/>
        <v>149000000</v>
      </c>
      <c r="Q33" s="91">
        <f t="shared" si="23"/>
        <v>151500000</v>
      </c>
      <c r="R33" s="91">
        <f t="shared" si="23"/>
        <v>153500000</v>
      </c>
      <c r="S33" s="91">
        <f t="shared" si="23"/>
        <v>2327000</v>
      </c>
      <c r="T33" s="91">
        <f t="shared" si="23"/>
        <v>5760000</v>
      </c>
      <c r="U33" s="91">
        <f t="shared" si="23"/>
        <v>6991000</v>
      </c>
      <c r="V33" s="506">
        <f t="shared" si="4"/>
        <v>2327000</v>
      </c>
      <c r="W33" s="506">
        <f t="shared" si="5"/>
        <v>0</v>
      </c>
      <c r="X33" s="31"/>
      <c r="Y33" s="486"/>
      <c r="Z33" s="31"/>
      <c r="AA33" s="31"/>
      <c r="AB33" s="31"/>
    </row>
    <row r="34" spans="1:38" x14ac:dyDescent="0.3">
      <c r="A34" s="542">
        <v>3131</v>
      </c>
      <c r="B34" s="535" t="s">
        <v>9</v>
      </c>
      <c r="C34" s="94">
        <f>30526000+2500000+2800000</f>
        <v>35826000</v>
      </c>
      <c r="D34" s="63"/>
      <c r="E34" s="63">
        <f>30526000+2500000+2800000</f>
        <v>35826000</v>
      </c>
      <c r="F34" s="95">
        <f>30792000+2550000+2800000</f>
        <v>36142000</v>
      </c>
      <c r="G34" s="95">
        <f>30990000+2600000+2800000</f>
        <v>36390000</v>
      </c>
      <c r="H34" s="366">
        <f>34610000+10000000</f>
        <v>44610000</v>
      </c>
      <c r="I34" s="366"/>
      <c r="J34" s="366"/>
      <c r="K34" s="70"/>
      <c r="L34" s="70">
        <v>900000</v>
      </c>
      <c r="M34" s="63">
        <f>H34-I34+J34-K34+L34</f>
        <v>45510000</v>
      </c>
      <c r="N34" s="366">
        <f>34787000+10200000</f>
        <v>44987000</v>
      </c>
      <c r="O34" s="366">
        <f>34964000+10400000</f>
        <v>45364000</v>
      </c>
      <c r="P34" s="70">
        <f>48875000-3875000</f>
        <v>45000000</v>
      </c>
      <c r="Q34" s="70">
        <v>45500000</v>
      </c>
      <c r="R34" s="70">
        <v>46000000</v>
      </c>
      <c r="S34" s="70">
        <f>P34-M34</f>
        <v>-510000</v>
      </c>
      <c r="T34" s="70">
        <f>P34-N34</f>
        <v>13000</v>
      </c>
      <c r="U34" s="70">
        <f>Q34-O34</f>
        <v>136000</v>
      </c>
      <c r="V34" s="506">
        <f t="shared" si="4"/>
        <v>-510000</v>
      </c>
      <c r="W34" s="506">
        <f t="shared" si="5"/>
        <v>0</v>
      </c>
      <c r="X34" s="68" t="s">
        <v>412</v>
      </c>
      <c r="Y34" s="491"/>
      <c r="Z34" s="31"/>
      <c r="AA34" s="31"/>
      <c r="AB34" s="31"/>
    </row>
    <row r="35" spans="1:38" x14ac:dyDescent="0.3">
      <c r="A35" s="542">
        <v>3132</v>
      </c>
      <c r="B35" s="535" t="s">
        <v>10</v>
      </c>
      <c r="C35" s="94">
        <f>67025000+4000000+4500000</f>
        <v>75525000</v>
      </c>
      <c r="D35" s="63"/>
      <c r="E35" s="63">
        <v>78515000</v>
      </c>
      <c r="F35" s="95">
        <f>67423000+4050000+4500000</f>
        <v>75973000</v>
      </c>
      <c r="G35" s="95">
        <f>67754000+4100000+4500000</f>
        <v>76354000</v>
      </c>
      <c r="H35" s="366">
        <f>77363000-1000000+20000000</f>
        <v>96363000</v>
      </c>
      <c r="I35" s="366"/>
      <c r="J35" s="366"/>
      <c r="K35" s="70"/>
      <c r="L35" s="70">
        <v>4800000</v>
      </c>
      <c r="M35" s="63">
        <f>H35-I35+J35-K35+L35</f>
        <v>101163000</v>
      </c>
      <c r="N35" s="366">
        <f>77753000+20500000</f>
        <v>98253000</v>
      </c>
      <c r="O35" s="366">
        <f>78145000+21000000</f>
        <v>99145000</v>
      </c>
      <c r="P35" s="70">
        <f>108307000-4307000</f>
        <v>104000000</v>
      </c>
      <c r="Q35" s="70">
        <v>106000000</v>
      </c>
      <c r="R35" s="70">
        <v>107500000</v>
      </c>
      <c r="S35" s="70">
        <f>P35-M35</f>
        <v>2837000</v>
      </c>
      <c r="T35" s="70">
        <f>P35-N35</f>
        <v>5747000</v>
      </c>
      <c r="U35" s="70">
        <f>Q35-O35</f>
        <v>6855000</v>
      </c>
      <c r="V35" s="506">
        <f t="shared" si="4"/>
        <v>2837000</v>
      </c>
      <c r="W35" s="506">
        <f t="shared" si="5"/>
        <v>0</v>
      </c>
      <c r="X35" s="68" t="s">
        <v>412</v>
      </c>
      <c r="Y35" s="491"/>
      <c r="Z35" s="31"/>
      <c r="AA35" s="31"/>
      <c r="AB35" s="31"/>
    </row>
    <row r="36" spans="1:38" s="12" customFormat="1" ht="20.25" customHeight="1" x14ac:dyDescent="0.3">
      <c r="A36" s="144" t="s">
        <v>317</v>
      </c>
      <c r="B36" s="543" t="s">
        <v>318</v>
      </c>
      <c r="C36" s="531">
        <f t="shared" ref="C36" si="24">SUM(C37,C42,C49,C58,C60)</f>
        <v>98256000</v>
      </c>
      <c r="D36" s="141"/>
      <c r="E36" s="141">
        <f t="shared" ref="E36:U36" si="25">SUM(E37,E42,E49,E58,E60)</f>
        <v>110475800</v>
      </c>
      <c r="F36" s="364">
        <f t="shared" si="25"/>
        <v>99742000</v>
      </c>
      <c r="G36" s="364">
        <f t="shared" si="25"/>
        <v>99742000</v>
      </c>
      <c r="H36" s="364">
        <f t="shared" si="25"/>
        <v>99759800</v>
      </c>
      <c r="I36" s="364">
        <f t="shared" si="25"/>
        <v>119000</v>
      </c>
      <c r="J36" s="364">
        <f t="shared" si="25"/>
        <v>3482000</v>
      </c>
      <c r="K36" s="364">
        <f t="shared" si="25"/>
        <v>0</v>
      </c>
      <c r="L36" s="364">
        <f t="shared" si="25"/>
        <v>0</v>
      </c>
      <c r="M36" s="364">
        <f t="shared" si="25"/>
        <v>103122800</v>
      </c>
      <c r="N36" s="364">
        <f t="shared" si="25"/>
        <v>100032000</v>
      </c>
      <c r="O36" s="364">
        <f t="shared" si="25"/>
        <v>101544265</v>
      </c>
      <c r="P36" s="364">
        <f t="shared" si="25"/>
        <v>107000000</v>
      </c>
      <c r="Q36" s="364">
        <f t="shared" si="25"/>
        <v>115000000</v>
      </c>
      <c r="R36" s="364">
        <f t="shared" si="25"/>
        <v>110500000</v>
      </c>
      <c r="S36" s="532">
        <f t="shared" si="25"/>
        <v>3877200</v>
      </c>
      <c r="T36" s="532">
        <f t="shared" si="25"/>
        <v>6968000</v>
      </c>
      <c r="U36" s="532">
        <f t="shared" si="25"/>
        <v>13455735</v>
      </c>
      <c r="V36" s="506">
        <f t="shared" si="4"/>
        <v>3877200</v>
      </c>
      <c r="W36" s="506">
        <f t="shared" si="5"/>
        <v>0</v>
      </c>
      <c r="X36" s="69" t="s">
        <v>398</v>
      </c>
      <c r="Y36" s="492"/>
      <c r="Z36" s="69"/>
      <c r="AA36" s="69"/>
      <c r="AB36" s="69"/>
      <c r="AH36" s="544"/>
      <c r="AI36" s="544"/>
      <c r="AJ36" s="544"/>
      <c r="AK36" s="544"/>
      <c r="AL36" s="544"/>
    </row>
    <row r="37" spans="1:38" x14ac:dyDescent="0.3">
      <c r="A37" s="541">
        <v>321</v>
      </c>
      <c r="B37" s="89" t="s">
        <v>12</v>
      </c>
      <c r="C37" s="90">
        <f t="shared" ref="C37" si="26">SUM(C38:C41)</f>
        <v>25417000</v>
      </c>
      <c r="D37" s="62"/>
      <c r="E37" s="62">
        <f t="shared" ref="E37:U37" si="27">SUM(E38:E41)</f>
        <v>28417000</v>
      </c>
      <c r="F37" s="91">
        <f t="shared" si="27"/>
        <v>25417000</v>
      </c>
      <c r="G37" s="91">
        <f t="shared" si="27"/>
        <v>25417000</v>
      </c>
      <c r="H37" s="91">
        <f t="shared" si="27"/>
        <v>24597000</v>
      </c>
      <c r="I37" s="91">
        <f t="shared" si="27"/>
        <v>0</v>
      </c>
      <c r="J37" s="91">
        <f t="shared" si="27"/>
        <v>3482000</v>
      </c>
      <c r="K37" s="91">
        <f t="shared" si="27"/>
        <v>0</v>
      </c>
      <c r="L37" s="91">
        <f t="shared" si="27"/>
        <v>0</v>
      </c>
      <c r="M37" s="91">
        <f t="shared" si="27"/>
        <v>28079000</v>
      </c>
      <c r="N37" s="91">
        <f t="shared" si="27"/>
        <v>24310000</v>
      </c>
      <c r="O37" s="91">
        <f t="shared" si="27"/>
        <v>25510000</v>
      </c>
      <c r="P37" s="91">
        <f t="shared" si="27"/>
        <v>27550000</v>
      </c>
      <c r="Q37" s="91">
        <f t="shared" si="27"/>
        <v>31250000</v>
      </c>
      <c r="R37" s="91">
        <f t="shared" si="27"/>
        <v>30220000</v>
      </c>
      <c r="S37" s="91">
        <f t="shared" si="27"/>
        <v>-529000</v>
      </c>
      <c r="T37" s="91">
        <f t="shared" si="27"/>
        <v>3240000</v>
      </c>
      <c r="U37" s="91">
        <f t="shared" si="27"/>
        <v>5740000</v>
      </c>
      <c r="V37" s="506">
        <f t="shared" si="4"/>
        <v>-529000</v>
      </c>
      <c r="W37" s="506">
        <f t="shared" si="5"/>
        <v>0</v>
      </c>
      <c r="X37" s="31"/>
      <c r="Y37" s="486"/>
      <c r="Z37" s="31"/>
      <c r="AA37" s="31"/>
      <c r="AB37" s="31"/>
    </row>
    <row r="38" spans="1:38" x14ac:dyDescent="0.3">
      <c r="A38" s="542">
        <v>3211</v>
      </c>
      <c r="B38" s="535" t="s">
        <v>13</v>
      </c>
      <c r="C38" s="94">
        <v>3318000</v>
      </c>
      <c r="D38" s="63"/>
      <c r="E38" s="95">
        <v>4818000</v>
      </c>
      <c r="F38" s="95">
        <v>3318000</v>
      </c>
      <c r="G38" s="95">
        <v>3318000</v>
      </c>
      <c r="H38" s="95">
        <v>4818000</v>
      </c>
      <c r="I38" s="95"/>
      <c r="J38" s="95"/>
      <c r="K38" s="63"/>
      <c r="L38" s="63"/>
      <c r="M38" s="63">
        <f>H38-I38+J38-K38+L38</f>
        <v>4818000</v>
      </c>
      <c r="N38" s="95">
        <v>3600000</v>
      </c>
      <c r="O38" s="95">
        <v>3600000</v>
      </c>
      <c r="P38" s="545">
        <v>4000000</v>
      </c>
      <c r="Q38" s="545">
        <v>5000000</v>
      </c>
      <c r="R38" s="545">
        <v>5000000</v>
      </c>
      <c r="S38" s="70">
        <f>P38-M38</f>
        <v>-818000</v>
      </c>
      <c r="T38" s="70">
        <f t="shared" ref="T38:U40" si="28">P38-N38</f>
        <v>400000</v>
      </c>
      <c r="U38" s="70">
        <f t="shared" si="28"/>
        <v>1400000</v>
      </c>
      <c r="V38" s="506">
        <f t="shared" si="4"/>
        <v>-818000</v>
      </c>
      <c r="W38" s="506">
        <f t="shared" si="5"/>
        <v>0</v>
      </c>
      <c r="X38" s="31"/>
      <c r="Y38" s="486"/>
      <c r="Z38" s="31"/>
      <c r="AA38" s="31"/>
      <c r="AB38" s="31"/>
    </row>
    <row r="39" spans="1:38" x14ac:dyDescent="0.3">
      <c r="A39" s="542">
        <v>3212</v>
      </c>
      <c r="B39" s="535" t="s">
        <v>14</v>
      </c>
      <c r="C39" s="94">
        <v>19908000</v>
      </c>
      <c r="D39" s="63"/>
      <c r="E39" s="95">
        <v>21408000</v>
      </c>
      <c r="F39" s="95">
        <v>19908000</v>
      </c>
      <c r="G39" s="95">
        <v>19908000</v>
      </c>
      <c r="H39" s="366">
        <f>21408000-3000000-820000</f>
        <v>17588000</v>
      </c>
      <c r="I39" s="366"/>
      <c r="J39" s="366">
        <v>3482000</v>
      </c>
      <c r="K39" s="70"/>
      <c r="L39" s="70"/>
      <c r="M39" s="63">
        <f>H39-I39+J39-K39+L39</f>
        <v>21070000</v>
      </c>
      <c r="N39" s="95">
        <f>22000000-3500000</f>
        <v>18500000</v>
      </c>
      <c r="O39" s="95">
        <f>22000000-3000000</f>
        <v>19000000</v>
      </c>
      <c r="P39" s="63">
        <v>20800000</v>
      </c>
      <c r="Q39" s="63">
        <v>24000000</v>
      </c>
      <c r="R39" s="63">
        <v>23000000</v>
      </c>
      <c r="S39" s="70">
        <f>P39-M39</f>
        <v>-270000</v>
      </c>
      <c r="T39" s="70">
        <f t="shared" si="28"/>
        <v>2300000</v>
      </c>
      <c r="U39" s="70">
        <f t="shared" si="28"/>
        <v>5000000</v>
      </c>
      <c r="V39" s="506">
        <f t="shared" si="4"/>
        <v>-270000</v>
      </c>
      <c r="W39" s="506">
        <f t="shared" si="5"/>
        <v>0</v>
      </c>
      <c r="X39" s="68" t="s">
        <v>418</v>
      </c>
      <c r="Y39" s="491"/>
      <c r="Z39" s="31"/>
      <c r="AA39" s="31"/>
      <c r="AB39" s="31"/>
    </row>
    <row r="40" spans="1:38" x14ac:dyDescent="0.3">
      <c r="A40" s="542">
        <v>3213</v>
      </c>
      <c r="B40" s="535" t="s">
        <v>15</v>
      </c>
      <c r="C40" s="94">
        <v>266000</v>
      </c>
      <c r="D40" s="63"/>
      <c r="E40" s="95">
        <v>266000</v>
      </c>
      <c r="F40" s="95">
        <v>266000</v>
      </c>
      <c r="G40" s="95">
        <v>266000</v>
      </c>
      <c r="H40" s="95">
        <v>266000</v>
      </c>
      <c r="I40" s="95"/>
      <c r="J40" s="95"/>
      <c r="K40" s="63"/>
      <c r="L40" s="63"/>
      <c r="M40" s="63">
        <f>H40-I40+J40-K40+L40</f>
        <v>266000</v>
      </c>
      <c r="N40" s="95">
        <v>270000</v>
      </c>
      <c r="O40" s="95">
        <v>270000</v>
      </c>
      <c r="P40" s="63">
        <v>250000</v>
      </c>
      <c r="Q40" s="63">
        <v>250000</v>
      </c>
      <c r="R40" s="63">
        <v>220000</v>
      </c>
      <c r="S40" s="70">
        <f>P40-M40</f>
        <v>-16000</v>
      </c>
      <c r="T40" s="70">
        <f t="shared" si="28"/>
        <v>-20000</v>
      </c>
      <c r="U40" s="70">
        <f t="shared" si="28"/>
        <v>-20000</v>
      </c>
      <c r="V40" s="506">
        <f t="shared" si="4"/>
        <v>-16000</v>
      </c>
      <c r="W40" s="506">
        <f t="shared" si="5"/>
        <v>0</v>
      </c>
      <c r="X40" s="31"/>
      <c r="Y40" s="486"/>
      <c r="Z40" s="31"/>
      <c r="AA40" s="31"/>
      <c r="AB40" s="31"/>
    </row>
    <row r="41" spans="1:38" x14ac:dyDescent="0.3">
      <c r="A41" s="542">
        <v>3214</v>
      </c>
      <c r="B41" s="535" t="s">
        <v>121</v>
      </c>
      <c r="C41" s="94">
        <v>1925000</v>
      </c>
      <c r="D41" s="63"/>
      <c r="E41" s="95">
        <v>1925000</v>
      </c>
      <c r="F41" s="95">
        <v>1925000</v>
      </c>
      <c r="G41" s="95">
        <v>1925000</v>
      </c>
      <c r="H41" s="367">
        <v>1925000</v>
      </c>
      <c r="I41" s="367"/>
      <c r="J41" s="367"/>
      <c r="K41" s="96"/>
      <c r="L41" s="96"/>
      <c r="M41" s="63">
        <f>H41-I41+J41-K41+L41</f>
        <v>1925000</v>
      </c>
      <c r="N41" s="95">
        <f>2640000-700000</f>
        <v>1940000</v>
      </c>
      <c r="O41" s="95">
        <v>2640000</v>
      </c>
      <c r="P41" s="70">
        <v>2500000</v>
      </c>
      <c r="Q41" s="70">
        <v>2000000</v>
      </c>
      <c r="R41" s="70">
        <v>2000000</v>
      </c>
      <c r="S41" s="70">
        <f>P41-M41</f>
        <v>575000</v>
      </c>
      <c r="T41" s="70">
        <f>P41-N41</f>
        <v>560000</v>
      </c>
      <c r="U41" s="70">
        <f>Q41-O41</f>
        <v>-640000</v>
      </c>
      <c r="V41" s="506">
        <f t="shared" si="4"/>
        <v>575000</v>
      </c>
      <c r="W41" s="506">
        <f t="shared" si="5"/>
        <v>0</v>
      </c>
      <c r="X41" s="31" t="s">
        <v>382</v>
      </c>
      <c r="Y41" s="486"/>
      <c r="Z41" s="31"/>
      <c r="AA41" s="31"/>
      <c r="AB41" s="31"/>
    </row>
    <row r="42" spans="1:38" ht="13.05" x14ac:dyDescent="0.3">
      <c r="A42" s="541">
        <v>322</v>
      </c>
      <c r="B42" s="89" t="s">
        <v>16</v>
      </c>
      <c r="C42" s="90">
        <f t="shared" ref="C42:U42" si="29">SUM(C43:C48)</f>
        <v>29783000</v>
      </c>
      <c r="D42" s="62"/>
      <c r="E42" s="62">
        <f t="shared" si="29"/>
        <v>30083000</v>
      </c>
      <c r="F42" s="91">
        <f t="shared" si="29"/>
        <v>29783000</v>
      </c>
      <c r="G42" s="91">
        <f t="shared" si="29"/>
        <v>29783000</v>
      </c>
      <c r="H42" s="91">
        <f t="shared" si="29"/>
        <v>28083000</v>
      </c>
      <c r="I42" s="91">
        <f t="shared" si="29"/>
        <v>119000</v>
      </c>
      <c r="J42" s="91">
        <f t="shared" si="29"/>
        <v>0</v>
      </c>
      <c r="K42" s="91">
        <f t="shared" si="29"/>
        <v>0</v>
      </c>
      <c r="L42" s="91">
        <f t="shared" si="29"/>
        <v>0</v>
      </c>
      <c r="M42" s="91">
        <f t="shared" si="29"/>
        <v>27964000</v>
      </c>
      <c r="N42" s="91">
        <f t="shared" si="29"/>
        <v>28113000</v>
      </c>
      <c r="O42" s="91">
        <f t="shared" si="29"/>
        <v>28425265</v>
      </c>
      <c r="P42" s="91">
        <f t="shared" si="29"/>
        <v>27530000</v>
      </c>
      <c r="Q42" s="91">
        <f t="shared" si="29"/>
        <v>28640000</v>
      </c>
      <c r="R42" s="91">
        <f t="shared" si="29"/>
        <v>28120000</v>
      </c>
      <c r="S42" s="91">
        <f t="shared" si="29"/>
        <v>-434000</v>
      </c>
      <c r="T42" s="91">
        <f t="shared" si="29"/>
        <v>-583000</v>
      </c>
      <c r="U42" s="91">
        <f t="shared" si="29"/>
        <v>214735</v>
      </c>
      <c r="V42" s="506">
        <f t="shared" si="4"/>
        <v>-434000</v>
      </c>
      <c r="W42" s="506">
        <f t="shared" si="5"/>
        <v>0</v>
      </c>
      <c r="X42" s="31"/>
      <c r="Y42" s="486"/>
      <c r="Z42" s="31"/>
      <c r="AA42" s="31"/>
      <c r="AB42" s="31"/>
    </row>
    <row r="43" spans="1:38" ht="13.05" x14ac:dyDescent="0.3">
      <c r="A43" s="542">
        <v>3221</v>
      </c>
      <c r="B43" s="535" t="s">
        <v>17</v>
      </c>
      <c r="C43" s="94">
        <v>2389000</v>
      </c>
      <c r="D43" s="63"/>
      <c r="E43" s="63">
        <v>2689000</v>
      </c>
      <c r="F43" s="63">
        <v>2389000</v>
      </c>
      <c r="G43" s="63">
        <v>2389000</v>
      </c>
      <c r="H43" s="63">
        <v>2689000</v>
      </c>
      <c r="I43" s="63"/>
      <c r="J43" s="63"/>
      <c r="K43" s="63"/>
      <c r="L43" s="63"/>
      <c r="M43" s="63">
        <f t="shared" ref="M43:M48" si="30">H43-I43+J43-K43+L43</f>
        <v>2689000</v>
      </c>
      <c r="N43" s="63">
        <v>2700000</v>
      </c>
      <c r="O43" s="63">
        <v>2700000</v>
      </c>
      <c r="P43" s="63">
        <v>2650000</v>
      </c>
      <c r="Q43" s="63">
        <v>2700000</v>
      </c>
      <c r="R43" s="63">
        <v>2700000</v>
      </c>
      <c r="S43" s="70">
        <f t="shared" ref="S43:S48" si="31">P43-M43</f>
        <v>-39000</v>
      </c>
      <c r="T43" s="70">
        <f t="shared" ref="T43:U48" si="32">P43-N43</f>
        <v>-50000</v>
      </c>
      <c r="U43" s="70">
        <f t="shared" si="32"/>
        <v>0</v>
      </c>
      <c r="V43" s="506">
        <f t="shared" si="4"/>
        <v>-39000</v>
      </c>
      <c r="W43" s="506">
        <f t="shared" si="5"/>
        <v>0</v>
      </c>
      <c r="X43" s="31"/>
      <c r="Y43" s="486"/>
      <c r="Z43" s="31"/>
      <c r="AA43" s="31"/>
      <c r="AB43" s="31"/>
    </row>
    <row r="44" spans="1:38" ht="13.05" x14ac:dyDescent="0.3">
      <c r="A44" s="542">
        <v>3222</v>
      </c>
      <c r="B44" s="535" t="s">
        <v>18</v>
      </c>
      <c r="C44" s="94">
        <v>2256000</v>
      </c>
      <c r="D44" s="63"/>
      <c r="E44" s="63">
        <v>2256000</v>
      </c>
      <c r="F44" s="63">
        <v>2256000</v>
      </c>
      <c r="G44" s="63">
        <v>2256000</v>
      </c>
      <c r="H44" s="63">
        <v>2256000</v>
      </c>
      <c r="I44" s="63"/>
      <c r="J44" s="63"/>
      <c r="K44" s="63"/>
      <c r="L44" s="63"/>
      <c r="M44" s="63">
        <f t="shared" si="30"/>
        <v>2256000</v>
      </c>
      <c r="N44" s="63">
        <f>2500000-200000</f>
        <v>2300000</v>
      </c>
      <c r="O44" s="63">
        <v>2500000</v>
      </c>
      <c r="P44" s="63">
        <v>2250000</v>
      </c>
      <c r="Q44" s="63">
        <v>2300000</v>
      </c>
      <c r="R44" s="63">
        <v>2300000</v>
      </c>
      <c r="S44" s="70">
        <f t="shared" si="31"/>
        <v>-6000</v>
      </c>
      <c r="T44" s="70">
        <f t="shared" si="32"/>
        <v>-50000</v>
      </c>
      <c r="U44" s="70">
        <f t="shared" si="32"/>
        <v>-200000</v>
      </c>
      <c r="V44" s="506">
        <f t="shared" si="4"/>
        <v>-6000</v>
      </c>
      <c r="W44" s="506">
        <f t="shared" si="5"/>
        <v>0</v>
      </c>
      <c r="X44" s="31"/>
      <c r="Y44" s="486"/>
      <c r="Z44" s="31"/>
      <c r="AA44" s="31"/>
      <c r="AB44" s="31"/>
    </row>
    <row r="45" spans="1:38" ht="13.05" x14ac:dyDescent="0.3">
      <c r="A45" s="613">
        <v>3223</v>
      </c>
      <c r="B45" s="614" t="s">
        <v>19</v>
      </c>
      <c r="C45" s="546">
        <v>22563000</v>
      </c>
      <c r="D45" s="480"/>
      <c r="E45" s="481">
        <v>22563000</v>
      </c>
      <c r="F45" s="481">
        <v>22563000</v>
      </c>
      <c r="G45" s="481">
        <v>22563000</v>
      </c>
      <c r="H45" s="481">
        <f>22563000-2000000</f>
        <v>20563000</v>
      </c>
      <c r="I45" s="481">
        <v>119000</v>
      </c>
      <c r="J45" s="481"/>
      <c r="K45" s="480"/>
      <c r="L45" s="480"/>
      <c r="M45" s="480">
        <f t="shared" si="30"/>
        <v>20444000</v>
      </c>
      <c r="N45" s="95">
        <f>30000000-9500000</f>
        <v>20500000</v>
      </c>
      <c r="O45" s="95">
        <f>30000000-9387735</f>
        <v>20612265</v>
      </c>
      <c r="P45" s="63">
        <v>20000000</v>
      </c>
      <c r="Q45" s="63">
        <v>21000000</v>
      </c>
      <c r="R45" s="63">
        <v>20500000</v>
      </c>
      <c r="S45" s="70">
        <f t="shared" si="31"/>
        <v>-444000</v>
      </c>
      <c r="T45" s="70">
        <f t="shared" si="32"/>
        <v>-500000</v>
      </c>
      <c r="U45" s="70">
        <f t="shared" si="32"/>
        <v>387735</v>
      </c>
      <c r="V45" s="506">
        <f t="shared" si="4"/>
        <v>-444000</v>
      </c>
      <c r="W45" s="506">
        <f t="shared" si="5"/>
        <v>0</v>
      </c>
      <c r="X45" s="486"/>
      <c r="Y45" s="486"/>
      <c r="Z45" s="31"/>
      <c r="AA45" s="31"/>
      <c r="AB45" s="31"/>
    </row>
    <row r="46" spans="1:38" x14ac:dyDescent="0.3">
      <c r="A46" s="542">
        <v>3224</v>
      </c>
      <c r="B46" s="535" t="s">
        <v>20</v>
      </c>
      <c r="C46" s="94">
        <v>1062000</v>
      </c>
      <c r="D46" s="63"/>
      <c r="E46" s="95">
        <v>1062000</v>
      </c>
      <c r="F46" s="95">
        <v>1062000</v>
      </c>
      <c r="G46" s="95">
        <v>1062000</v>
      </c>
      <c r="H46" s="95">
        <v>1062000</v>
      </c>
      <c r="I46" s="95"/>
      <c r="J46" s="95"/>
      <c r="K46" s="63"/>
      <c r="L46" s="63"/>
      <c r="M46" s="63">
        <f t="shared" si="30"/>
        <v>1062000</v>
      </c>
      <c r="N46" s="95">
        <v>1100000</v>
      </c>
      <c r="O46" s="95">
        <v>1100000</v>
      </c>
      <c r="P46" s="63">
        <v>1100000</v>
      </c>
      <c r="Q46" s="63">
        <v>1100000</v>
      </c>
      <c r="R46" s="63">
        <v>1100000</v>
      </c>
      <c r="S46" s="70">
        <f t="shared" si="31"/>
        <v>38000</v>
      </c>
      <c r="T46" s="70">
        <f t="shared" si="32"/>
        <v>0</v>
      </c>
      <c r="U46" s="70">
        <f t="shared" si="32"/>
        <v>0</v>
      </c>
      <c r="V46" s="506">
        <f t="shared" si="4"/>
        <v>38000</v>
      </c>
      <c r="W46" s="506">
        <f t="shared" si="5"/>
        <v>0</v>
      </c>
      <c r="X46" s="486"/>
      <c r="Y46" s="486"/>
      <c r="Z46" s="31"/>
      <c r="AA46" s="31"/>
      <c r="AB46" s="31"/>
    </row>
    <row r="47" spans="1:38" ht="13.05" x14ac:dyDescent="0.3">
      <c r="A47" s="542">
        <v>3225</v>
      </c>
      <c r="B47" s="535" t="s">
        <v>21</v>
      </c>
      <c r="C47" s="94">
        <v>1460000</v>
      </c>
      <c r="D47" s="63"/>
      <c r="E47" s="95">
        <v>1460000</v>
      </c>
      <c r="F47" s="95">
        <v>1460000</v>
      </c>
      <c r="G47" s="95">
        <v>1460000</v>
      </c>
      <c r="H47" s="95">
        <v>1460000</v>
      </c>
      <c r="I47" s="95"/>
      <c r="J47" s="95"/>
      <c r="K47" s="63"/>
      <c r="L47" s="63"/>
      <c r="M47" s="63">
        <f t="shared" si="30"/>
        <v>1460000</v>
      </c>
      <c r="N47" s="95">
        <v>1460000</v>
      </c>
      <c r="O47" s="95">
        <v>1460000</v>
      </c>
      <c r="P47" s="63">
        <v>1500000</v>
      </c>
      <c r="Q47" s="63">
        <v>1500000</v>
      </c>
      <c r="R47" s="63">
        <v>1500000</v>
      </c>
      <c r="S47" s="70">
        <f t="shared" si="31"/>
        <v>40000</v>
      </c>
      <c r="T47" s="70">
        <f t="shared" si="32"/>
        <v>40000</v>
      </c>
      <c r="U47" s="70">
        <f t="shared" si="32"/>
        <v>40000</v>
      </c>
      <c r="V47" s="506">
        <f t="shared" si="4"/>
        <v>40000</v>
      </c>
      <c r="W47" s="506">
        <f t="shared" si="5"/>
        <v>0</v>
      </c>
      <c r="X47" s="486"/>
      <c r="Y47" s="486"/>
      <c r="Z47" s="31"/>
      <c r="AA47" s="31"/>
      <c r="AB47" s="31"/>
    </row>
    <row r="48" spans="1:38" x14ac:dyDescent="0.3">
      <c r="A48" s="542">
        <v>3227</v>
      </c>
      <c r="B48" s="535" t="s">
        <v>22</v>
      </c>
      <c r="C48" s="94">
        <v>53000</v>
      </c>
      <c r="D48" s="63"/>
      <c r="E48" s="95">
        <v>53000</v>
      </c>
      <c r="F48" s="95">
        <v>53000</v>
      </c>
      <c r="G48" s="95">
        <v>53000</v>
      </c>
      <c r="H48" s="95">
        <v>53000</v>
      </c>
      <c r="I48" s="95"/>
      <c r="J48" s="95"/>
      <c r="K48" s="63"/>
      <c r="L48" s="63"/>
      <c r="M48" s="63">
        <f t="shared" si="30"/>
        <v>53000</v>
      </c>
      <c r="N48" s="95">
        <v>53000</v>
      </c>
      <c r="O48" s="95">
        <v>53000</v>
      </c>
      <c r="P48" s="63">
        <v>30000</v>
      </c>
      <c r="Q48" s="63">
        <v>40000</v>
      </c>
      <c r="R48" s="63">
        <v>20000</v>
      </c>
      <c r="S48" s="70">
        <f t="shared" si="31"/>
        <v>-23000</v>
      </c>
      <c r="T48" s="70">
        <f t="shared" si="32"/>
        <v>-23000</v>
      </c>
      <c r="U48" s="70">
        <f t="shared" si="32"/>
        <v>-13000</v>
      </c>
      <c r="V48" s="506">
        <f t="shared" si="4"/>
        <v>-23000</v>
      </c>
      <c r="W48" s="506">
        <f t="shared" si="5"/>
        <v>0</v>
      </c>
      <c r="X48" s="486"/>
      <c r="Y48" s="486"/>
      <c r="Z48" s="31"/>
      <c r="AA48" s="31"/>
      <c r="AB48" s="31"/>
    </row>
    <row r="49" spans="1:28" ht="13.05" x14ac:dyDescent="0.3">
      <c r="A49" s="541">
        <v>323</v>
      </c>
      <c r="B49" s="89" t="s">
        <v>23</v>
      </c>
      <c r="C49" s="90">
        <f t="shared" ref="C49:U49" si="33">SUM(C50:C57)</f>
        <v>39592000</v>
      </c>
      <c r="D49" s="62"/>
      <c r="E49" s="62">
        <f t="shared" si="33"/>
        <v>48511800</v>
      </c>
      <c r="F49" s="91">
        <f t="shared" si="33"/>
        <v>41078000</v>
      </c>
      <c r="G49" s="91">
        <f t="shared" si="33"/>
        <v>41078000</v>
      </c>
      <c r="H49" s="91">
        <f t="shared" si="33"/>
        <v>43615800</v>
      </c>
      <c r="I49" s="91">
        <f t="shared" si="33"/>
        <v>0</v>
      </c>
      <c r="J49" s="91">
        <f t="shared" si="33"/>
        <v>0</v>
      </c>
      <c r="K49" s="91">
        <f t="shared" si="33"/>
        <v>0</v>
      </c>
      <c r="L49" s="91">
        <f t="shared" si="33"/>
        <v>0</v>
      </c>
      <c r="M49" s="91">
        <f t="shared" si="33"/>
        <v>43615800</v>
      </c>
      <c r="N49" s="91">
        <f t="shared" si="33"/>
        <v>43749000</v>
      </c>
      <c r="O49" s="91">
        <f t="shared" si="33"/>
        <v>43749000</v>
      </c>
      <c r="P49" s="91">
        <f t="shared" si="33"/>
        <v>48200000</v>
      </c>
      <c r="Q49" s="91">
        <f t="shared" si="33"/>
        <v>51250000</v>
      </c>
      <c r="R49" s="91">
        <f t="shared" si="33"/>
        <v>48300000</v>
      </c>
      <c r="S49" s="91">
        <f t="shared" si="33"/>
        <v>4584200</v>
      </c>
      <c r="T49" s="91">
        <f t="shared" si="33"/>
        <v>4451000</v>
      </c>
      <c r="U49" s="91">
        <f t="shared" si="33"/>
        <v>7501000</v>
      </c>
      <c r="V49" s="506">
        <f t="shared" si="4"/>
        <v>4584200</v>
      </c>
      <c r="W49" s="506">
        <f t="shared" si="5"/>
        <v>0</v>
      </c>
      <c r="X49" s="31"/>
      <c r="Y49" s="486"/>
      <c r="Z49" s="31"/>
      <c r="AA49" s="31"/>
      <c r="AB49" s="31"/>
    </row>
    <row r="50" spans="1:28" x14ac:dyDescent="0.3">
      <c r="A50" s="542">
        <v>3231</v>
      </c>
      <c r="B50" s="535" t="s">
        <v>24</v>
      </c>
      <c r="C50" s="94">
        <v>6371000</v>
      </c>
      <c r="D50" s="63"/>
      <c r="E50" s="95">
        <v>9371000</v>
      </c>
      <c r="F50" s="95">
        <v>6636000</v>
      </c>
      <c r="G50" s="95">
        <v>6636000</v>
      </c>
      <c r="H50" s="95">
        <v>9371000</v>
      </c>
      <c r="I50" s="95"/>
      <c r="J50" s="95"/>
      <c r="K50" s="63"/>
      <c r="L50" s="63"/>
      <c r="M50" s="63">
        <f t="shared" ref="M50:M57" si="34">H50-I50+J50-K50+L50</f>
        <v>9371000</v>
      </c>
      <c r="N50" s="95">
        <v>9000000</v>
      </c>
      <c r="O50" s="95">
        <v>9000000</v>
      </c>
      <c r="P50" s="63">
        <v>8700000</v>
      </c>
      <c r="Q50" s="63">
        <v>10750000</v>
      </c>
      <c r="R50" s="63">
        <v>9800000</v>
      </c>
      <c r="S50" s="70">
        <f t="shared" ref="S50:S57" si="35">P50-M50</f>
        <v>-671000</v>
      </c>
      <c r="T50" s="70">
        <f t="shared" ref="T50:U57" si="36">P50-N50</f>
        <v>-300000</v>
      </c>
      <c r="U50" s="70">
        <f t="shared" si="36"/>
        <v>1750000</v>
      </c>
      <c r="V50" s="506">
        <f t="shared" si="4"/>
        <v>-671000</v>
      </c>
      <c r="W50" s="506">
        <f t="shared" si="5"/>
        <v>0</v>
      </c>
      <c r="X50" s="31"/>
      <c r="Y50" s="486"/>
      <c r="Z50" s="31"/>
      <c r="AA50" s="31"/>
      <c r="AB50" s="31"/>
    </row>
    <row r="51" spans="1:28" x14ac:dyDescent="0.3">
      <c r="A51" s="542">
        <v>3232</v>
      </c>
      <c r="B51" s="535" t="s">
        <v>25</v>
      </c>
      <c r="C51" s="94">
        <v>11122000</v>
      </c>
      <c r="D51" s="63"/>
      <c r="E51" s="547">
        <v>14118000</v>
      </c>
      <c r="F51" s="95">
        <v>11547000</v>
      </c>
      <c r="G51" s="95">
        <v>11547000</v>
      </c>
      <c r="H51" s="95">
        <f>13222000-2000000</f>
        <v>11222000</v>
      </c>
      <c r="I51" s="95"/>
      <c r="J51" s="95"/>
      <c r="K51" s="63"/>
      <c r="L51" s="63"/>
      <c r="M51" s="63">
        <f t="shared" si="34"/>
        <v>11222000</v>
      </c>
      <c r="N51" s="95">
        <f>13000000-2000000</f>
        <v>11000000</v>
      </c>
      <c r="O51" s="95">
        <f>13000000-2000000</f>
        <v>11000000</v>
      </c>
      <c r="P51" s="63">
        <v>13000000</v>
      </c>
      <c r="Q51" s="63">
        <v>14000000</v>
      </c>
      <c r="R51" s="63">
        <v>12500000</v>
      </c>
      <c r="S51" s="70">
        <f t="shared" si="35"/>
        <v>1778000</v>
      </c>
      <c r="T51" s="70">
        <f t="shared" si="36"/>
        <v>2000000</v>
      </c>
      <c r="U51" s="70">
        <f t="shared" si="36"/>
        <v>3000000</v>
      </c>
      <c r="V51" s="506">
        <f t="shared" si="4"/>
        <v>1778000</v>
      </c>
      <c r="W51" s="506">
        <f t="shared" si="5"/>
        <v>0</v>
      </c>
      <c r="X51" s="31"/>
      <c r="Y51" s="486"/>
      <c r="Z51" s="31"/>
      <c r="AA51" s="31"/>
      <c r="AB51" s="31"/>
    </row>
    <row r="52" spans="1:28" x14ac:dyDescent="0.3">
      <c r="A52" s="542">
        <v>3233</v>
      </c>
      <c r="B52" s="535" t="s">
        <v>26</v>
      </c>
      <c r="C52" s="94">
        <v>200000</v>
      </c>
      <c r="D52" s="63"/>
      <c r="E52" s="95">
        <v>200000</v>
      </c>
      <c r="F52" s="95">
        <v>200000</v>
      </c>
      <c r="G52" s="95">
        <v>200000</v>
      </c>
      <c r="H52" s="95">
        <v>200000</v>
      </c>
      <c r="I52" s="95"/>
      <c r="J52" s="95"/>
      <c r="K52" s="63"/>
      <c r="L52" s="63"/>
      <c r="M52" s="63">
        <f t="shared" si="34"/>
        <v>200000</v>
      </c>
      <c r="N52" s="95">
        <v>300000</v>
      </c>
      <c r="O52" s="95">
        <v>300000</v>
      </c>
      <c r="P52" s="63">
        <v>300000</v>
      </c>
      <c r="Q52" s="63">
        <v>500000</v>
      </c>
      <c r="R52" s="63">
        <v>500000</v>
      </c>
      <c r="S52" s="70">
        <f t="shared" si="35"/>
        <v>100000</v>
      </c>
      <c r="T52" s="70">
        <f t="shared" si="36"/>
        <v>0</v>
      </c>
      <c r="U52" s="70">
        <f t="shared" si="36"/>
        <v>200000</v>
      </c>
      <c r="V52" s="506">
        <f t="shared" si="4"/>
        <v>100000</v>
      </c>
      <c r="W52" s="506">
        <f t="shared" si="5"/>
        <v>0</v>
      </c>
      <c r="X52" s="31"/>
      <c r="Y52" s="486"/>
      <c r="Z52" s="31"/>
      <c r="AA52" s="31"/>
      <c r="AB52" s="31"/>
    </row>
    <row r="53" spans="1:28" ht="13.05" x14ac:dyDescent="0.3">
      <c r="A53" s="542">
        <v>3234</v>
      </c>
      <c r="B53" s="535" t="s">
        <v>27</v>
      </c>
      <c r="C53" s="94">
        <v>3716000</v>
      </c>
      <c r="D53" s="63"/>
      <c r="E53" s="95">
        <v>3716000</v>
      </c>
      <c r="F53" s="95">
        <v>3849000</v>
      </c>
      <c r="G53" s="95">
        <v>3849000</v>
      </c>
      <c r="H53" s="95">
        <v>3716000</v>
      </c>
      <c r="I53" s="95"/>
      <c r="J53" s="95"/>
      <c r="K53" s="63"/>
      <c r="L53" s="63"/>
      <c r="M53" s="63">
        <f t="shared" si="34"/>
        <v>3716000</v>
      </c>
      <c r="N53" s="95">
        <v>3849000</v>
      </c>
      <c r="O53" s="95">
        <v>3849000</v>
      </c>
      <c r="P53" s="63">
        <v>4000000</v>
      </c>
      <c r="Q53" s="63">
        <v>3800000</v>
      </c>
      <c r="R53" s="63">
        <v>3800000</v>
      </c>
      <c r="S53" s="70">
        <f t="shared" si="35"/>
        <v>284000</v>
      </c>
      <c r="T53" s="70">
        <f t="shared" si="36"/>
        <v>151000</v>
      </c>
      <c r="U53" s="70">
        <f t="shared" si="36"/>
        <v>-49000</v>
      </c>
      <c r="V53" s="506">
        <f t="shared" si="4"/>
        <v>284000</v>
      </c>
      <c r="W53" s="506">
        <f t="shared" si="5"/>
        <v>0</v>
      </c>
      <c r="X53" s="31"/>
      <c r="Y53" s="486"/>
      <c r="Z53" s="31"/>
      <c r="AA53" s="31"/>
      <c r="AB53" s="31"/>
    </row>
    <row r="54" spans="1:28" ht="13.05" x14ac:dyDescent="0.3">
      <c r="A54" s="542">
        <v>3235</v>
      </c>
      <c r="B54" s="535" t="s">
        <v>28</v>
      </c>
      <c r="C54" s="94">
        <v>8627000</v>
      </c>
      <c r="D54" s="63"/>
      <c r="E54" s="95">
        <v>8627000</v>
      </c>
      <c r="F54" s="95">
        <v>9290000</v>
      </c>
      <c r="G54" s="95">
        <v>9290000</v>
      </c>
      <c r="H54" s="95">
        <f>8627000-1000000</f>
        <v>7627000</v>
      </c>
      <c r="I54" s="95"/>
      <c r="J54" s="95"/>
      <c r="K54" s="63"/>
      <c r="L54" s="63"/>
      <c r="M54" s="63">
        <f t="shared" si="34"/>
        <v>7627000</v>
      </c>
      <c r="N54" s="95">
        <f>10600000-3000000</f>
        <v>7600000</v>
      </c>
      <c r="O54" s="95">
        <f>10600000-3000000</f>
        <v>7600000</v>
      </c>
      <c r="P54" s="63">
        <v>9000000</v>
      </c>
      <c r="Q54" s="63">
        <v>9000000</v>
      </c>
      <c r="R54" s="63">
        <v>8500000</v>
      </c>
      <c r="S54" s="70">
        <f t="shared" si="35"/>
        <v>1373000</v>
      </c>
      <c r="T54" s="70">
        <f t="shared" si="36"/>
        <v>1400000</v>
      </c>
      <c r="U54" s="70">
        <f t="shared" si="36"/>
        <v>1400000</v>
      </c>
      <c r="V54" s="506">
        <f t="shared" si="4"/>
        <v>1373000</v>
      </c>
      <c r="W54" s="506">
        <f t="shared" si="5"/>
        <v>0</v>
      </c>
      <c r="X54" s="31"/>
      <c r="Y54" s="486"/>
      <c r="Z54" s="31"/>
      <c r="AA54" s="31"/>
      <c r="AB54" s="31"/>
    </row>
    <row r="55" spans="1:28" x14ac:dyDescent="0.3">
      <c r="A55" s="542">
        <v>3236</v>
      </c>
      <c r="B55" s="535" t="s">
        <v>29</v>
      </c>
      <c r="C55" s="94">
        <v>1991000</v>
      </c>
      <c r="D55" s="63"/>
      <c r="E55" s="63">
        <v>1991000</v>
      </c>
      <c r="F55" s="63">
        <v>1991000</v>
      </c>
      <c r="G55" s="63">
        <v>1991000</v>
      </c>
      <c r="H55" s="96">
        <v>1991000</v>
      </c>
      <c r="I55" s="96"/>
      <c r="J55" s="96"/>
      <c r="K55" s="96"/>
      <c r="L55" s="96"/>
      <c r="M55" s="63">
        <f t="shared" si="34"/>
        <v>1991000</v>
      </c>
      <c r="N55" s="63">
        <v>2500000</v>
      </c>
      <c r="O55" s="63">
        <v>2500000</v>
      </c>
      <c r="P55" s="63">
        <v>2200000</v>
      </c>
      <c r="Q55" s="63">
        <v>2200000</v>
      </c>
      <c r="R55" s="63">
        <v>2200000</v>
      </c>
      <c r="S55" s="70">
        <f t="shared" si="35"/>
        <v>209000</v>
      </c>
      <c r="T55" s="70">
        <f t="shared" si="36"/>
        <v>-300000</v>
      </c>
      <c r="U55" s="70">
        <f t="shared" si="36"/>
        <v>-300000</v>
      </c>
      <c r="V55" s="506">
        <f t="shared" si="4"/>
        <v>209000</v>
      </c>
      <c r="W55" s="506">
        <f t="shared" si="5"/>
        <v>0</v>
      </c>
      <c r="X55" s="31" t="s">
        <v>380</v>
      </c>
      <c r="Y55" s="486"/>
      <c r="Z55" s="31"/>
      <c r="AA55" s="31"/>
      <c r="AB55" s="31"/>
    </row>
    <row r="56" spans="1:28" ht="13.05" x14ac:dyDescent="0.3">
      <c r="A56" s="542">
        <v>3237</v>
      </c>
      <c r="B56" s="535" t="s">
        <v>30</v>
      </c>
      <c r="C56" s="94">
        <v>1991000</v>
      </c>
      <c r="D56" s="63"/>
      <c r="E56" s="63">
        <v>3339800</v>
      </c>
      <c r="F56" s="63">
        <v>1991000</v>
      </c>
      <c r="G56" s="63">
        <v>1991000</v>
      </c>
      <c r="H56" s="63">
        <v>3339800</v>
      </c>
      <c r="I56" s="63"/>
      <c r="J56" s="63"/>
      <c r="K56" s="63"/>
      <c r="L56" s="63"/>
      <c r="M56" s="63">
        <f t="shared" si="34"/>
        <v>3339800</v>
      </c>
      <c r="N56" s="63">
        <v>3400000</v>
      </c>
      <c r="O56" s="63">
        <v>3400000</v>
      </c>
      <c r="P56" s="63">
        <v>4000000</v>
      </c>
      <c r="Q56" s="63">
        <v>4000000</v>
      </c>
      <c r="R56" s="63">
        <v>4000000</v>
      </c>
      <c r="S56" s="70">
        <f t="shared" si="35"/>
        <v>660200</v>
      </c>
      <c r="T56" s="70">
        <f t="shared" si="36"/>
        <v>600000</v>
      </c>
      <c r="U56" s="70">
        <f t="shared" si="36"/>
        <v>600000</v>
      </c>
      <c r="V56" s="506">
        <f t="shared" si="4"/>
        <v>660200</v>
      </c>
      <c r="W56" s="506">
        <f t="shared" si="5"/>
        <v>0</v>
      </c>
      <c r="X56" s="31"/>
      <c r="Y56" s="486"/>
      <c r="Z56" s="31"/>
      <c r="AA56" s="31"/>
      <c r="AB56" s="31"/>
    </row>
    <row r="57" spans="1:28" ht="13.05" x14ac:dyDescent="0.3">
      <c r="A57" s="542">
        <v>3239</v>
      </c>
      <c r="B57" s="535" t="s">
        <v>31</v>
      </c>
      <c r="C57" s="94">
        <v>5574000</v>
      </c>
      <c r="D57" s="63"/>
      <c r="E57" s="95">
        <v>7149000</v>
      </c>
      <c r="F57" s="95">
        <v>5574000</v>
      </c>
      <c r="G57" s="95">
        <v>5574000</v>
      </c>
      <c r="H57" s="95">
        <f>7149000-1000000</f>
        <v>6149000</v>
      </c>
      <c r="I57" s="95"/>
      <c r="J57" s="95"/>
      <c r="K57" s="63"/>
      <c r="L57" s="63"/>
      <c r="M57" s="63">
        <f t="shared" si="34"/>
        <v>6149000</v>
      </c>
      <c r="N57" s="95">
        <f>7600000-1500000</f>
        <v>6100000</v>
      </c>
      <c r="O57" s="95">
        <f>7600000-1500000</f>
        <v>6100000</v>
      </c>
      <c r="P57" s="70">
        <v>7000000</v>
      </c>
      <c r="Q57" s="70">
        <v>7000000</v>
      </c>
      <c r="R57" s="70">
        <v>7000000</v>
      </c>
      <c r="S57" s="70">
        <f t="shared" si="35"/>
        <v>851000</v>
      </c>
      <c r="T57" s="70">
        <f t="shared" si="36"/>
        <v>900000</v>
      </c>
      <c r="U57" s="70">
        <f t="shared" si="36"/>
        <v>900000</v>
      </c>
      <c r="V57" s="506">
        <f t="shared" si="4"/>
        <v>851000</v>
      </c>
      <c r="W57" s="506">
        <f t="shared" si="5"/>
        <v>0</v>
      </c>
      <c r="X57" s="31"/>
      <c r="Y57" s="486"/>
      <c r="Z57" s="31"/>
      <c r="AA57" s="31"/>
      <c r="AB57" s="31"/>
    </row>
    <row r="58" spans="1:28" ht="24" customHeight="1" x14ac:dyDescent="0.3">
      <c r="A58" s="541">
        <v>324</v>
      </c>
      <c r="B58" s="89" t="s">
        <v>32</v>
      </c>
      <c r="C58" s="90">
        <f t="shared" ref="C58:U58" si="37">SUM(C59)</f>
        <v>53000</v>
      </c>
      <c r="D58" s="62"/>
      <c r="E58" s="62">
        <f t="shared" si="37"/>
        <v>53000</v>
      </c>
      <c r="F58" s="91">
        <f t="shared" si="37"/>
        <v>53000</v>
      </c>
      <c r="G58" s="91">
        <f t="shared" si="37"/>
        <v>53000</v>
      </c>
      <c r="H58" s="91">
        <f t="shared" si="37"/>
        <v>53000</v>
      </c>
      <c r="I58" s="91">
        <f t="shared" si="37"/>
        <v>0</v>
      </c>
      <c r="J58" s="91">
        <f t="shared" si="37"/>
        <v>0</v>
      </c>
      <c r="K58" s="91">
        <f t="shared" si="37"/>
        <v>0</v>
      </c>
      <c r="L58" s="91">
        <f t="shared" si="37"/>
        <v>0</v>
      </c>
      <c r="M58" s="91">
        <f t="shared" si="37"/>
        <v>53000</v>
      </c>
      <c r="N58" s="91">
        <f t="shared" si="37"/>
        <v>53000</v>
      </c>
      <c r="O58" s="91">
        <f t="shared" si="37"/>
        <v>53000</v>
      </c>
      <c r="P58" s="91">
        <f t="shared" si="37"/>
        <v>50000</v>
      </c>
      <c r="Q58" s="91">
        <f t="shared" si="37"/>
        <v>50000</v>
      </c>
      <c r="R58" s="91">
        <f t="shared" si="37"/>
        <v>50000</v>
      </c>
      <c r="S58" s="91">
        <f t="shared" si="37"/>
        <v>-3000</v>
      </c>
      <c r="T58" s="91">
        <f t="shared" si="37"/>
        <v>-3000</v>
      </c>
      <c r="U58" s="91">
        <f t="shared" si="37"/>
        <v>-3000</v>
      </c>
      <c r="V58" s="506">
        <f t="shared" si="4"/>
        <v>-3000</v>
      </c>
      <c r="W58" s="506">
        <f t="shared" si="5"/>
        <v>0</v>
      </c>
      <c r="X58" s="31"/>
      <c r="Y58" s="486"/>
      <c r="Z58" s="31"/>
      <c r="AA58" s="31"/>
      <c r="AB58" s="31"/>
    </row>
    <row r="59" spans="1:28" x14ac:dyDescent="0.3">
      <c r="A59" s="542">
        <v>3241</v>
      </c>
      <c r="B59" s="535" t="s">
        <v>32</v>
      </c>
      <c r="C59" s="94">
        <v>53000</v>
      </c>
      <c r="D59" s="63"/>
      <c r="E59" s="63">
        <v>53000</v>
      </c>
      <c r="F59" s="95">
        <v>53000</v>
      </c>
      <c r="G59" s="95">
        <v>53000</v>
      </c>
      <c r="H59" s="95">
        <v>53000</v>
      </c>
      <c r="I59" s="95"/>
      <c r="J59" s="95"/>
      <c r="K59" s="63"/>
      <c r="L59" s="63"/>
      <c r="M59" s="63">
        <f>H59-I59+J59-K59+L59</f>
        <v>53000</v>
      </c>
      <c r="N59" s="95">
        <v>53000</v>
      </c>
      <c r="O59" s="95">
        <v>53000</v>
      </c>
      <c r="P59" s="63">
        <v>50000</v>
      </c>
      <c r="Q59" s="63">
        <v>50000</v>
      </c>
      <c r="R59" s="63">
        <v>50000</v>
      </c>
      <c r="S59" s="70">
        <f>P59-M59</f>
        <v>-3000</v>
      </c>
      <c r="T59" s="70">
        <f>P59-N59</f>
        <v>-3000</v>
      </c>
      <c r="U59" s="70">
        <f>Q59-O59</f>
        <v>-3000</v>
      </c>
      <c r="V59" s="506">
        <f t="shared" si="4"/>
        <v>-3000</v>
      </c>
      <c r="W59" s="506">
        <f t="shared" si="5"/>
        <v>0</v>
      </c>
      <c r="X59" s="31"/>
      <c r="Y59" s="486"/>
      <c r="Z59" s="31"/>
      <c r="AA59" s="31"/>
      <c r="AB59" s="31"/>
    </row>
    <row r="60" spans="1:28" ht="13.05" x14ac:dyDescent="0.3">
      <c r="A60" s="541">
        <v>329</v>
      </c>
      <c r="B60" s="89" t="s">
        <v>33</v>
      </c>
      <c r="C60" s="90">
        <f t="shared" ref="C60:U60" si="38">SUM(C61:C67)</f>
        <v>3411000</v>
      </c>
      <c r="D60" s="62"/>
      <c r="E60" s="62">
        <f t="shared" si="38"/>
        <v>3411000</v>
      </c>
      <c r="F60" s="91">
        <f t="shared" si="38"/>
        <v>3411000</v>
      </c>
      <c r="G60" s="91">
        <f t="shared" si="38"/>
        <v>3411000</v>
      </c>
      <c r="H60" s="91">
        <f t="shared" si="38"/>
        <v>3411000</v>
      </c>
      <c r="I60" s="91">
        <f t="shared" si="38"/>
        <v>0</v>
      </c>
      <c r="J60" s="91">
        <f t="shared" si="38"/>
        <v>0</v>
      </c>
      <c r="K60" s="91">
        <f t="shared" si="38"/>
        <v>0</v>
      </c>
      <c r="L60" s="91">
        <f t="shared" si="38"/>
        <v>0</v>
      </c>
      <c r="M60" s="91">
        <f t="shared" si="38"/>
        <v>3411000</v>
      </c>
      <c r="N60" s="91">
        <f t="shared" si="38"/>
        <v>3807000</v>
      </c>
      <c r="O60" s="91">
        <f t="shared" si="38"/>
        <v>3807000</v>
      </c>
      <c r="P60" s="91">
        <f t="shared" si="38"/>
        <v>3670000</v>
      </c>
      <c r="Q60" s="91">
        <f t="shared" si="38"/>
        <v>3810000</v>
      </c>
      <c r="R60" s="91">
        <f t="shared" si="38"/>
        <v>3810000</v>
      </c>
      <c r="S60" s="91">
        <f t="shared" si="38"/>
        <v>259000</v>
      </c>
      <c r="T60" s="91">
        <f t="shared" si="38"/>
        <v>-137000</v>
      </c>
      <c r="U60" s="91">
        <f t="shared" si="38"/>
        <v>3000</v>
      </c>
      <c r="V60" s="506">
        <f t="shared" si="4"/>
        <v>259000</v>
      </c>
      <c r="W60" s="506">
        <f t="shared" si="5"/>
        <v>0</v>
      </c>
      <c r="X60" s="31"/>
      <c r="Y60" s="486"/>
      <c r="Z60" s="31"/>
      <c r="AA60" s="31"/>
      <c r="AB60" s="31"/>
    </row>
    <row r="61" spans="1:28" ht="21" customHeight="1" x14ac:dyDescent="0.3">
      <c r="A61" s="542">
        <v>3291</v>
      </c>
      <c r="B61" s="535" t="s">
        <v>34</v>
      </c>
      <c r="C61" s="94">
        <v>133000</v>
      </c>
      <c r="D61" s="63"/>
      <c r="E61" s="63">
        <v>133000</v>
      </c>
      <c r="F61" s="95">
        <v>133000</v>
      </c>
      <c r="G61" s="95">
        <v>133000</v>
      </c>
      <c r="H61" s="95">
        <v>133000</v>
      </c>
      <c r="I61" s="95"/>
      <c r="J61" s="95"/>
      <c r="K61" s="63"/>
      <c r="L61" s="63"/>
      <c r="M61" s="63">
        <f t="shared" ref="M61:M67" si="39">H61-I61+J61-K61+L61</f>
        <v>133000</v>
      </c>
      <c r="N61" s="95">
        <v>133000</v>
      </c>
      <c r="O61" s="95">
        <v>133000</v>
      </c>
      <c r="P61" s="63">
        <v>50000</v>
      </c>
      <c r="Q61" s="63">
        <v>50000</v>
      </c>
      <c r="R61" s="63">
        <v>50000</v>
      </c>
      <c r="S61" s="70">
        <f t="shared" ref="S61:S67" si="40">P61-M61</f>
        <v>-83000</v>
      </c>
      <c r="T61" s="70">
        <f t="shared" ref="T61:U67" si="41">P61-N61</f>
        <v>-83000</v>
      </c>
      <c r="U61" s="70">
        <f t="shared" si="41"/>
        <v>-83000</v>
      </c>
      <c r="V61" s="506">
        <f t="shared" si="4"/>
        <v>-83000</v>
      </c>
      <c r="W61" s="506">
        <f t="shared" si="5"/>
        <v>0</v>
      </c>
      <c r="X61" s="31"/>
      <c r="Y61" s="486"/>
      <c r="Z61" s="31"/>
      <c r="AA61" s="31"/>
      <c r="AB61" s="31"/>
    </row>
    <row r="62" spans="1:28" ht="13.05" x14ac:dyDescent="0.3">
      <c r="A62" s="542">
        <v>3292</v>
      </c>
      <c r="B62" s="535" t="s">
        <v>35</v>
      </c>
      <c r="C62" s="94">
        <v>1460000</v>
      </c>
      <c r="D62" s="63"/>
      <c r="E62" s="63">
        <v>1460000</v>
      </c>
      <c r="F62" s="63">
        <v>1460000</v>
      </c>
      <c r="G62" s="63">
        <v>1460000</v>
      </c>
      <c r="H62" s="63">
        <v>1460000</v>
      </c>
      <c r="I62" s="63"/>
      <c r="J62" s="63"/>
      <c r="K62" s="63"/>
      <c r="L62" s="63"/>
      <c r="M62" s="63">
        <f t="shared" si="39"/>
        <v>1460000</v>
      </c>
      <c r="N62" s="63">
        <v>1460000</v>
      </c>
      <c r="O62" s="63">
        <v>1460000</v>
      </c>
      <c r="P62" s="63">
        <v>1500000</v>
      </c>
      <c r="Q62" s="63">
        <v>1500000</v>
      </c>
      <c r="R62" s="63">
        <v>1500000</v>
      </c>
      <c r="S62" s="70">
        <f t="shared" si="40"/>
        <v>40000</v>
      </c>
      <c r="T62" s="70">
        <f t="shared" si="41"/>
        <v>40000</v>
      </c>
      <c r="U62" s="70">
        <f t="shared" si="41"/>
        <v>40000</v>
      </c>
      <c r="V62" s="506">
        <f t="shared" si="4"/>
        <v>40000</v>
      </c>
      <c r="W62" s="506">
        <f t="shared" si="5"/>
        <v>0</v>
      </c>
      <c r="X62" s="31"/>
      <c r="Y62" s="486"/>
      <c r="Z62" s="31"/>
      <c r="AA62" s="31"/>
      <c r="AB62" s="31"/>
    </row>
    <row r="63" spans="1:28" x14ac:dyDescent="0.3">
      <c r="A63" s="92">
        <v>3293</v>
      </c>
      <c r="B63" s="93" t="s">
        <v>36</v>
      </c>
      <c r="C63" s="94">
        <v>93000</v>
      </c>
      <c r="D63" s="63"/>
      <c r="E63" s="63">
        <v>93000</v>
      </c>
      <c r="F63" s="63">
        <v>93000</v>
      </c>
      <c r="G63" s="63">
        <v>93000</v>
      </c>
      <c r="H63" s="63">
        <v>93000</v>
      </c>
      <c r="I63" s="63"/>
      <c r="J63" s="63"/>
      <c r="K63" s="63"/>
      <c r="L63" s="63"/>
      <c r="M63" s="63">
        <f t="shared" si="39"/>
        <v>93000</v>
      </c>
      <c r="N63" s="63">
        <v>100000</v>
      </c>
      <c r="O63" s="63">
        <v>100000</v>
      </c>
      <c r="P63" s="63">
        <v>150000</v>
      </c>
      <c r="Q63" s="63">
        <v>150000</v>
      </c>
      <c r="R63" s="63">
        <v>150000</v>
      </c>
      <c r="S63" s="70">
        <f t="shared" si="40"/>
        <v>57000</v>
      </c>
      <c r="T63" s="70">
        <f t="shared" si="41"/>
        <v>50000</v>
      </c>
      <c r="U63" s="70">
        <f t="shared" si="41"/>
        <v>50000</v>
      </c>
      <c r="V63" s="506">
        <f t="shared" si="4"/>
        <v>57000</v>
      </c>
      <c r="W63" s="506">
        <f t="shared" si="5"/>
        <v>0</v>
      </c>
      <c r="X63" s="31"/>
      <c r="Y63" s="486"/>
      <c r="Z63" s="31"/>
      <c r="AA63" s="31"/>
      <c r="AB63" s="31"/>
    </row>
    <row r="64" spans="1:28" x14ac:dyDescent="0.3">
      <c r="A64" s="542">
        <v>3294</v>
      </c>
      <c r="B64" s="535" t="s">
        <v>37</v>
      </c>
      <c r="C64" s="548">
        <v>955000</v>
      </c>
      <c r="D64" s="70"/>
      <c r="E64" s="70">
        <v>955000</v>
      </c>
      <c r="F64" s="70">
        <v>955000</v>
      </c>
      <c r="G64" s="70">
        <v>955000</v>
      </c>
      <c r="H64" s="70">
        <v>955000</v>
      </c>
      <c r="I64" s="70"/>
      <c r="J64" s="70"/>
      <c r="K64" s="70"/>
      <c r="L64" s="70"/>
      <c r="M64" s="63">
        <f t="shared" si="39"/>
        <v>955000</v>
      </c>
      <c r="N64" s="70">
        <v>1000000</v>
      </c>
      <c r="O64" s="70">
        <v>1000000</v>
      </c>
      <c r="P64" s="70">
        <v>960000</v>
      </c>
      <c r="Q64" s="70">
        <v>1000000</v>
      </c>
      <c r="R64" s="70">
        <v>1000000</v>
      </c>
      <c r="S64" s="70">
        <f t="shared" si="40"/>
        <v>5000</v>
      </c>
      <c r="T64" s="70">
        <f t="shared" si="41"/>
        <v>-40000</v>
      </c>
      <c r="U64" s="70">
        <f t="shared" si="41"/>
        <v>0</v>
      </c>
      <c r="V64" s="506">
        <f t="shared" si="4"/>
        <v>5000</v>
      </c>
      <c r="W64" s="506">
        <f t="shared" si="5"/>
        <v>0</v>
      </c>
      <c r="X64" s="31"/>
      <c r="Y64" s="486"/>
      <c r="Z64" s="31"/>
      <c r="AA64" s="31"/>
      <c r="AB64" s="31"/>
    </row>
    <row r="65" spans="1:38" x14ac:dyDescent="0.3">
      <c r="A65" s="542">
        <v>3295</v>
      </c>
      <c r="B65" s="535" t="s">
        <v>38</v>
      </c>
      <c r="C65" s="94">
        <v>14000</v>
      </c>
      <c r="D65" s="63"/>
      <c r="E65" s="63">
        <v>14000</v>
      </c>
      <c r="F65" s="63">
        <v>14000</v>
      </c>
      <c r="G65" s="63">
        <v>14000</v>
      </c>
      <c r="H65" s="63">
        <v>14000</v>
      </c>
      <c r="I65" s="63"/>
      <c r="J65" s="63"/>
      <c r="K65" s="63"/>
      <c r="L65" s="63"/>
      <c r="M65" s="63">
        <f t="shared" si="39"/>
        <v>14000</v>
      </c>
      <c r="N65" s="63">
        <v>14000</v>
      </c>
      <c r="O65" s="63">
        <v>14000</v>
      </c>
      <c r="P65" s="63">
        <v>10000</v>
      </c>
      <c r="Q65" s="63">
        <v>10000</v>
      </c>
      <c r="R65" s="63">
        <v>10000</v>
      </c>
      <c r="S65" s="70">
        <f t="shared" si="40"/>
        <v>-4000</v>
      </c>
      <c r="T65" s="70">
        <f t="shared" si="41"/>
        <v>-4000</v>
      </c>
      <c r="U65" s="70">
        <f t="shared" si="41"/>
        <v>-4000</v>
      </c>
      <c r="V65" s="506">
        <f t="shared" si="4"/>
        <v>-4000</v>
      </c>
      <c r="W65" s="506">
        <f t="shared" si="5"/>
        <v>0</v>
      </c>
      <c r="X65" s="31"/>
      <c r="Y65" s="486"/>
      <c r="Z65" s="31"/>
      <c r="AA65" s="31"/>
      <c r="AB65" s="31"/>
    </row>
    <row r="66" spans="1:38" x14ac:dyDescent="0.3">
      <c r="A66" s="542">
        <v>3296</v>
      </c>
      <c r="B66" s="535" t="s">
        <v>39</v>
      </c>
      <c r="C66" s="94">
        <v>358000</v>
      </c>
      <c r="D66" s="63"/>
      <c r="E66" s="63">
        <v>358000</v>
      </c>
      <c r="F66" s="63">
        <v>358000</v>
      </c>
      <c r="G66" s="63">
        <v>358000</v>
      </c>
      <c r="H66" s="63">
        <v>358000</v>
      </c>
      <c r="I66" s="63"/>
      <c r="J66" s="63"/>
      <c r="K66" s="63"/>
      <c r="L66" s="63"/>
      <c r="M66" s="63">
        <f t="shared" si="39"/>
        <v>358000</v>
      </c>
      <c r="N66" s="63">
        <v>700000</v>
      </c>
      <c r="O66" s="63">
        <v>700000</v>
      </c>
      <c r="P66" s="63">
        <v>500000</v>
      </c>
      <c r="Q66" s="63">
        <v>600000</v>
      </c>
      <c r="R66" s="63">
        <v>600000</v>
      </c>
      <c r="S66" s="70">
        <f t="shared" si="40"/>
        <v>142000</v>
      </c>
      <c r="T66" s="70">
        <f t="shared" si="41"/>
        <v>-200000</v>
      </c>
      <c r="U66" s="70">
        <f t="shared" si="41"/>
        <v>-100000</v>
      </c>
      <c r="V66" s="506">
        <f t="shared" si="4"/>
        <v>142000</v>
      </c>
      <c r="W66" s="506">
        <f t="shared" si="5"/>
        <v>0</v>
      </c>
      <c r="X66" s="31"/>
      <c r="Y66" s="486"/>
      <c r="Z66" s="31"/>
      <c r="AA66" s="31"/>
      <c r="AB66" s="31"/>
    </row>
    <row r="67" spans="1:38" x14ac:dyDescent="0.3">
      <c r="A67" s="542">
        <v>3299</v>
      </c>
      <c r="B67" s="535" t="s">
        <v>33</v>
      </c>
      <c r="C67" s="94">
        <v>398000</v>
      </c>
      <c r="D67" s="63"/>
      <c r="E67" s="63">
        <v>398000</v>
      </c>
      <c r="F67" s="63">
        <v>398000</v>
      </c>
      <c r="G67" s="63">
        <v>398000</v>
      </c>
      <c r="H67" s="63">
        <v>398000</v>
      </c>
      <c r="I67" s="63"/>
      <c r="J67" s="63"/>
      <c r="K67" s="63"/>
      <c r="L67" s="63"/>
      <c r="M67" s="63">
        <f t="shared" si="39"/>
        <v>398000</v>
      </c>
      <c r="N67" s="63">
        <v>400000</v>
      </c>
      <c r="O67" s="63">
        <v>400000</v>
      </c>
      <c r="P67" s="63">
        <v>500000</v>
      </c>
      <c r="Q67" s="63">
        <v>500000</v>
      </c>
      <c r="R67" s="63">
        <v>500000</v>
      </c>
      <c r="S67" s="70">
        <f t="shared" si="40"/>
        <v>102000</v>
      </c>
      <c r="T67" s="70">
        <f t="shared" si="41"/>
        <v>100000</v>
      </c>
      <c r="U67" s="70">
        <f t="shared" si="41"/>
        <v>100000</v>
      </c>
      <c r="V67" s="506">
        <f t="shared" si="4"/>
        <v>102000</v>
      </c>
      <c r="W67" s="506">
        <f t="shared" si="5"/>
        <v>0</v>
      </c>
      <c r="X67" s="31"/>
      <c r="Y67" s="486"/>
      <c r="Z67" s="31"/>
      <c r="AA67" s="31"/>
      <c r="AB67" s="31"/>
    </row>
    <row r="68" spans="1:38" s="11" customFormat="1" ht="18" customHeight="1" x14ac:dyDescent="0.3">
      <c r="A68" s="144" t="s">
        <v>319</v>
      </c>
      <c r="B68" s="145" t="s">
        <v>320</v>
      </c>
      <c r="C68" s="531">
        <f t="shared" ref="C68:U68" si="42">SUM(C69)</f>
        <v>163000</v>
      </c>
      <c r="D68" s="141"/>
      <c r="E68" s="141">
        <f t="shared" si="42"/>
        <v>163000</v>
      </c>
      <c r="F68" s="364">
        <f t="shared" si="42"/>
        <v>163000</v>
      </c>
      <c r="G68" s="364">
        <f t="shared" si="42"/>
        <v>163000</v>
      </c>
      <c r="H68" s="364">
        <f t="shared" si="42"/>
        <v>163000</v>
      </c>
      <c r="I68" s="364">
        <f t="shared" si="42"/>
        <v>80000</v>
      </c>
      <c r="J68" s="364">
        <f t="shared" si="42"/>
        <v>0</v>
      </c>
      <c r="K68" s="364">
        <f t="shared" si="42"/>
        <v>0</v>
      </c>
      <c r="L68" s="364">
        <f t="shared" si="42"/>
        <v>0</v>
      </c>
      <c r="M68" s="364">
        <f t="shared" si="42"/>
        <v>83000</v>
      </c>
      <c r="N68" s="364">
        <f t="shared" si="42"/>
        <v>163000</v>
      </c>
      <c r="O68" s="364">
        <f>SUM(O69)</f>
        <v>163000</v>
      </c>
      <c r="P68" s="364">
        <f t="shared" ref="P68:R68" si="43">SUM(P69)</f>
        <v>105000</v>
      </c>
      <c r="Q68" s="364">
        <f t="shared" si="43"/>
        <v>105000</v>
      </c>
      <c r="R68" s="364">
        <f t="shared" si="43"/>
        <v>105000</v>
      </c>
      <c r="S68" s="532">
        <f t="shared" si="42"/>
        <v>22000</v>
      </c>
      <c r="T68" s="532">
        <f>SUM(T69)</f>
        <v>-58000</v>
      </c>
      <c r="U68" s="532">
        <f t="shared" si="42"/>
        <v>-58000</v>
      </c>
      <c r="V68" s="506">
        <f t="shared" si="4"/>
        <v>22000</v>
      </c>
      <c r="W68" s="506">
        <f t="shared" si="5"/>
        <v>0</v>
      </c>
      <c r="X68" s="60" t="s">
        <v>397</v>
      </c>
      <c r="Y68" s="490"/>
      <c r="Z68" s="34"/>
      <c r="AA68" s="34"/>
      <c r="AB68" s="34"/>
      <c r="AH68" s="549"/>
      <c r="AI68" s="549"/>
      <c r="AJ68" s="549"/>
      <c r="AK68" s="549"/>
      <c r="AL68" s="549"/>
    </row>
    <row r="69" spans="1:38" x14ac:dyDescent="0.3">
      <c r="A69" s="541">
        <v>343</v>
      </c>
      <c r="B69" s="89" t="s">
        <v>40</v>
      </c>
      <c r="C69" s="90">
        <f t="shared" ref="C69:U69" si="44">SUM(C70:C73)</f>
        <v>163000</v>
      </c>
      <c r="D69" s="62"/>
      <c r="E69" s="62">
        <f t="shared" ref="E69" si="45">SUM(E70:E73)</f>
        <v>163000</v>
      </c>
      <c r="F69" s="91">
        <f t="shared" si="44"/>
        <v>163000</v>
      </c>
      <c r="G69" s="91">
        <f t="shared" si="44"/>
        <v>163000</v>
      </c>
      <c r="H69" s="91">
        <f t="shared" si="44"/>
        <v>163000</v>
      </c>
      <c r="I69" s="91">
        <f t="shared" si="44"/>
        <v>80000</v>
      </c>
      <c r="J69" s="91">
        <f t="shared" si="44"/>
        <v>0</v>
      </c>
      <c r="K69" s="91">
        <f t="shared" si="44"/>
        <v>0</v>
      </c>
      <c r="L69" s="91">
        <f t="shared" si="44"/>
        <v>0</v>
      </c>
      <c r="M69" s="91">
        <f t="shared" si="44"/>
        <v>83000</v>
      </c>
      <c r="N69" s="91">
        <f t="shared" si="44"/>
        <v>163000</v>
      </c>
      <c r="O69" s="91">
        <f t="shared" si="44"/>
        <v>163000</v>
      </c>
      <c r="P69" s="91">
        <f t="shared" si="44"/>
        <v>105000</v>
      </c>
      <c r="Q69" s="91">
        <f t="shared" si="44"/>
        <v>105000</v>
      </c>
      <c r="R69" s="91">
        <f t="shared" si="44"/>
        <v>105000</v>
      </c>
      <c r="S69" s="91">
        <f t="shared" si="44"/>
        <v>22000</v>
      </c>
      <c r="T69" s="91">
        <f t="shared" si="44"/>
        <v>-58000</v>
      </c>
      <c r="U69" s="91">
        <f t="shared" si="44"/>
        <v>-58000</v>
      </c>
      <c r="V69" s="506">
        <f t="shared" si="4"/>
        <v>22000</v>
      </c>
      <c r="W69" s="506">
        <f t="shared" si="5"/>
        <v>0</v>
      </c>
      <c r="X69" s="31"/>
      <c r="Y69" s="486"/>
      <c r="Z69" s="31"/>
      <c r="AA69" s="31"/>
      <c r="AB69" s="31"/>
    </row>
    <row r="70" spans="1:38" ht="12.75" customHeight="1" x14ac:dyDescent="0.3">
      <c r="A70" s="542">
        <v>3431</v>
      </c>
      <c r="B70" s="535" t="s">
        <v>41</v>
      </c>
      <c r="C70" s="94">
        <v>40000</v>
      </c>
      <c r="D70" s="63"/>
      <c r="E70" s="63">
        <v>40000</v>
      </c>
      <c r="F70" s="95">
        <v>40000</v>
      </c>
      <c r="G70" s="95">
        <v>40000</v>
      </c>
      <c r="H70" s="95">
        <v>40000</v>
      </c>
      <c r="I70" s="95">
        <v>20000</v>
      </c>
      <c r="J70" s="95"/>
      <c r="K70" s="63"/>
      <c r="L70" s="63"/>
      <c r="M70" s="63">
        <f>H70-I70+J70-K70+L70</f>
        <v>20000</v>
      </c>
      <c r="N70" s="95">
        <v>40000</v>
      </c>
      <c r="O70" s="95">
        <v>40000</v>
      </c>
      <c r="P70" s="63">
        <v>30000</v>
      </c>
      <c r="Q70" s="63">
        <v>30000</v>
      </c>
      <c r="R70" s="63">
        <v>30000</v>
      </c>
      <c r="S70" s="70">
        <f>P70-M70</f>
        <v>10000</v>
      </c>
      <c r="T70" s="70">
        <f>P70-N70</f>
        <v>-10000</v>
      </c>
      <c r="U70" s="70">
        <f>Q70-O70</f>
        <v>-10000</v>
      </c>
      <c r="V70" s="506">
        <f t="shared" si="4"/>
        <v>10000</v>
      </c>
      <c r="W70" s="506">
        <f t="shared" si="5"/>
        <v>0</v>
      </c>
      <c r="X70" s="31"/>
      <c r="Y70" s="486"/>
      <c r="Z70" s="31"/>
      <c r="AA70" s="31"/>
      <c r="AB70" s="31"/>
    </row>
    <row r="71" spans="1:38" ht="0.75" hidden="1" customHeight="1" x14ac:dyDescent="0.3">
      <c r="A71" s="542">
        <v>3432</v>
      </c>
      <c r="B71" s="535" t="s">
        <v>89</v>
      </c>
      <c r="C71" s="94"/>
      <c r="D71" s="63"/>
      <c r="E71" s="63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63"/>
      <c r="Q71" s="63"/>
      <c r="R71" s="63"/>
      <c r="S71" s="63">
        <f>H71-E71</f>
        <v>0</v>
      </c>
      <c r="T71" s="63"/>
      <c r="U71" s="63">
        <f>N71-G71</f>
        <v>0</v>
      </c>
      <c r="V71" s="506">
        <f t="shared" si="4"/>
        <v>0</v>
      </c>
      <c r="W71" s="506">
        <f t="shared" si="5"/>
        <v>0</v>
      </c>
      <c r="X71" s="31"/>
      <c r="Y71" s="486"/>
      <c r="Z71" s="31"/>
      <c r="AA71" s="31"/>
      <c r="AB71" s="31"/>
    </row>
    <row r="72" spans="1:38" x14ac:dyDescent="0.3">
      <c r="A72" s="542">
        <v>3433</v>
      </c>
      <c r="B72" s="535" t="s">
        <v>42</v>
      </c>
      <c r="C72" s="94">
        <v>66000</v>
      </c>
      <c r="D72" s="63"/>
      <c r="E72" s="63">
        <v>66000</v>
      </c>
      <c r="F72" s="95">
        <v>66000</v>
      </c>
      <c r="G72" s="95">
        <v>66000</v>
      </c>
      <c r="H72" s="95">
        <v>66000</v>
      </c>
      <c r="I72" s="95">
        <v>35000</v>
      </c>
      <c r="J72" s="95"/>
      <c r="K72" s="63"/>
      <c r="L72" s="63"/>
      <c r="M72" s="63">
        <f>H72-I72+J72-K72+L72</f>
        <v>31000</v>
      </c>
      <c r="N72" s="95">
        <v>66000</v>
      </c>
      <c r="O72" s="95">
        <v>66000</v>
      </c>
      <c r="P72" s="63">
        <v>40000</v>
      </c>
      <c r="Q72" s="63">
        <v>40000</v>
      </c>
      <c r="R72" s="63">
        <v>40000</v>
      </c>
      <c r="S72" s="70">
        <f>P72-M72</f>
        <v>9000</v>
      </c>
      <c r="T72" s="70">
        <f>P72-N72</f>
        <v>-26000</v>
      </c>
      <c r="U72" s="70">
        <f>Q72-O72</f>
        <v>-26000</v>
      </c>
      <c r="V72" s="506">
        <f t="shared" si="4"/>
        <v>9000</v>
      </c>
      <c r="W72" s="506">
        <f t="shared" si="5"/>
        <v>0</v>
      </c>
      <c r="X72" s="31"/>
      <c r="Y72" s="486"/>
      <c r="Z72" s="31"/>
      <c r="AA72" s="31"/>
      <c r="AB72" s="31"/>
    </row>
    <row r="73" spans="1:38" x14ac:dyDescent="0.3">
      <c r="A73" s="542">
        <v>3434</v>
      </c>
      <c r="B73" s="535" t="s">
        <v>43</v>
      </c>
      <c r="C73" s="94">
        <v>57000</v>
      </c>
      <c r="D73" s="63"/>
      <c r="E73" s="63">
        <v>57000</v>
      </c>
      <c r="F73" s="95">
        <v>57000</v>
      </c>
      <c r="G73" s="95">
        <v>57000</v>
      </c>
      <c r="H73" s="95">
        <v>57000</v>
      </c>
      <c r="I73" s="95">
        <v>25000</v>
      </c>
      <c r="J73" s="95"/>
      <c r="K73" s="63"/>
      <c r="L73" s="63"/>
      <c r="M73" s="63">
        <f>H73-I73+J73-K73+L73</f>
        <v>32000</v>
      </c>
      <c r="N73" s="95">
        <v>57000</v>
      </c>
      <c r="O73" s="95">
        <v>57000</v>
      </c>
      <c r="P73" s="63">
        <v>35000</v>
      </c>
      <c r="Q73" s="63">
        <v>35000</v>
      </c>
      <c r="R73" s="63">
        <v>35000</v>
      </c>
      <c r="S73" s="70">
        <f>P73-M73</f>
        <v>3000</v>
      </c>
      <c r="T73" s="70">
        <f>P73-N73</f>
        <v>-22000</v>
      </c>
      <c r="U73" s="70">
        <f>Q73-O73</f>
        <v>-22000</v>
      </c>
      <c r="V73" s="506">
        <f t="shared" si="4"/>
        <v>3000</v>
      </c>
      <c r="W73" s="506">
        <f t="shared" si="5"/>
        <v>0</v>
      </c>
      <c r="X73" s="31"/>
      <c r="Y73" s="486"/>
      <c r="Z73" s="31"/>
      <c r="AA73" s="31"/>
      <c r="AB73" s="31"/>
    </row>
    <row r="74" spans="1:38" ht="26.4" x14ac:dyDescent="0.3">
      <c r="A74" s="144" t="s">
        <v>321</v>
      </c>
      <c r="B74" s="145" t="s">
        <v>322</v>
      </c>
      <c r="C74" s="531">
        <f t="shared" ref="C74:U74" si="46">SUM(C75)</f>
        <v>2256000</v>
      </c>
      <c r="D74" s="141"/>
      <c r="E74" s="141">
        <f t="shared" si="46"/>
        <v>2756000</v>
      </c>
      <c r="F74" s="364">
        <f t="shared" si="46"/>
        <v>2256000</v>
      </c>
      <c r="G74" s="364">
        <f t="shared" si="46"/>
        <v>2256000</v>
      </c>
      <c r="H74" s="364">
        <f t="shared" si="46"/>
        <v>2880000</v>
      </c>
      <c r="I74" s="364">
        <f t="shared" si="46"/>
        <v>100000</v>
      </c>
      <c r="J74" s="364">
        <f t="shared" si="46"/>
        <v>0</v>
      </c>
      <c r="K74" s="364">
        <f t="shared" si="46"/>
        <v>0</v>
      </c>
      <c r="L74" s="364">
        <f t="shared" si="46"/>
        <v>0</v>
      </c>
      <c r="M74" s="364">
        <f t="shared" si="46"/>
        <v>2780000</v>
      </c>
      <c r="N74" s="364">
        <f t="shared" si="46"/>
        <v>2880000</v>
      </c>
      <c r="O74" s="364">
        <f t="shared" si="46"/>
        <v>2880000</v>
      </c>
      <c r="P74" s="364">
        <f t="shared" si="46"/>
        <v>3000000</v>
      </c>
      <c r="Q74" s="364">
        <f t="shared" si="46"/>
        <v>3000000</v>
      </c>
      <c r="R74" s="364">
        <f t="shared" si="46"/>
        <v>3000000</v>
      </c>
      <c r="S74" s="532">
        <f t="shared" si="46"/>
        <v>220000</v>
      </c>
      <c r="T74" s="532">
        <f t="shared" si="46"/>
        <v>120000</v>
      </c>
      <c r="U74" s="532">
        <f t="shared" si="46"/>
        <v>120000</v>
      </c>
      <c r="V74" s="506">
        <f t="shared" ref="V74:V138" si="47">P74-M74</f>
        <v>220000</v>
      </c>
      <c r="W74" s="506">
        <f t="shared" ref="W74:W138" si="48">S74-V74</f>
        <v>0</v>
      </c>
      <c r="X74" s="60" t="s">
        <v>397</v>
      </c>
      <c r="Y74" s="490"/>
      <c r="Z74" s="31"/>
      <c r="AA74" s="31"/>
      <c r="AB74" s="31"/>
    </row>
    <row r="75" spans="1:38" ht="26.4" x14ac:dyDescent="0.3">
      <c r="A75" s="550">
        <v>372</v>
      </c>
      <c r="B75" s="89" t="s">
        <v>44</v>
      </c>
      <c r="C75" s="90">
        <f t="shared" ref="C75:F75" si="49">SUM(C76:C77)</f>
        <v>2256000</v>
      </c>
      <c r="D75" s="62"/>
      <c r="E75" s="62">
        <f t="shared" ref="E75" si="50">SUM(E76:E77)</f>
        <v>2756000</v>
      </c>
      <c r="F75" s="91">
        <f t="shared" si="49"/>
        <v>2256000</v>
      </c>
      <c r="G75" s="91">
        <f t="shared" ref="G75:U75" si="51">SUM(G76:G77)</f>
        <v>2256000</v>
      </c>
      <c r="H75" s="91">
        <f t="shared" si="51"/>
        <v>2880000</v>
      </c>
      <c r="I75" s="91">
        <f t="shared" si="51"/>
        <v>100000</v>
      </c>
      <c r="J75" s="91">
        <f t="shared" si="51"/>
        <v>0</v>
      </c>
      <c r="K75" s="91">
        <f t="shared" si="51"/>
        <v>0</v>
      </c>
      <c r="L75" s="91">
        <f t="shared" si="51"/>
        <v>0</v>
      </c>
      <c r="M75" s="91">
        <f t="shared" si="51"/>
        <v>2780000</v>
      </c>
      <c r="N75" s="91">
        <f t="shared" si="51"/>
        <v>2880000</v>
      </c>
      <c r="O75" s="91">
        <f t="shared" si="51"/>
        <v>2880000</v>
      </c>
      <c r="P75" s="91">
        <f t="shared" si="51"/>
        <v>3000000</v>
      </c>
      <c r="Q75" s="91">
        <f t="shared" si="51"/>
        <v>3000000</v>
      </c>
      <c r="R75" s="91">
        <f t="shared" si="51"/>
        <v>3000000</v>
      </c>
      <c r="S75" s="91">
        <f t="shared" si="51"/>
        <v>220000</v>
      </c>
      <c r="T75" s="91">
        <f t="shared" si="51"/>
        <v>120000</v>
      </c>
      <c r="U75" s="91">
        <f t="shared" si="51"/>
        <v>120000</v>
      </c>
      <c r="V75" s="506">
        <f t="shared" si="47"/>
        <v>220000</v>
      </c>
      <c r="W75" s="506">
        <f t="shared" si="48"/>
        <v>0</v>
      </c>
      <c r="X75" s="31"/>
      <c r="Y75" s="486"/>
      <c r="Z75" s="31"/>
      <c r="AA75" s="31"/>
      <c r="AB75" s="31"/>
    </row>
    <row r="76" spans="1:38" ht="12.75" customHeight="1" x14ac:dyDescent="0.3">
      <c r="A76" s="542">
        <v>3721</v>
      </c>
      <c r="B76" s="535" t="s">
        <v>45</v>
      </c>
      <c r="C76" s="551">
        <v>2256000</v>
      </c>
      <c r="D76" s="71"/>
      <c r="E76" s="71">
        <v>2756000</v>
      </c>
      <c r="F76" s="368">
        <v>2256000</v>
      </c>
      <c r="G76" s="368">
        <v>2256000</v>
      </c>
      <c r="H76" s="368">
        <v>2880000</v>
      </c>
      <c r="I76" s="368">
        <v>100000</v>
      </c>
      <c r="J76" s="368"/>
      <c r="K76" s="71"/>
      <c r="L76" s="71"/>
      <c r="M76" s="63">
        <f>H76-I76+J76-K76+L76</f>
        <v>2780000</v>
      </c>
      <c r="N76" s="368">
        <v>2880000</v>
      </c>
      <c r="O76" s="368">
        <v>2880000</v>
      </c>
      <c r="P76" s="71">
        <v>3000000</v>
      </c>
      <c r="Q76" s="71">
        <v>3000000</v>
      </c>
      <c r="R76" s="71">
        <v>3000000</v>
      </c>
      <c r="S76" s="70">
        <f>P76-M76</f>
        <v>220000</v>
      </c>
      <c r="T76" s="70">
        <f>P76-N76</f>
        <v>120000</v>
      </c>
      <c r="U76" s="70">
        <f>Q76-O76</f>
        <v>120000</v>
      </c>
      <c r="V76" s="506">
        <f t="shared" si="47"/>
        <v>220000</v>
      </c>
      <c r="W76" s="506">
        <f t="shared" si="48"/>
        <v>0</v>
      </c>
      <c r="X76" s="31"/>
      <c r="Y76" s="486"/>
      <c r="Z76" s="31"/>
      <c r="AA76" s="31"/>
      <c r="AB76" s="31"/>
    </row>
    <row r="77" spans="1:38" ht="13.05" hidden="1" x14ac:dyDescent="0.3">
      <c r="A77" s="542">
        <v>3722</v>
      </c>
      <c r="B77" s="535" t="s">
        <v>209</v>
      </c>
      <c r="C77" s="551"/>
      <c r="D77" s="71"/>
      <c r="E77" s="71"/>
      <c r="F77" s="368"/>
      <c r="G77" s="368"/>
      <c r="H77" s="368"/>
      <c r="I77" s="368"/>
      <c r="J77" s="368"/>
      <c r="K77" s="368"/>
      <c r="L77" s="368"/>
      <c r="M77" s="368"/>
      <c r="N77" s="368"/>
      <c r="O77" s="368"/>
      <c r="P77" s="368"/>
      <c r="Q77" s="368"/>
      <c r="R77" s="368"/>
      <c r="S77" s="368"/>
      <c r="T77" s="368"/>
      <c r="U77" s="368"/>
      <c r="V77" s="506">
        <f t="shared" si="47"/>
        <v>0</v>
      </c>
      <c r="W77" s="506">
        <f t="shared" si="48"/>
        <v>0</v>
      </c>
      <c r="X77" s="31"/>
      <c r="Y77" s="486"/>
      <c r="Z77" s="31"/>
      <c r="AA77" s="31"/>
      <c r="AB77" s="31"/>
    </row>
    <row r="78" spans="1:38" ht="15.75" customHeight="1" x14ac:dyDescent="0.3">
      <c r="A78" s="144" t="s">
        <v>313</v>
      </c>
      <c r="B78" s="145" t="s">
        <v>314</v>
      </c>
      <c r="C78" s="531">
        <f t="shared" ref="C78:U78" si="52">SUM(C79,C81)</f>
        <v>1434000</v>
      </c>
      <c r="D78" s="141"/>
      <c r="E78" s="141">
        <f t="shared" ref="E78" si="53">SUM(E79,E81)</f>
        <v>1934000</v>
      </c>
      <c r="F78" s="364">
        <f t="shared" si="52"/>
        <v>1434000</v>
      </c>
      <c r="G78" s="364">
        <f t="shared" si="52"/>
        <v>1434000</v>
      </c>
      <c r="H78" s="364">
        <f t="shared" si="52"/>
        <v>1934000</v>
      </c>
      <c r="I78" s="364">
        <f t="shared" si="52"/>
        <v>0</v>
      </c>
      <c r="J78" s="364">
        <f t="shared" si="52"/>
        <v>0</v>
      </c>
      <c r="K78" s="364">
        <f t="shared" si="52"/>
        <v>300000</v>
      </c>
      <c r="L78" s="364">
        <f t="shared" si="52"/>
        <v>0</v>
      </c>
      <c r="M78" s="364">
        <f t="shared" si="52"/>
        <v>1634000</v>
      </c>
      <c r="N78" s="364">
        <f t="shared" si="52"/>
        <v>2607000</v>
      </c>
      <c r="O78" s="364">
        <f t="shared" si="52"/>
        <v>2607000</v>
      </c>
      <c r="P78" s="364">
        <f t="shared" si="52"/>
        <v>2640000</v>
      </c>
      <c r="Q78" s="364">
        <f t="shared" si="52"/>
        <v>2640000</v>
      </c>
      <c r="R78" s="364">
        <f t="shared" si="52"/>
        <v>2640000</v>
      </c>
      <c r="S78" s="532">
        <f t="shared" si="52"/>
        <v>1006000</v>
      </c>
      <c r="T78" s="532">
        <f t="shared" si="52"/>
        <v>33000</v>
      </c>
      <c r="U78" s="532">
        <f t="shared" si="52"/>
        <v>33000</v>
      </c>
      <c r="V78" s="506">
        <f t="shared" si="47"/>
        <v>1006000</v>
      </c>
      <c r="W78" s="506">
        <f t="shared" si="48"/>
        <v>0</v>
      </c>
      <c r="X78" s="69" t="s">
        <v>398</v>
      </c>
      <c r="Y78" s="492"/>
      <c r="Z78" s="31"/>
      <c r="AA78" s="31"/>
      <c r="AB78" s="31"/>
    </row>
    <row r="79" spans="1:38" x14ac:dyDescent="0.3">
      <c r="A79" s="541">
        <v>381</v>
      </c>
      <c r="B79" s="89" t="s">
        <v>46</v>
      </c>
      <c r="C79" s="90">
        <f t="shared" ref="C79:U79" si="54">SUM(C80)</f>
        <v>107000</v>
      </c>
      <c r="D79" s="62"/>
      <c r="E79" s="62">
        <f t="shared" si="54"/>
        <v>107000</v>
      </c>
      <c r="F79" s="91">
        <f t="shared" si="54"/>
        <v>107000</v>
      </c>
      <c r="G79" s="91">
        <f t="shared" si="54"/>
        <v>107000</v>
      </c>
      <c r="H79" s="91">
        <f t="shared" si="54"/>
        <v>107000</v>
      </c>
      <c r="I79" s="91">
        <f t="shared" si="54"/>
        <v>0</v>
      </c>
      <c r="J79" s="91">
        <f t="shared" si="54"/>
        <v>0</v>
      </c>
      <c r="K79" s="91">
        <f t="shared" si="54"/>
        <v>0</v>
      </c>
      <c r="L79" s="91">
        <f t="shared" si="54"/>
        <v>0</v>
      </c>
      <c r="M79" s="91">
        <f t="shared" si="54"/>
        <v>107000</v>
      </c>
      <c r="N79" s="91">
        <f t="shared" si="54"/>
        <v>107000</v>
      </c>
      <c r="O79" s="91">
        <f t="shared" si="54"/>
        <v>107000</v>
      </c>
      <c r="P79" s="91">
        <f t="shared" si="54"/>
        <v>140000</v>
      </c>
      <c r="Q79" s="91">
        <f t="shared" si="54"/>
        <v>140000</v>
      </c>
      <c r="R79" s="91">
        <f t="shared" si="54"/>
        <v>140000</v>
      </c>
      <c r="S79" s="91">
        <f t="shared" si="54"/>
        <v>33000</v>
      </c>
      <c r="T79" s="91">
        <f t="shared" si="54"/>
        <v>33000</v>
      </c>
      <c r="U79" s="91">
        <f t="shared" si="54"/>
        <v>33000</v>
      </c>
      <c r="V79" s="506">
        <f t="shared" si="47"/>
        <v>33000</v>
      </c>
      <c r="W79" s="506">
        <f t="shared" si="48"/>
        <v>0</v>
      </c>
      <c r="X79" s="31"/>
      <c r="Y79" s="486"/>
      <c r="Z79" s="31"/>
      <c r="AA79" s="31"/>
      <c r="AB79" s="31"/>
    </row>
    <row r="80" spans="1:38" x14ac:dyDescent="0.3">
      <c r="A80" s="542">
        <v>3811</v>
      </c>
      <c r="B80" s="535" t="s">
        <v>46</v>
      </c>
      <c r="C80" s="94">
        <v>107000</v>
      </c>
      <c r="D80" s="63"/>
      <c r="E80" s="63">
        <v>107000</v>
      </c>
      <c r="F80" s="95">
        <v>107000</v>
      </c>
      <c r="G80" s="95">
        <v>107000</v>
      </c>
      <c r="H80" s="95">
        <v>107000</v>
      </c>
      <c r="I80" s="95"/>
      <c r="J80" s="95"/>
      <c r="K80" s="63"/>
      <c r="L80" s="63"/>
      <c r="M80" s="63">
        <f>H80-I80+J80-K80+L80</f>
        <v>107000</v>
      </c>
      <c r="N80" s="95">
        <v>107000</v>
      </c>
      <c r="O80" s="95">
        <v>107000</v>
      </c>
      <c r="P80" s="63">
        <v>140000</v>
      </c>
      <c r="Q80" s="63">
        <v>140000</v>
      </c>
      <c r="R80" s="63">
        <v>140000</v>
      </c>
      <c r="S80" s="70">
        <f>P80-M80</f>
        <v>33000</v>
      </c>
      <c r="T80" s="70">
        <f>P80-N80</f>
        <v>33000</v>
      </c>
      <c r="U80" s="70">
        <f>Q80-O80</f>
        <v>33000</v>
      </c>
      <c r="V80" s="506">
        <f t="shared" si="47"/>
        <v>33000</v>
      </c>
      <c r="W80" s="506">
        <f t="shared" si="48"/>
        <v>0</v>
      </c>
      <c r="X80" s="31"/>
      <c r="Y80" s="486"/>
      <c r="Z80" s="31"/>
      <c r="AA80" s="31"/>
      <c r="AB80" s="31"/>
    </row>
    <row r="81" spans="1:30" ht="12" customHeight="1" x14ac:dyDescent="0.3">
      <c r="A81" s="541">
        <v>383</v>
      </c>
      <c r="B81" s="89" t="s">
        <v>47</v>
      </c>
      <c r="C81" s="90">
        <f t="shared" ref="C81:F81" si="55">SUM(C82:C84)</f>
        <v>1327000</v>
      </c>
      <c r="D81" s="62"/>
      <c r="E81" s="62">
        <f t="shared" ref="E81" si="56">SUM(E82:E84)</f>
        <v>1827000</v>
      </c>
      <c r="F81" s="91">
        <f t="shared" si="55"/>
        <v>1327000</v>
      </c>
      <c r="G81" s="91">
        <f t="shared" ref="G81:U81" si="57">SUM(G82:G84)</f>
        <v>1327000</v>
      </c>
      <c r="H81" s="91">
        <f t="shared" si="57"/>
        <v>1827000</v>
      </c>
      <c r="I81" s="91">
        <f t="shared" si="57"/>
        <v>0</v>
      </c>
      <c r="J81" s="91">
        <f t="shared" si="57"/>
        <v>0</v>
      </c>
      <c r="K81" s="91">
        <f t="shared" si="57"/>
        <v>300000</v>
      </c>
      <c r="L81" s="91">
        <f t="shared" si="57"/>
        <v>0</v>
      </c>
      <c r="M81" s="91">
        <f t="shared" si="57"/>
        <v>1527000</v>
      </c>
      <c r="N81" s="91">
        <f t="shared" si="57"/>
        <v>2500000</v>
      </c>
      <c r="O81" s="91">
        <f t="shared" si="57"/>
        <v>2500000</v>
      </c>
      <c r="P81" s="91">
        <f t="shared" si="57"/>
        <v>2500000</v>
      </c>
      <c r="Q81" s="91">
        <f t="shared" si="57"/>
        <v>2500000</v>
      </c>
      <c r="R81" s="91">
        <f t="shared" si="57"/>
        <v>2500000</v>
      </c>
      <c r="S81" s="91">
        <f t="shared" si="57"/>
        <v>973000</v>
      </c>
      <c r="T81" s="91">
        <f t="shared" si="57"/>
        <v>0</v>
      </c>
      <c r="U81" s="91">
        <f t="shared" si="57"/>
        <v>0</v>
      </c>
      <c r="V81" s="506">
        <f t="shared" si="47"/>
        <v>973000</v>
      </c>
      <c r="W81" s="506">
        <f t="shared" si="48"/>
        <v>0</v>
      </c>
      <c r="X81" s="31"/>
      <c r="Y81" s="486"/>
      <c r="Z81" s="31"/>
      <c r="AA81" s="31"/>
      <c r="AB81" s="31"/>
    </row>
    <row r="82" spans="1:30" ht="3.75" hidden="1" customHeight="1" x14ac:dyDescent="0.3">
      <c r="A82" s="542">
        <v>3831</v>
      </c>
      <c r="B82" s="535" t="s">
        <v>122</v>
      </c>
      <c r="C82" s="94"/>
      <c r="D82" s="63"/>
      <c r="E82" s="63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506">
        <f t="shared" si="47"/>
        <v>0</v>
      </c>
      <c r="W82" s="506">
        <f t="shared" si="48"/>
        <v>0</v>
      </c>
      <c r="X82" s="31"/>
      <c r="Y82" s="486"/>
      <c r="Z82" s="31"/>
      <c r="AA82" s="31"/>
      <c r="AB82" s="31"/>
    </row>
    <row r="83" spans="1:30" ht="13.05" hidden="1" x14ac:dyDescent="0.3">
      <c r="A83" s="542">
        <v>3833</v>
      </c>
      <c r="B83" s="535" t="s">
        <v>210</v>
      </c>
      <c r="C83" s="94"/>
      <c r="D83" s="63"/>
      <c r="E83" s="63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506">
        <f t="shared" si="47"/>
        <v>0</v>
      </c>
      <c r="W83" s="506">
        <f t="shared" si="48"/>
        <v>0</v>
      </c>
      <c r="X83" s="31"/>
      <c r="Y83" s="486"/>
      <c r="Z83" s="31"/>
      <c r="AA83" s="31"/>
      <c r="AB83" s="31"/>
    </row>
    <row r="84" spans="1:30" x14ac:dyDescent="0.3">
      <c r="A84" s="542">
        <v>3834</v>
      </c>
      <c r="B84" s="535" t="s">
        <v>48</v>
      </c>
      <c r="C84" s="94">
        <v>1327000</v>
      </c>
      <c r="D84" s="63"/>
      <c r="E84" s="63">
        <v>1827000</v>
      </c>
      <c r="F84" s="95">
        <v>1327000</v>
      </c>
      <c r="G84" s="95">
        <v>1327000</v>
      </c>
      <c r="H84" s="95">
        <v>1827000</v>
      </c>
      <c r="I84" s="95"/>
      <c r="J84" s="95"/>
      <c r="K84" s="63">
        <v>300000</v>
      </c>
      <c r="L84" s="63"/>
      <c r="M84" s="63">
        <f>H84-I84+J84-K84+L84</f>
        <v>1527000</v>
      </c>
      <c r="N84" s="95">
        <v>2500000</v>
      </c>
      <c r="O84" s="95">
        <v>2500000</v>
      </c>
      <c r="P84" s="63">
        <v>2500000</v>
      </c>
      <c r="Q84" s="63">
        <v>2500000</v>
      </c>
      <c r="R84" s="63">
        <v>2500000</v>
      </c>
      <c r="S84" s="70">
        <f>P84-M84</f>
        <v>973000</v>
      </c>
      <c r="T84" s="70">
        <f>P84-N84</f>
        <v>0</v>
      </c>
      <c r="U84" s="70">
        <f>Q84-O84</f>
        <v>0</v>
      </c>
      <c r="V84" s="506">
        <f t="shared" si="47"/>
        <v>973000</v>
      </c>
      <c r="W84" s="506">
        <f t="shared" si="48"/>
        <v>0</v>
      </c>
      <c r="X84" s="31"/>
      <c r="Y84" s="486"/>
      <c r="Z84" s="31"/>
      <c r="AA84" s="31"/>
      <c r="AB84" s="31"/>
    </row>
    <row r="85" spans="1:30" ht="26.25" customHeight="1" x14ac:dyDescent="0.3">
      <c r="A85" s="537" t="s">
        <v>281</v>
      </c>
      <c r="B85" s="538" t="s">
        <v>282</v>
      </c>
      <c r="C85" s="539">
        <f t="shared" ref="C85:U85" si="58">SUM(C86)</f>
        <v>5428000</v>
      </c>
      <c r="D85" s="65"/>
      <c r="E85" s="65">
        <f t="shared" si="58"/>
        <v>3308000</v>
      </c>
      <c r="F85" s="365">
        <f t="shared" si="58"/>
        <v>8746000</v>
      </c>
      <c r="G85" s="365">
        <f t="shared" si="58"/>
        <v>5428000</v>
      </c>
      <c r="H85" s="552">
        <f t="shared" si="58"/>
        <v>3308000</v>
      </c>
      <c r="I85" s="552">
        <f t="shared" si="58"/>
        <v>0</v>
      </c>
      <c r="J85" s="552">
        <f t="shared" si="58"/>
        <v>0</v>
      </c>
      <c r="K85" s="552">
        <f t="shared" si="58"/>
        <v>100000</v>
      </c>
      <c r="L85" s="552">
        <f t="shared" si="58"/>
        <v>0</v>
      </c>
      <c r="M85" s="552">
        <f t="shared" si="58"/>
        <v>3208000</v>
      </c>
      <c r="N85" s="365">
        <f t="shared" si="58"/>
        <v>2928000</v>
      </c>
      <c r="O85" s="365">
        <f t="shared" si="58"/>
        <v>8746000</v>
      </c>
      <c r="P85" s="365">
        <f t="shared" si="58"/>
        <v>6870000</v>
      </c>
      <c r="Q85" s="365">
        <f t="shared" si="58"/>
        <v>10370000</v>
      </c>
      <c r="R85" s="365">
        <f t="shared" si="58"/>
        <v>6470000</v>
      </c>
      <c r="S85" s="365">
        <f t="shared" si="58"/>
        <v>3662000</v>
      </c>
      <c r="T85" s="365">
        <f t="shared" si="58"/>
        <v>3942000</v>
      </c>
      <c r="U85" s="365">
        <f t="shared" si="58"/>
        <v>1624000</v>
      </c>
      <c r="V85" s="506">
        <f t="shared" si="47"/>
        <v>3662000</v>
      </c>
      <c r="W85" s="506">
        <f t="shared" si="48"/>
        <v>0</v>
      </c>
      <c r="X85" s="69" t="s">
        <v>398</v>
      </c>
      <c r="Y85" s="492"/>
      <c r="Z85" s="31"/>
      <c r="AA85" s="31"/>
      <c r="AB85" s="31"/>
      <c r="AD85" s="24"/>
    </row>
    <row r="86" spans="1:30" ht="13.5" customHeight="1" x14ac:dyDescent="0.3">
      <c r="A86" s="700" t="s">
        <v>1</v>
      </c>
      <c r="B86" s="700"/>
      <c r="C86" s="85">
        <f t="shared" ref="C86:U86" si="59">SUM(C87,C100)</f>
        <v>5428000</v>
      </c>
      <c r="D86" s="66"/>
      <c r="E86" s="66">
        <f t="shared" ref="E86" si="60">SUM(E87,E100)</f>
        <v>3308000</v>
      </c>
      <c r="F86" s="86">
        <f t="shared" si="59"/>
        <v>8746000</v>
      </c>
      <c r="G86" s="86">
        <f t="shared" si="59"/>
        <v>5428000</v>
      </c>
      <c r="H86" s="86">
        <f t="shared" si="59"/>
        <v>3308000</v>
      </c>
      <c r="I86" s="86">
        <f t="shared" si="59"/>
        <v>0</v>
      </c>
      <c r="J86" s="86">
        <f t="shared" si="59"/>
        <v>0</v>
      </c>
      <c r="K86" s="86">
        <f t="shared" si="59"/>
        <v>100000</v>
      </c>
      <c r="L86" s="86">
        <f t="shared" si="59"/>
        <v>0</v>
      </c>
      <c r="M86" s="86">
        <f t="shared" si="59"/>
        <v>3208000</v>
      </c>
      <c r="N86" s="86">
        <f t="shared" si="59"/>
        <v>2928000</v>
      </c>
      <c r="O86" s="86">
        <f t="shared" si="59"/>
        <v>8746000</v>
      </c>
      <c r="P86" s="86">
        <f t="shared" si="59"/>
        <v>6870000</v>
      </c>
      <c r="Q86" s="86">
        <f t="shared" si="59"/>
        <v>10370000</v>
      </c>
      <c r="R86" s="86">
        <f t="shared" si="59"/>
        <v>6470000</v>
      </c>
      <c r="S86" s="86">
        <f t="shared" si="59"/>
        <v>3662000</v>
      </c>
      <c r="T86" s="86">
        <f t="shared" si="59"/>
        <v>3942000</v>
      </c>
      <c r="U86" s="86">
        <f t="shared" si="59"/>
        <v>1624000</v>
      </c>
      <c r="V86" s="506">
        <f t="shared" si="47"/>
        <v>3662000</v>
      </c>
      <c r="W86" s="506">
        <f t="shared" si="48"/>
        <v>0</v>
      </c>
      <c r="X86" s="31"/>
      <c r="Y86" s="486"/>
      <c r="Z86" s="31"/>
      <c r="AA86" s="31"/>
      <c r="AB86" s="31"/>
    </row>
    <row r="87" spans="1:30" ht="13.5" customHeight="1" x14ac:dyDescent="0.3">
      <c r="A87" s="540" t="s">
        <v>317</v>
      </c>
      <c r="B87" s="145" t="s">
        <v>318</v>
      </c>
      <c r="C87" s="146">
        <f t="shared" ref="C87:U87" si="61">SUM(C88,C90,C96,C98)</f>
        <v>5163000</v>
      </c>
      <c r="D87" s="142"/>
      <c r="E87" s="142">
        <f t="shared" ref="E87" si="62">SUM(E88,E90,E96,E98)</f>
        <v>3263000</v>
      </c>
      <c r="F87" s="147">
        <f t="shared" si="61"/>
        <v>8481000</v>
      </c>
      <c r="G87" s="147">
        <f t="shared" si="61"/>
        <v>5163000</v>
      </c>
      <c r="H87" s="147">
        <f t="shared" si="61"/>
        <v>3263000</v>
      </c>
      <c r="I87" s="147">
        <f t="shared" si="61"/>
        <v>0</v>
      </c>
      <c r="J87" s="147">
        <f>SUM(J88,J90,J96,J98)</f>
        <v>0</v>
      </c>
      <c r="K87" s="147">
        <f>SUM(K88,K90,K96,K98)</f>
        <v>100000</v>
      </c>
      <c r="L87" s="147">
        <f t="shared" si="61"/>
        <v>0</v>
      </c>
      <c r="M87" s="147">
        <f t="shared" si="61"/>
        <v>3163000</v>
      </c>
      <c r="N87" s="147">
        <f t="shared" si="61"/>
        <v>2863000</v>
      </c>
      <c r="O87" s="147">
        <f t="shared" si="61"/>
        <v>8481000</v>
      </c>
      <c r="P87" s="147">
        <f t="shared" si="61"/>
        <v>6810000</v>
      </c>
      <c r="Q87" s="147">
        <f t="shared" si="61"/>
        <v>10310000</v>
      </c>
      <c r="R87" s="147">
        <f t="shared" si="61"/>
        <v>6410000</v>
      </c>
      <c r="S87" s="87">
        <f t="shared" si="61"/>
        <v>3647000</v>
      </c>
      <c r="T87" s="87">
        <f t="shared" si="61"/>
        <v>3947000</v>
      </c>
      <c r="U87" s="87">
        <f t="shared" si="61"/>
        <v>1829000</v>
      </c>
      <c r="V87" s="506">
        <f t="shared" si="47"/>
        <v>3647000</v>
      </c>
      <c r="W87" s="506">
        <f t="shared" si="48"/>
        <v>0</v>
      </c>
      <c r="X87" s="31"/>
      <c r="Y87" s="486"/>
      <c r="Z87" s="31"/>
      <c r="AA87" s="31"/>
      <c r="AB87" s="31"/>
    </row>
    <row r="88" spans="1:30" x14ac:dyDescent="0.3">
      <c r="A88" s="541">
        <v>321</v>
      </c>
      <c r="B88" s="89" t="s">
        <v>12</v>
      </c>
      <c r="C88" s="90">
        <f t="shared" ref="C88:U88" si="63">SUM(C89)</f>
        <v>1062000</v>
      </c>
      <c r="D88" s="62"/>
      <c r="E88" s="62">
        <f t="shared" si="63"/>
        <v>562000</v>
      </c>
      <c r="F88" s="91">
        <f t="shared" si="63"/>
        <v>1327000</v>
      </c>
      <c r="G88" s="91">
        <f t="shared" si="63"/>
        <v>1327000</v>
      </c>
      <c r="H88" s="91">
        <f t="shared" si="63"/>
        <v>562000</v>
      </c>
      <c r="I88" s="91">
        <f t="shared" si="63"/>
        <v>0</v>
      </c>
      <c r="J88" s="91">
        <f>SUM(J89)</f>
        <v>0</v>
      </c>
      <c r="K88" s="91">
        <f t="shared" ref="K88:L88" si="64">SUM(K89)</f>
        <v>0</v>
      </c>
      <c r="L88" s="91">
        <f t="shared" si="64"/>
        <v>0</v>
      </c>
      <c r="M88" s="91">
        <f t="shared" si="63"/>
        <v>562000</v>
      </c>
      <c r="N88" s="91">
        <f t="shared" si="63"/>
        <v>527000</v>
      </c>
      <c r="O88" s="91">
        <f t="shared" si="63"/>
        <v>1327000</v>
      </c>
      <c r="P88" s="91">
        <f t="shared" si="63"/>
        <v>700000</v>
      </c>
      <c r="Q88" s="91">
        <f t="shared" si="63"/>
        <v>700000</v>
      </c>
      <c r="R88" s="91">
        <f t="shared" si="63"/>
        <v>700000</v>
      </c>
      <c r="S88" s="91">
        <f t="shared" si="63"/>
        <v>138000</v>
      </c>
      <c r="T88" s="91">
        <f t="shared" si="63"/>
        <v>173000</v>
      </c>
      <c r="U88" s="91">
        <f t="shared" si="63"/>
        <v>-627000</v>
      </c>
      <c r="V88" s="506">
        <f t="shared" si="47"/>
        <v>138000</v>
      </c>
      <c r="W88" s="506">
        <f t="shared" si="48"/>
        <v>0</v>
      </c>
      <c r="X88" s="31"/>
      <c r="Y88" s="486"/>
      <c r="Z88" s="31"/>
      <c r="AA88" s="31"/>
      <c r="AB88" s="31"/>
    </row>
    <row r="89" spans="1:30" x14ac:dyDescent="0.3">
      <c r="A89" s="542">
        <v>3213</v>
      </c>
      <c r="B89" s="535" t="s">
        <v>15</v>
      </c>
      <c r="C89" s="94">
        <v>1062000</v>
      </c>
      <c r="D89" s="63"/>
      <c r="E89" s="63">
        <v>562000</v>
      </c>
      <c r="F89" s="95">
        <v>1327000</v>
      </c>
      <c r="G89" s="95">
        <v>1327000</v>
      </c>
      <c r="H89" s="63">
        <v>562000</v>
      </c>
      <c r="I89" s="63"/>
      <c r="J89" s="63"/>
      <c r="K89" s="63"/>
      <c r="L89" s="63"/>
      <c r="M89" s="63">
        <f>H89-I89+J89-K89+L89</f>
        <v>562000</v>
      </c>
      <c r="N89" s="95">
        <f>1327000-800000</f>
        <v>527000</v>
      </c>
      <c r="O89" s="95">
        <v>1327000</v>
      </c>
      <c r="P89" s="63">
        <v>700000</v>
      </c>
      <c r="Q89" s="63">
        <v>700000</v>
      </c>
      <c r="R89" s="63">
        <v>700000</v>
      </c>
      <c r="S89" s="70">
        <f>P89-M89</f>
        <v>138000</v>
      </c>
      <c r="T89" s="70">
        <f>P89-N89</f>
        <v>173000</v>
      </c>
      <c r="U89" s="70">
        <f>Q89-O89</f>
        <v>-627000</v>
      </c>
      <c r="V89" s="506">
        <f t="shared" si="47"/>
        <v>138000</v>
      </c>
      <c r="W89" s="506">
        <f t="shared" si="48"/>
        <v>0</v>
      </c>
      <c r="X89" s="31"/>
      <c r="Y89" s="486"/>
      <c r="Z89" s="31"/>
      <c r="AA89" s="31"/>
      <c r="AB89" s="31"/>
    </row>
    <row r="90" spans="1:30" x14ac:dyDescent="0.3">
      <c r="A90" s="541">
        <v>322</v>
      </c>
      <c r="B90" s="89" t="s">
        <v>16</v>
      </c>
      <c r="C90" s="90">
        <f t="shared" ref="C90:F90" si="65">SUM(C91:C95)</f>
        <v>916000</v>
      </c>
      <c r="D90" s="62"/>
      <c r="E90" s="62">
        <f t="shared" ref="E90" si="66">SUM(E91:E95)</f>
        <v>916000</v>
      </c>
      <c r="F90" s="91">
        <f t="shared" si="65"/>
        <v>916000</v>
      </c>
      <c r="G90" s="91">
        <f t="shared" ref="G90:U90" si="67">SUM(G91:G95)</f>
        <v>916000</v>
      </c>
      <c r="H90" s="91">
        <f t="shared" si="67"/>
        <v>916000</v>
      </c>
      <c r="I90" s="91">
        <f t="shared" si="67"/>
        <v>0</v>
      </c>
      <c r="J90" s="91">
        <f t="shared" si="67"/>
        <v>0</v>
      </c>
      <c r="K90" s="91">
        <f t="shared" si="67"/>
        <v>0</v>
      </c>
      <c r="L90" s="91">
        <f t="shared" si="67"/>
        <v>0</v>
      </c>
      <c r="M90" s="91">
        <f t="shared" si="67"/>
        <v>916000</v>
      </c>
      <c r="N90" s="91">
        <f t="shared" si="67"/>
        <v>816000</v>
      </c>
      <c r="O90" s="91">
        <f t="shared" si="67"/>
        <v>916000</v>
      </c>
      <c r="P90" s="91">
        <f t="shared" si="67"/>
        <v>2110000</v>
      </c>
      <c r="Q90" s="91">
        <f t="shared" si="67"/>
        <v>2610000</v>
      </c>
      <c r="R90" s="91">
        <f t="shared" si="67"/>
        <v>2210000</v>
      </c>
      <c r="S90" s="91">
        <f t="shared" si="67"/>
        <v>1194000</v>
      </c>
      <c r="T90" s="91">
        <f t="shared" si="67"/>
        <v>1294000</v>
      </c>
      <c r="U90" s="91">
        <f t="shared" si="67"/>
        <v>1694000</v>
      </c>
      <c r="V90" s="506">
        <f t="shared" si="47"/>
        <v>1194000</v>
      </c>
      <c r="W90" s="506">
        <f t="shared" si="48"/>
        <v>0</v>
      </c>
      <c r="X90" s="31"/>
      <c r="Y90" s="486"/>
      <c r="Z90" s="31"/>
      <c r="AA90" s="31"/>
      <c r="AB90" s="31"/>
    </row>
    <row r="91" spans="1:30" x14ac:dyDescent="0.3">
      <c r="A91" s="542">
        <v>3221</v>
      </c>
      <c r="B91" s="535" t="s">
        <v>17</v>
      </c>
      <c r="C91" s="94">
        <v>199000</v>
      </c>
      <c r="D91" s="63"/>
      <c r="E91" s="63">
        <v>99000</v>
      </c>
      <c r="F91" s="95">
        <v>199000</v>
      </c>
      <c r="G91" s="95">
        <v>199000</v>
      </c>
      <c r="H91" s="63">
        <v>99000</v>
      </c>
      <c r="I91" s="63"/>
      <c r="J91" s="63"/>
      <c r="K91" s="63"/>
      <c r="L91" s="63"/>
      <c r="M91" s="63">
        <f>H91-I91+J91-K91+L91</f>
        <v>99000</v>
      </c>
      <c r="N91" s="95">
        <f>199000-100000</f>
        <v>99000</v>
      </c>
      <c r="O91" s="95">
        <v>199000</v>
      </c>
      <c r="P91" s="63">
        <v>200000</v>
      </c>
      <c r="Q91" s="63">
        <v>200000</v>
      </c>
      <c r="R91" s="63">
        <v>200000</v>
      </c>
      <c r="S91" s="70">
        <f>P91-M91</f>
        <v>101000</v>
      </c>
      <c r="T91" s="70">
        <f t="shared" ref="T91:U95" si="68">P91-N91</f>
        <v>101000</v>
      </c>
      <c r="U91" s="70">
        <f t="shared" si="68"/>
        <v>1000</v>
      </c>
      <c r="V91" s="506">
        <f t="shared" si="47"/>
        <v>101000</v>
      </c>
      <c r="W91" s="506">
        <f t="shared" si="48"/>
        <v>0</v>
      </c>
      <c r="X91" s="31"/>
      <c r="Y91" s="486"/>
      <c r="Z91" s="31"/>
      <c r="AA91" s="31"/>
      <c r="AB91" s="31"/>
    </row>
    <row r="92" spans="1:30" x14ac:dyDescent="0.3">
      <c r="A92" s="542">
        <v>3223</v>
      </c>
      <c r="B92" s="535" t="s">
        <v>19</v>
      </c>
      <c r="C92" s="94">
        <v>226000</v>
      </c>
      <c r="D92" s="63"/>
      <c r="E92" s="63">
        <v>226000</v>
      </c>
      <c r="F92" s="95">
        <v>226000</v>
      </c>
      <c r="G92" s="95">
        <v>226000</v>
      </c>
      <c r="H92" s="63">
        <v>226000</v>
      </c>
      <c r="I92" s="63"/>
      <c r="J92" s="63"/>
      <c r="K92" s="63"/>
      <c r="L92" s="63"/>
      <c r="M92" s="63">
        <f>H92-I92+J92-K92+L92</f>
        <v>226000</v>
      </c>
      <c r="N92" s="95">
        <v>226000</v>
      </c>
      <c r="O92" s="95">
        <v>226000</v>
      </c>
      <c r="P92" s="63">
        <v>300000</v>
      </c>
      <c r="Q92" s="63">
        <v>300000</v>
      </c>
      <c r="R92" s="63">
        <v>300000</v>
      </c>
      <c r="S92" s="70">
        <f>P92-M92</f>
        <v>74000</v>
      </c>
      <c r="T92" s="70">
        <f t="shared" si="68"/>
        <v>74000</v>
      </c>
      <c r="U92" s="70">
        <f t="shared" si="68"/>
        <v>74000</v>
      </c>
      <c r="V92" s="506">
        <f t="shared" si="47"/>
        <v>74000</v>
      </c>
      <c r="W92" s="506">
        <f t="shared" si="48"/>
        <v>0</v>
      </c>
      <c r="X92" s="31"/>
      <c r="Y92" s="486"/>
      <c r="Z92" s="31"/>
      <c r="AA92" s="31"/>
      <c r="AB92" s="31"/>
    </row>
    <row r="93" spans="1:30" x14ac:dyDescent="0.3">
      <c r="A93" s="542">
        <v>3224</v>
      </c>
      <c r="B93" s="535" t="s">
        <v>20</v>
      </c>
      <c r="C93" s="94">
        <v>398000</v>
      </c>
      <c r="D93" s="63"/>
      <c r="E93" s="63">
        <v>498000</v>
      </c>
      <c r="F93" s="95">
        <v>398000</v>
      </c>
      <c r="G93" s="95">
        <v>398000</v>
      </c>
      <c r="H93" s="63">
        <v>498000</v>
      </c>
      <c r="I93" s="63"/>
      <c r="J93" s="63"/>
      <c r="K93" s="63"/>
      <c r="L93" s="63"/>
      <c r="M93" s="63">
        <f>H93-I93+J93-K93+L93</f>
        <v>498000</v>
      </c>
      <c r="N93" s="95">
        <v>398000</v>
      </c>
      <c r="O93" s="95">
        <v>398000</v>
      </c>
      <c r="P93" s="63">
        <v>1500000</v>
      </c>
      <c r="Q93" s="63">
        <v>2000000</v>
      </c>
      <c r="R93" s="63">
        <v>1600000</v>
      </c>
      <c r="S93" s="70">
        <f>P93-M93</f>
        <v>1002000</v>
      </c>
      <c r="T93" s="70">
        <f t="shared" si="68"/>
        <v>1102000</v>
      </c>
      <c r="U93" s="70">
        <f t="shared" si="68"/>
        <v>1602000</v>
      </c>
      <c r="V93" s="506">
        <f t="shared" si="47"/>
        <v>1002000</v>
      </c>
      <c r="W93" s="506">
        <f t="shared" si="48"/>
        <v>0</v>
      </c>
      <c r="X93" s="31"/>
      <c r="Y93" s="486"/>
      <c r="Z93" s="31"/>
      <c r="AA93" s="31"/>
      <c r="AB93" s="31"/>
    </row>
    <row r="94" spans="1:30" x14ac:dyDescent="0.3">
      <c r="A94" s="542">
        <v>3225</v>
      </c>
      <c r="B94" s="535" t="s">
        <v>21</v>
      </c>
      <c r="C94" s="94">
        <v>27000</v>
      </c>
      <c r="D94" s="63"/>
      <c r="E94" s="63">
        <v>27000</v>
      </c>
      <c r="F94" s="95">
        <v>27000</v>
      </c>
      <c r="G94" s="95">
        <v>27000</v>
      </c>
      <c r="H94" s="63">
        <v>27000</v>
      </c>
      <c r="I94" s="63"/>
      <c r="J94" s="63"/>
      <c r="K94" s="63"/>
      <c r="L94" s="63"/>
      <c r="M94" s="63">
        <f>H94-I94+J94-K94+L94</f>
        <v>27000</v>
      </c>
      <c r="N94" s="95">
        <v>27000</v>
      </c>
      <c r="O94" s="95">
        <v>27000</v>
      </c>
      <c r="P94" s="63">
        <v>40000</v>
      </c>
      <c r="Q94" s="63">
        <v>40000</v>
      </c>
      <c r="R94" s="63">
        <v>40000</v>
      </c>
      <c r="S94" s="70">
        <f>P94-M94</f>
        <v>13000</v>
      </c>
      <c r="T94" s="70">
        <f t="shared" si="68"/>
        <v>13000</v>
      </c>
      <c r="U94" s="70">
        <f t="shared" si="68"/>
        <v>13000</v>
      </c>
      <c r="V94" s="506">
        <f t="shared" si="47"/>
        <v>13000</v>
      </c>
      <c r="W94" s="506">
        <f t="shared" si="48"/>
        <v>0</v>
      </c>
      <c r="X94" s="31"/>
      <c r="Y94" s="486"/>
      <c r="Z94" s="31"/>
      <c r="AA94" s="31"/>
      <c r="AB94" s="31"/>
    </row>
    <row r="95" spans="1:30" x14ac:dyDescent="0.3">
      <c r="A95" s="542">
        <v>3227</v>
      </c>
      <c r="B95" s="535" t="s">
        <v>22</v>
      </c>
      <c r="C95" s="94">
        <v>66000</v>
      </c>
      <c r="D95" s="63"/>
      <c r="E95" s="63">
        <v>66000</v>
      </c>
      <c r="F95" s="95">
        <v>66000</v>
      </c>
      <c r="G95" s="95">
        <v>66000</v>
      </c>
      <c r="H95" s="63">
        <v>66000</v>
      </c>
      <c r="I95" s="63"/>
      <c r="J95" s="63"/>
      <c r="K95" s="63"/>
      <c r="L95" s="63"/>
      <c r="M95" s="63">
        <f>H95-I95+J95-K95+L95</f>
        <v>66000</v>
      </c>
      <c r="N95" s="95">
        <v>66000</v>
      </c>
      <c r="O95" s="95">
        <v>66000</v>
      </c>
      <c r="P95" s="63">
        <v>70000</v>
      </c>
      <c r="Q95" s="63">
        <v>70000</v>
      </c>
      <c r="R95" s="63">
        <v>70000</v>
      </c>
      <c r="S95" s="70">
        <f>P95-M95</f>
        <v>4000</v>
      </c>
      <c r="T95" s="70">
        <f t="shared" si="68"/>
        <v>4000</v>
      </c>
      <c r="U95" s="70">
        <f t="shared" si="68"/>
        <v>4000</v>
      </c>
      <c r="V95" s="506">
        <f t="shared" si="47"/>
        <v>4000</v>
      </c>
      <c r="W95" s="506">
        <f t="shared" si="48"/>
        <v>0</v>
      </c>
      <c r="X95" s="31"/>
      <c r="Y95" s="486"/>
      <c r="Z95" s="31"/>
      <c r="AA95" s="31"/>
      <c r="AB95" s="31"/>
    </row>
    <row r="96" spans="1:30" x14ac:dyDescent="0.3">
      <c r="A96" s="541">
        <v>323</v>
      </c>
      <c r="B96" s="89" t="s">
        <v>23</v>
      </c>
      <c r="C96" s="90">
        <f t="shared" ref="C96:U96" si="69">SUM(C97)</f>
        <v>2654000</v>
      </c>
      <c r="D96" s="62"/>
      <c r="E96" s="62">
        <f t="shared" si="69"/>
        <v>954000</v>
      </c>
      <c r="F96" s="91">
        <f t="shared" si="69"/>
        <v>5707000</v>
      </c>
      <c r="G96" s="91">
        <f t="shared" si="69"/>
        <v>2389000</v>
      </c>
      <c r="H96" s="91">
        <f t="shared" si="69"/>
        <v>954000</v>
      </c>
      <c r="I96" s="91">
        <f t="shared" si="69"/>
        <v>0</v>
      </c>
      <c r="J96" s="91">
        <f t="shared" si="69"/>
        <v>0</v>
      </c>
      <c r="K96" s="91">
        <f t="shared" si="69"/>
        <v>100000</v>
      </c>
      <c r="L96" s="91">
        <f t="shared" si="69"/>
        <v>0</v>
      </c>
      <c r="M96" s="91">
        <f t="shared" si="69"/>
        <v>854000</v>
      </c>
      <c r="N96" s="91">
        <f t="shared" si="69"/>
        <v>989000</v>
      </c>
      <c r="O96" s="91">
        <f t="shared" si="69"/>
        <v>5707000</v>
      </c>
      <c r="P96" s="91">
        <f t="shared" si="69"/>
        <v>3000000</v>
      </c>
      <c r="Q96" s="91">
        <f t="shared" si="69"/>
        <v>6000000</v>
      </c>
      <c r="R96" s="91">
        <f t="shared" si="69"/>
        <v>2500000</v>
      </c>
      <c r="S96" s="91">
        <f t="shared" si="69"/>
        <v>2146000</v>
      </c>
      <c r="T96" s="91">
        <f t="shared" si="69"/>
        <v>2011000</v>
      </c>
      <c r="U96" s="91">
        <f t="shared" si="69"/>
        <v>293000</v>
      </c>
      <c r="V96" s="506">
        <f t="shared" si="47"/>
        <v>2146000</v>
      </c>
      <c r="W96" s="506">
        <f t="shared" si="48"/>
        <v>0</v>
      </c>
      <c r="X96" s="31"/>
      <c r="Y96" s="486"/>
      <c r="Z96" s="31"/>
      <c r="AA96" s="31"/>
      <c r="AB96" s="31"/>
    </row>
    <row r="97" spans="1:28" x14ac:dyDescent="0.3">
      <c r="A97" s="542">
        <v>3232</v>
      </c>
      <c r="B97" s="535" t="s">
        <v>25</v>
      </c>
      <c r="C97" s="94">
        <v>2654000</v>
      </c>
      <c r="D97" s="63"/>
      <c r="E97" s="63">
        <v>954000</v>
      </c>
      <c r="F97" s="95">
        <v>5707000</v>
      </c>
      <c r="G97" s="95">
        <v>2389000</v>
      </c>
      <c r="H97" s="63">
        <v>954000</v>
      </c>
      <c r="I97" s="63"/>
      <c r="J97" s="63"/>
      <c r="K97" s="63">
        <v>100000</v>
      </c>
      <c r="L97" s="63"/>
      <c r="M97" s="63">
        <f>H97-I97+J97-K97+L97</f>
        <v>854000</v>
      </c>
      <c r="N97" s="95">
        <f>2389000-1400000</f>
        <v>989000</v>
      </c>
      <c r="O97" s="95">
        <v>5707000</v>
      </c>
      <c r="P97" s="63">
        <v>3000000</v>
      </c>
      <c r="Q97" s="63">
        <v>6000000</v>
      </c>
      <c r="R97" s="63">
        <v>2500000</v>
      </c>
      <c r="S97" s="70">
        <f>P97-M97</f>
        <v>2146000</v>
      </c>
      <c r="T97" s="70">
        <f>P97-N97</f>
        <v>2011000</v>
      </c>
      <c r="U97" s="70">
        <f>Q97-O97</f>
        <v>293000</v>
      </c>
      <c r="V97" s="506">
        <f t="shared" si="47"/>
        <v>2146000</v>
      </c>
      <c r="W97" s="506">
        <f t="shared" si="48"/>
        <v>0</v>
      </c>
      <c r="X97" s="31"/>
      <c r="Y97" s="486"/>
      <c r="Z97" s="31"/>
      <c r="AA97" s="31"/>
      <c r="AB97" s="31"/>
    </row>
    <row r="98" spans="1:28" x14ac:dyDescent="0.3">
      <c r="A98" s="541">
        <v>329</v>
      </c>
      <c r="B98" s="89" t="s">
        <v>33</v>
      </c>
      <c r="C98" s="90">
        <f t="shared" ref="C98:U98" si="70">SUM(C99)</f>
        <v>531000</v>
      </c>
      <c r="D98" s="62"/>
      <c r="E98" s="62">
        <f t="shared" si="70"/>
        <v>831000</v>
      </c>
      <c r="F98" s="91">
        <f t="shared" si="70"/>
        <v>531000</v>
      </c>
      <c r="G98" s="91">
        <f t="shared" si="70"/>
        <v>531000</v>
      </c>
      <c r="H98" s="91">
        <f t="shared" si="70"/>
        <v>831000</v>
      </c>
      <c r="I98" s="91">
        <f t="shared" si="70"/>
        <v>0</v>
      </c>
      <c r="J98" s="91">
        <f t="shared" si="70"/>
        <v>0</v>
      </c>
      <c r="K98" s="91">
        <f t="shared" si="70"/>
        <v>0</v>
      </c>
      <c r="L98" s="91">
        <f t="shared" si="70"/>
        <v>0</v>
      </c>
      <c r="M98" s="91">
        <f t="shared" si="70"/>
        <v>831000</v>
      </c>
      <c r="N98" s="91">
        <f t="shared" si="70"/>
        <v>531000</v>
      </c>
      <c r="O98" s="91">
        <f t="shared" si="70"/>
        <v>531000</v>
      </c>
      <c r="P98" s="91">
        <f t="shared" si="70"/>
        <v>1000000</v>
      </c>
      <c r="Q98" s="91">
        <f t="shared" si="70"/>
        <v>1000000</v>
      </c>
      <c r="R98" s="91">
        <f t="shared" si="70"/>
        <v>1000000</v>
      </c>
      <c r="S98" s="91">
        <f t="shared" si="70"/>
        <v>169000</v>
      </c>
      <c r="T98" s="91">
        <f t="shared" si="70"/>
        <v>469000</v>
      </c>
      <c r="U98" s="91">
        <f t="shared" si="70"/>
        <v>469000</v>
      </c>
      <c r="V98" s="506">
        <f t="shared" si="47"/>
        <v>169000</v>
      </c>
      <c r="W98" s="506">
        <f t="shared" si="48"/>
        <v>0</v>
      </c>
      <c r="X98" s="31"/>
      <c r="Y98" s="486"/>
      <c r="Z98" s="31"/>
      <c r="AA98" s="31"/>
      <c r="AB98" s="31"/>
    </row>
    <row r="99" spans="1:28" x14ac:dyDescent="0.3">
      <c r="A99" s="542">
        <v>3292</v>
      </c>
      <c r="B99" s="535" t="s">
        <v>35</v>
      </c>
      <c r="C99" s="94">
        <v>531000</v>
      </c>
      <c r="D99" s="63"/>
      <c r="E99" s="63">
        <v>831000</v>
      </c>
      <c r="F99" s="95">
        <v>531000</v>
      </c>
      <c r="G99" s="95">
        <v>531000</v>
      </c>
      <c r="H99" s="63">
        <v>831000</v>
      </c>
      <c r="I99" s="63"/>
      <c r="J99" s="63"/>
      <c r="K99" s="63"/>
      <c r="L99" s="63"/>
      <c r="M99" s="63">
        <f>H99-I99+J99-K99+L99</f>
        <v>831000</v>
      </c>
      <c r="N99" s="95">
        <v>531000</v>
      </c>
      <c r="O99" s="95">
        <v>531000</v>
      </c>
      <c r="P99" s="63">
        <v>1000000</v>
      </c>
      <c r="Q99" s="63">
        <v>1000000</v>
      </c>
      <c r="R99" s="63">
        <v>1000000</v>
      </c>
      <c r="S99" s="70">
        <f>P99-M99</f>
        <v>169000</v>
      </c>
      <c r="T99" s="70">
        <f>P99-N99</f>
        <v>469000</v>
      </c>
      <c r="U99" s="70">
        <f>Q99-O99</f>
        <v>469000</v>
      </c>
      <c r="V99" s="506">
        <f t="shared" si="47"/>
        <v>169000</v>
      </c>
      <c r="W99" s="506">
        <f t="shared" si="48"/>
        <v>0</v>
      </c>
      <c r="X99" s="31"/>
      <c r="Y99" s="486"/>
      <c r="Z99" s="31"/>
      <c r="AA99" s="31"/>
      <c r="AB99" s="31"/>
    </row>
    <row r="100" spans="1:28" ht="25.2" customHeight="1" x14ac:dyDescent="0.3">
      <c r="A100" s="553" t="s">
        <v>323</v>
      </c>
      <c r="B100" s="145" t="s">
        <v>324</v>
      </c>
      <c r="C100" s="531">
        <f t="shared" ref="C100:U100" si="71">SUM(C101)</f>
        <v>265000</v>
      </c>
      <c r="D100" s="141"/>
      <c r="E100" s="141">
        <f t="shared" si="71"/>
        <v>45000</v>
      </c>
      <c r="F100" s="364">
        <f t="shared" si="71"/>
        <v>265000</v>
      </c>
      <c r="G100" s="364">
        <f t="shared" si="71"/>
        <v>265000</v>
      </c>
      <c r="H100" s="364">
        <f t="shared" si="71"/>
        <v>45000</v>
      </c>
      <c r="I100" s="364">
        <f t="shared" si="71"/>
        <v>0</v>
      </c>
      <c r="J100" s="364">
        <f t="shared" si="71"/>
        <v>0</v>
      </c>
      <c r="K100" s="364">
        <f t="shared" si="71"/>
        <v>0</v>
      </c>
      <c r="L100" s="364">
        <f t="shared" si="71"/>
        <v>0</v>
      </c>
      <c r="M100" s="364">
        <f t="shared" si="71"/>
        <v>45000</v>
      </c>
      <c r="N100" s="364">
        <f t="shared" si="71"/>
        <v>65000</v>
      </c>
      <c r="O100" s="364">
        <f t="shared" si="71"/>
        <v>265000</v>
      </c>
      <c r="P100" s="364">
        <f t="shared" si="71"/>
        <v>60000</v>
      </c>
      <c r="Q100" s="364">
        <f t="shared" si="71"/>
        <v>60000</v>
      </c>
      <c r="R100" s="364">
        <f t="shared" si="71"/>
        <v>60000</v>
      </c>
      <c r="S100" s="532">
        <f t="shared" si="71"/>
        <v>15000</v>
      </c>
      <c r="T100" s="532">
        <f t="shared" si="71"/>
        <v>-5000</v>
      </c>
      <c r="U100" s="532">
        <f t="shared" si="71"/>
        <v>-205000</v>
      </c>
      <c r="V100" s="506">
        <f t="shared" si="47"/>
        <v>15000</v>
      </c>
      <c r="W100" s="506">
        <f t="shared" si="48"/>
        <v>0</v>
      </c>
      <c r="X100" s="31"/>
      <c r="Y100" s="486"/>
      <c r="Z100" s="31"/>
      <c r="AA100" s="31"/>
      <c r="AB100" s="31"/>
    </row>
    <row r="101" spans="1:28" ht="12" customHeight="1" x14ac:dyDescent="0.3">
      <c r="A101" s="554">
        <v>422</v>
      </c>
      <c r="B101" s="89" t="s">
        <v>129</v>
      </c>
      <c r="C101" s="90">
        <f t="shared" ref="C101:F101" si="72">SUM(C102:C103)</f>
        <v>265000</v>
      </c>
      <c r="D101" s="62"/>
      <c r="E101" s="62">
        <f t="shared" ref="E101" si="73">SUM(E102:E103)</f>
        <v>45000</v>
      </c>
      <c r="F101" s="91">
        <f t="shared" si="72"/>
        <v>265000</v>
      </c>
      <c r="G101" s="91">
        <f t="shared" ref="G101:U101" si="74">SUM(G102:G103)</f>
        <v>265000</v>
      </c>
      <c r="H101" s="91">
        <f t="shared" si="74"/>
        <v>45000</v>
      </c>
      <c r="I101" s="91">
        <f t="shared" si="74"/>
        <v>0</v>
      </c>
      <c r="J101" s="91">
        <f t="shared" si="74"/>
        <v>0</v>
      </c>
      <c r="K101" s="91">
        <f t="shared" si="74"/>
        <v>0</v>
      </c>
      <c r="L101" s="91">
        <f t="shared" si="74"/>
        <v>0</v>
      </c>
      <c r="M101" s="91">
        <f t="shared" si="74"/>
        <v>45000</v>
      </c>
      <c r="N101" s="91">
        <f t="shared" si="74"/>
        <v>65000</v>
      </c>
      <c r="O101" s="91">
        <f t="shared" si="74"/>
        <v>265000</v>
      </c>
      <c r="P101" s="91">
        <f t="shared" si="74"/>
        <v>60000</v>
      </c>
      <c r="Q101" s="91">
        <f t="shared" si="74"/>
        <v>60000</v>
      </c>
      <c r="R101" s="91">
        <f t="shared" si="74"/>
        <v>60000</v>
      </c>
      <c r="S101" s="91">
        <f t="shared" si="74"/>
        <v>15000</v>
      </c>
      <c r="T101" s="91">
        <f t="shared" si="74"/>
        <v>-5000</v>
      </c>
      <c r="U101" s="91">
        <f t="shared" si="74"/>
        <v>-205000</v>
      </c>
      <c r="V101" s="506">
        <f t="shared" si="47"/>
        <v>15000</v>
      </c>
      <c r="W101" s="506">
        <f t="shared" si="48"/>
        <v>0</v>
      </c>
      <c r="X101" s="31"/>
      <c r="Y101" s="486"/>
      <c r="Z101" s="31"/>
      <c r="AA101" s="31"/>
      <c r="AB101" s="31"/>
    </row>
    <row r="102" spans="1:28" ht="13.05" hidden="1" x14ac:dyDescent="0.3">
      <c r="A102" s="92">
        <v>4221</v>
      </c>
      <c r="B102" s="93" t="s">
        <v>54</v>
      </c>
      <c r="C102" s="94"/>
      <c r="D102" s="63"/>
      <c r="E102" s="63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506">
        <f t="shared" si="47"/>
        <v>0</v>
      </c>
      <c r="W102" s="506">
        <f t="shared" si="48"/>
        <v>0</v>
      </c>
      <c r="X102" s="31"/>
      <c r="Y102" s="486"/>
      <c r="Z102" s="31"/>
      <c r="AA102" s="31"/>
      <c r="AB102" s="31"/>
    </row>
    <row r="103" spans="1:28" ht="12.75" customHeight="1" x14ac:dyDescent="0.3">
      <c r="A103" s="555">
        <v>4227</v>
      </c>
      <c r="B103" s="535" t="s">
        <v>60</v>
      </c>
      <c r="C103" s="94">
        <v>265000</v>
      </c>
      <c r="D103" s="63"/>
      <c r="E103" s="63">
        <v>45000</v>
      </c>
      <c r="F103" s="95">
        <v>265000</v>
      </c>
      <c r="G103" s="95">
        <v>265000</v>
      </c>
      <c r="H103" s="95">
        <v>45000</v>
      </c>
      <c r="I103" s="95"/>
      <c r="J103" s="95"/>
      <c r="K103" s="63"/>
      <c r="L103" s="63"/>
      <c r="M103" s="63">
        <f>H103-I103+J103-K103+L103</f>
        <v>45000</v>
      </c>
      <c r="N103" s="95">
        <f>265000-200000</f>
        <v>65000</v>
      </c>
      <c r="O103" s="95">
        <v>265000</v>
      </c>
      <c r="P103" s="63">
        <v>60000</v>
      </c>
      <c r="Q103" s="63">
        <v>60000</v>
      </c>
      <c r="R103" s="63">
        <v>60000</v>
      </c>
      <c r="S103" s="70">
        <f>P103-M103</f>
        <v>15000</v>
      </c>
      <c r="T103" s="70">
        <f>P103-N103</f>
        <v>-5000</v>
      </c>
      <c r="U103" s="70">
        <f>Q103-O103</f>
        <v>-205000</v>
      </c>
      <c r="V103" s="506">
        <f t="shared" si="47"/>
        <v>15000</v>
      </c>
      <c r="W103" s="506">
        <f t="shared" si="48"/>
        <v>0</v>
      </c>
      <c r="X103" s="31"/>
      <c r="Y103" s="486"/>
      <c r="Z103" s="31"/>
      <c r="AA103" s="31"/>
      <c r="AB103" s="31"/>
    </row>
    <row r="104" spans="1:28" ht="13.05" hidden="1" x14ac:dyDescent="0.3">
      <c r="A104" s="88">
        <v>426</v>
      </c>
      <c r="B104" s="556" t="s">
        <v>73</v>
      </c>
      <c r="C104" s="90">
        <f t="shared" ref="C104:U104" si="75">SUM(C105)</f>
        <v>0</v>
      </c>
      <c r="D104" s="62"/>
      <c r="E104" s="62">
        <f t="shared" si="75"/>
        <v>0</v>
      </c>
      <c r="F104" s="91">
        <f t="shared" si="75"/>
        <v>0</v>
      </c>
      <c r="G104" s="91">
        <f t="shared" si="75"/>
        <v>0</v>
      </c>
      <c r="H104" s="91">
        <f t="shared" si="75"/>
        <v>0</v>
      </c>
      <c r="I104" s="91"/>
      <c r="J104" s="91"/>
      <c r="K104" s="91"/>
      <c r="L104" s="91"/>
      <c r="M104" s="91"/>
      <c r="N104" s="91">
        <f t="shared" si="75"/>
        <v>0</v>
      </c>
      <c r="O104" s="91">
        <f t="shared" si="75"/>
        <v>0</v>
      </c>
      <c r="P104" s="91"/>
      <c r="Q104" s="91"/>
      <c r="R104" s="91"/>
      <c r="S104" s="91">
        <f t="shared" si="75"/>
        <v>0</v>
      </c>
      <c r="T104" s="91"/>
      <c r="U104" s="91">
        <f t="shared" si="75"/>
        <v>0</v>
      </c>
      <c r="V104" s="506">
        <f t="shared" si="47"/>
        <v>0</v>
      </c>
      <c r="W104" s="506">
        <f t="shared" si="48"/>
        <v>0</v>
      </c>
      <c r="X104" s="31"/>
      <c r="Y104" s="486"/>
      <c r="Z104" s="31"/>
      <c r="AA104" s="31"/>
      <c r="AB104" s="31"/>
    </row>
    <row r="105" spans="1:28" ht="13.05" hidden="1" x14ac:dyDescent="0.3">
      <c r="A105" s="92">
        <v>4262</v>
      </c>
      <c r="B105" s="93" t="s">
        <v>74</v>
      </c>
      <c r="C105" s="94"/>
      <c r="D105" s="63"/>
      <c r="E105" s="63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506">
        <f t="shared" si="47"/>
        <v>0</v>
      </c>
      <c r="W105" s="506">
        <f t="shared" si="48"/>
        <v>0</v>
      </c>
      <c r="X105" s="31"/>
      <c r="Y105" s="486"/>
      <c r="Z105" s="31"/>
      <c r="AA105" s="31"/>
      <c r="AB105" s="31"/>
    </row>
    <row r="106" spans="1:28" ht="25.5" customHeight="1" x14ac:dyDescent="0.3">
      <c r="A106" s="537" t="s">
        <v>212</v>
      </c>
      <c r="B106" s="538" t="s">
        <v>213</v>
      </c>
      <c r="C106" s="539">
        <f t="shared" ref="C106:U106" si="76">SUM(C107)</f>
        <v>22636000</v>
      </c>
      <c r="D106" s="65"/>
      <c r="E106" s="65">
        <f t="shared" si="76"/>
        <v>22936000</v>
      </c>
      <c r="F106" s="365">
        <f t="shared" si="76"/>
        <v>22636000</v>
      </c>
      <c r="G106" s="365">
        <f t="shared" si="76"/>
        <v>19583000</v>
      </c>
      <c r="H106" s="365">
        <f>SUM(H107)</f>
        <v>20636000</v>
      </c>
      <c r="I106" s="365">
        <f t="shared" si="76"/>
        <v>0</v>
      </c>
      <c r="J106" s="365">
        <f t="shared" si="76"/>
        <v>0</v>
      </c>
      <c r="K106" s="365">
        <f t="shared" si="76"/>
        <v>2000000</v>
      </c>
      <c r="L106" s="365">
        <f t="shared" si="76"/>
        <v>0</v>
      </c>
      <c r="M106" s="365">
        <f t="shared" si="76"/>
        <v>16711000</v>
      </c>
      <c r="N106" s="365">
        <f t="shared" si="76"/>
        <v>18985000</v>
      </c>
      <c r="O106" s="365">
        <f t="shared" si="76"/>
        <v>18985000</v>
      </c>
      <c r="P106" s="365">
        <f t="shared" si="76"/>
        <v>18013000</v>
      </c>
      <c r="Q106" s="365">
        <f t="shared" si="76"/>
        <v>18013000</v>
      </c>
      <c r="R106" s="365">
        <f t="shared" si="76"/>
        <v>18013000</v>
      </c>
      <c r="S106" s="365">
        <f t="shared" si="76"/>
        <v>1302000</v>
      </c>
      <c r="T106" s="365">
        <f t="shared" si="76"/>
        <v>-972000</v>
      </c>
      <c r="U106" s="365">
        <f t="shared" si="76"/>
        <v>-972000</v>
      </c>
      <c r="V106" s="506">
        <f t="shared" si="47"/>
        <v>1302000</v>
      </c>
      <c r="W106" s="506">
        <f t="shared" si="48"/>
        <v>0</v>
      </c>
      <c r="X106" s="60" t="s">
        <v>397</v>
      </c>
      <c r="Y106" s="490"/>
      <c r="Z106" s="31"/>
      <c r="AA106" s="31"/>
      <c r="AB106" s="31"/>
    </row>
    <row r="107" spans="1:28" ht="18" customHeight="1" x14ac:dyDescent="0.3">
      <c r="A107" s="700" t="s">
        <v>1</v>
      </c>
      <c r="B107" s="700"/>
      <c r="C107" s="85">
        <f t="shared" ref="C107:U107" si="77">SUM(C116,C108)</f>
        <v>22636000</v>
      </c>
      <c r="D107" s="66"/>
      <c r="E107" s="66">
        <f t="shared" ref="E107" si="78">SUM(E116,E108)</f>
        <v>22936000</v>
      </c>
      <c r="F107" s="86">
        <f t="shared" si="77"/>
        <v>22636000</v>
      </c>
      <c r="G107" s="86">
        <f t="shared" si="77"/>
        <v>19583000</v>
      </c>
      <c r="H107" s="86">
        <f t="shared" si="77"/>
        <v>20636000</v>
      </c>
      <c r="I107" s="86">
        <f t="shared" si="77"/>
        <v>0</v>
      </c>
      <c r="J107" s="86">
        <f t="shared" si="77"/>
        <v>0</v>
      </c>
      <c r="K107" s="86">
        <f t="shared" si="77"/>
        <v>2000000</v>
      </c>
      <c r="L107" s="86">
        <f t="shared" si="77"/>
        <v>0</v>
      </c>
      <c r="M107" s="86">
        <f t="shared" si="77"/>
        <v>16711000</v>
      </c>
      <c r="N107" s="86">
        <f t="shared" si="77"/>
        <v>18985000</v>
      </c>
      <c r="O107" s="86">
        <f t="shared" si="77"/>
        <v>18985000</v>
      </c>
      <c r="P107" s="86">
        <f t="shared" si="77"/>
        <v>18013000</v>
      </c>
      <c r="Q107" s="86">
        <f t="shared" si="77"/>
        <v>18013000</v>
      </c>
      <c r="R107" s="86">
        <f t="shared" si="77"/>
        <v>18013000</v>
      </c>
      <c r="S107" s="86">
        <f t="shared" si="77"/>
        <v>1302000</v>
      </c>
      <c r="T107" s="86">
        <f t="shared" si="77"/>
        <v>-972000</v>
      </c>
      <c r="U107" s="86">
        <f t="shared" si="77"/>
        <v>-972000</v>
      </c>
      <c r="V107" s="506">
        <f t="shared" si="47"/>
        <v>1302000</v>
      </c>
      <c r="W107" s="506">
        <f t="shared" si="48"/>
        <v>0</v>
      </c>
      <c r="X107" s="31"/>
      <c r="Y107" s="486"/>
      <c r="Z107" s="31"/>
      <c r="AA107" s="31"/>
      <c r="AB107" s="31"/>
    </row>
    <row r="108" spans="1:28" ht="14.25" customHeight="1" x14ac:dyDescent="0.3">
      <c r="A108" s="540" t="s">
        <v>315</v>
      </c>
      <c r="B108" s="145" t="s">
        <v>316</v>
      </c>
      <c r="C108" s="146">
        <f t="shared" ref="C108:U108" si="79">SUM(C109,C112)</f>
        <v>5972000</v>
      </c>
      <c r="D108" s="142"/>
      <c r="E108" s="142">
        <f t="shared" ref="E108" si="80">SUM(E109,E112)</f>
        <v>5972000</v>
      </c>
      <c r="F108" s="147">
        <f t="shared" si="79"/>
        <v>5972000</v>
      </c>
      <c r="G108" s="147">
        <f t="shared" si="79"/>
        <v>4645000</v>
      </c>
      <c r="H108" s="147">
        <f t="shared" si="79"/>
        <v>4972000</v>
      </c>
      <c r="I108" s="147">
        <f t="shared" si="79"/>
        <v>0</v>
      </c>
      <c r="J108" s="147">
        <f t="shared" si="79"/>
        <v>0</v>
      </c>
      <c r="K108" s="147">
        <f t="shared" si="79"/>
        <v>0</v>
      </c>
      <c r="L108" s="147">
        <f t="shared" si="79"/>
        <v>0</v>
      </c>
      <c r="M108" s="147">
        <f t="shared" si="79"/>
        <v>4972000</v>
      </c>
      <c r="N108" s="147">
        <f t="shared" si="79"/>
        <v>5972000</v>
      </c>
      <c r="O108" s="147">
        <f t="shared" si="79"/>
        <v>5972000</v>
      </c>
      <c r="P108" s="147">
        <f t="shared" si="79"/>
        <v>5000000</v>
      </c>
      <c r="Q108" s="147">
        <f t="shared" si="79"/>
        <v>5000000</v>
      </c>
      <c r="R108" s="147">
        <f t="shared" si="79"/>
        <v>5000000</v>
      </c>
      <c r="S108" s="87">
        <f t="shared" si="79"/>
        <v>28000</v>
      </c>
      <c r="T108" s="87">
        <f t="shared" si="79"/>
        <v>-972000</v>
      </c>
      <c r="U108" s="87">
        <f t="shared" si="79"/>
        <v>-972000</v>
      </c>
      <c r="V108" s="506">
        <f t="shared" si="47"/>
        <v>28000</v>
      </c>
      <c r="W108" s="506">
        <f t="shared" si="48"/>
        <v>0</v>
      </c>
      <c r="X108" s="31"/>
      <c r="Y108" s="486"/>
      <c r="Z108" s="31"/>
      <c r="AA108" s="31"/>
      <c r="AB108" s="31"/>
    </row>
    <row r="109" spans="1:28" x14ac:dyDescent="0.3">
      <c r="A109" s="541">
        <v>311</v>
      </c>
      <c r="B109" s="89" t="s">
        <v>4</v>
      </c>
      <c r="C109" s="90">
        <f t="shared" ref="C109:F109" si="81">SUM(C110:C111)</f>
        <v>4645000</v>
      </c>
      <c r="D109" s="62"/>
      <c r="E109" s="62">
        <f t="shared" ref="E109" si="82">SUM(E110:E111)</f>
        <v>4645000</v>
      </c>
      <c r="F109" s="91">
        <f t="shared" si="81"/>
        <v>4645000</v>
      </c>
      <c r="G109" s="91">
        <f t="shared" ref="G109:U109" si="83">SUM(G110:G111)</f>
        <v>3318000</v>
      </c>
      <c r="H109" s="91">
        <f t="shared" si="83"/>
        <v>3645000</v>
      </c>
      <c r="I109" s="91">
        <f t="shared" si="83"/>
        <v>0</v>
      </c>
      <c r="J109" s="91">
        <f t="shared" si="83"/>
        <v>0</v>
      </c>
      <c r="K109" s="91">
        <f t="shared" si="83"/>
        <v>0</v>
      </c>
      <c r="L109" s="91">
        <f t="shared" si="83"/>
        <v>0</v>
      </c>
      <c r="M109" s="91">
        <f t="shared" si="83"/>
        <v>3645000</v>
      </c>
      <c r="N109" s="91">
        <f t="shared" si="83"/>
        <v>4645000</v>
      </c>
      <c r="O109" s="91">
        <f t="shared" si="83"/>
        <v>4645000</v>
      </c>
      <c r="P109" s="91">
        <f t="shared" si="83"/>
        <v>3647000</v>
      </c>
      <c r="Q109" s="91">
        <f t="shared" si="83"/>
        <v>3647000</v>
      </c>
      <c r="R109" s="91">
        <f t="shared" si="83"/>
        <v>3647000</v>
      </c>
      <c r="S109" s="91">
        <f t="shared" si="83"/>
        <v>2000</v>
      </c>
      <c r="T109" s="91">
        <f t="shared" si="83"/>
        <v>-998000</v>
      </c>
      <c r="U109" s="91">
        <f t="shared" si="83"/>
        <v>-998000</v>
      </c>
      <c r="V109" s="506">
        <f t="shared" si="47"/>
        <v>2000</v>
      </c>
      <c r="W109" s="506">
        <f t="shared" si="48"/>
        <v>0</v>
      </c>
      <c r="X109" s="31"/>
      <c r="Y109" s="486"/>
      <c r="Z109" s="31"/>
      <c r="AA109" s="31"/>
      <c r="AB109" s="31"/>
    </row>
    <row r="110" spans="1:28" x14ac:dyDescent="0.3">
      <c r="A110" s="542">
        <v>3111</v>
      </c>
      <c r="B110" s="535" t="s">
        <v>5</v>
      </c>
      <c r="C110" s="94">
        <v>1062000</v>
      </c>
      <c r="D110" s="63"/>
      <c r="E110" s="63">
        <v>1062000</v>
      </c>
      <c r="F110" s="63">
        <v>1062000</v>
      </c>
      <c r="G110" s="63">
        <v>1062000</v>
      </c>
      <c r="H110" s="63">
        <v>1062000</v>
      </c>
      <c r="I110" s="63"/>
      <c r="J110" s="63"/>
      <c r="K110" s="63"/>
      <c r="L110" s="63"/>
      <c r="M110" s="63">
        <f>H110-I110+J110-K110+L110</f>
        <v>1062000</v>
      </c>
      <c r="N110" s="63">
        <v>1062000</v>
      </c>
      <c r="O110" s="63">
        <v>1062000</v>
      </c>
      <c r="P110" s="63">
        <v>1062000</v>
      </c>
      <c r="Q110" s="63">
        <v>1062000</v>
      </c>
      <c r="R110" s="63">
        <v>1062000</v>
      </c>
      <c r="S110" s="70">
        <f>P110-M110</f>
        <v>0</v>
      </c>
      <c r="T110" s="70">
        <f>P110-N110</f>
        <v>0</v>
      </c>
      <c r="U110" s="70">
        <f>Q110-O110</f>
        <v>0</v>
      </c>
      <c r="V110" s="506">
        <f t="shared" si="47"/>
        <v>0</v>
      </c>
      <c r="W110" s="506">
        <f t="shared" si="48"/>
        <v>0</v>
      </c>
      <c r="X110" s="31"/>
      <c r="Y110" s="486"/>
      <c r="Z110" s="31"/>
      <c r="AA110" s="31"/>
      <c r="AB110" s="31"/>
    </row>
    <row r="111" spans="1:28" x14ac:dyDescent="0.3">
      <c r="A111" s="542">
        <v>3113</v>
      </c>
      <c r="B111" s="535" t="s">
        <v>6</v>
      </c>
      <c r="C111" s="94">
        <v>3583000</v>
      </c>
      <c r="D111" s="63"/>
      <c r="E111" s="63">
        <v>3583000</v>
      </c>
      <c r="F111" s="95">
        <v>3583000</v>
      </c>
      <c r="G111" s="95">
        <v>2256000</v>
      </c>
      <c r="H111" s="95">
        <f>3583000-1000000</f>
        <v>2583000</v>
      </c>
      <c r="I111" s="366"/>
      <c r="J111" s="95"/>
      <c r="K111" s="63"/>
      <c r="L111" s="63"/>
      <c r="M111" s="63">
        <f>H111-I111+J111-K111+L111</f>
        <v>2583000</v>
      </c>
      <c r="N111" s="95">
        <v>3583000</v>
      </c>
      <c r="O111" s="95">
        <v>3583000</v>
      </c>
      <c r="P111" s="63">
        <v>2585000</v>
      </c>
      <c r="Q111" s="63">
        <v>2585000</v>
      </c>
      <c r="R111" s="63">
        <v>2585000</v>
      </c>
      <c r="S111" s="70">
        <f>P111-M111</f>
        <v>2000</v>
      </c>
      <c r="T111" s="70">
        <f>P111-N111</f>
        <v>-998000</v>
      </c>
      <c r="U111" s="70">
        <f>Q111-O111</f>
        <v>-998000</v>
      </c>
      <c r="V111" s="506">
        <f t="shared" si="47"/>
        <v>2000</v>
      </c>
      <c r="W111" s="506">
        <f t="shared" si="48"/>
        <v>0</v>
      </c>
      <c r="X111" s="31"/>
      <c r="Y111" s="486"/>
      <c r="Z111" s="31"/>
      <c r="AA111" s="31"/>
      <c r="AB111" s="31"/>
    </row>
    <row r="112" spans="1:28" x14ac:dyDescent="0.3">
      <c r="A112" s="541">
        <v>313</v>
      </c>
      <c r="B112" s="89" t="s">
        <v>8</v>
      </c>
      <c r="C112" s="90">
        <f t="shared" ref="C112:F112" si="84">SUM(C113:C115)</f>
        <v>1327000</v>
      </c>
      <c r="D112" s="62"/>
      <c r="E112" s="62">
        <f t="shared" ref="E112" si="85">SUM(E113:E115)</f>
        <v>1327000</v>
      </c>
      <c r="F112" s="91">
        <f t="shared" si="84"/>
        <v>1327000</v>
      </c>
      <c r="G112" s="91">
        <f t="shared" ref="G112:R112" si="86">SUM(G113:G115)</f>
        <v>1327000</v>
      </c>
      <c r="H112" s="91">
        <f t="shared" si="86"/>
        <v>1327000</v>
      </c>
      <c r="I112" s="91">
        <f t="shared" si="86"/>
        <v>0</v>
      </c>
      <c r="J112" s="91">
        <f t="shared" si="86"/>
        <v>0</v>
      </c>
      <c r="K112" s="91">
        <f t="shared" si="86"/>
        <v>0</v>
      </c>
      <c r="L112" s="91">
        <f t="shared" si="86"/>
        <v>0</v>
      </c>
      <c r="M112" s="91">
        <f t="shared" si="86"/>
        <v>1327000</v>
      </c>
      <c r="N112" s="91">
        <f t="shared" si="86"/>
        <v>1327000</v>
      </c>
      <c r="O112" s="91">
        <f t="shared" si="86"/>
        <v>1327000</v>
      </c>
      <c r="P112" s="91">
        <f t="shared" si="86"/>
        <v>1353000</v>
      </c>
      <c r="Q112" s="91">
        <f t="shared" si="86"/>
        <v>1353000</v>
      </c>
      <c r="R112" s="91">
        <f t="shared" si="86"/>
        <v>1353000</v>
      </c>
      <c r="S112" s="91">
        <f>SUM(S113:S115)</f>
        <v>26000</v>
      </c>
      <c r="T112" s="91">
        <f>SUM(T113:T115)</f>
        <v>26000</v>
      </c>
      <c r="U112" s="91">
        <f t="shared" ref="U112" si="87">SUM(U113:U115)</f>
        <v>26000</v>
      </c>
      <c r="V112" s="506">
        <f t="shared" si="47"/>
        <v>26000</v>
      </c>
      <c r="W112" s="506">
        <f t="shared" si="48"/>
        <v>0</v>
      </c>
      <c r="X112" s="31"/>
      <c r="Y112" s="486"/>
      <c r="Z112" s="31"/>
      <c r="AA112" s="31"/>
      <c r="AB112" s="31"/>
    </row>
    <row r="113" spans="1:28" x14ac:dyDescent="0.3">
      <c r="A113" s="542">
        <v>3131</v>
      </c>
      <c r="B113" s="535" t="s">
        <v>9</v>
      </c>
      <c r="C113" s="94">
        <v>690000</v>
      </c>
      <c r="D113" s="63"/>
      <c r="E113" s="63">
        <v>690000</v>
      </c>
      <c r="F113" s="95">
        <v>690000</v>
      </c>
      <c r="G113" s="95">
        <v>690000</v>
      </c>
      <c r="H113" s="95">
        <v>690000</v>
      </c>
      <c r="I113" s="95"/>
      <c r="J113" s="95"/>
      <c r="K113" s="63"/>
      <c r="L113" s="63"/>
      <c r="M113" s="63">
        <f>H113-I113+J113-K113+L113</f>
        <v>690000</v>
      </c>
      <c r="N113" s="95">
        <v>690000</v>
      </c>
      <c r="O113" s="95">
        <v>690000</v>
      </c>
      <c r="P113" s="63">
        <v>700000</v>
      </c>
      <c r="Q113" s="63">
        <v>700000</v>
      </c>
      <c r="R113" s="63">
        <v>700000</v>
      </c>
      <c r="S113" s="70">
        <f>P113-M113</f>
        <v>10000</v>
      </c>
      <c r="T113" s="70">
        <f>P113-N113</f>
        <v>10000</v>
      </c>
      <c r="U113" s="70">
        <f>Q113-O113</f>
        <v>10000</v>
      </c>
      <c r="V113" s="506">
        <f t="shared" si="47"/>
        <v>10000</v>
      </c>
      <c r="W113" s="506">
        <f t="shared" si="48"/>
        <v>0</v>
      </c>
      <c r="X113" s="31"/>
      <c r="Y113" s="486"/>
      <c r="Z113" s="31"/>
      <c r="AA113" s="31"/>
      <c r="AB113" s="31"/>
    </row>
    <row r="114" spans="1:28" x14ac:dyDescent="0.3">
      <c r="A114" s="542">
        <v>3132</v>
      </c>
      <c r="B114" s="535" t="s">
        <v>10</v>
      </c>
      <c r="C114" s="94">
        <v>637000</v>
      </c>
      <c r="D114" s="63"/>
      <c r="E114" s="63">
        <v>637000</v>
      </c>
      <c r="F114" s="95">
        <v>637000</v>
      </c>
      <c r="G114" s="95">
        <v>637000</v>
      </c>
      <c r="H114" s="95">
        <v>637000</v>
      </c>
      <c r="I114" s="95"/>
      <c r="J114" s="95"/>
      <c r="K114" s="63"/>
      <c r="L114" s="63"/>
      <c r="M114" s="63">
        <f>H114-I114+J114-K114+L114</f>
        <v>637000</v>
      </c>
      <c r="N114" s="95">
        <v>637000</v>
      </c>
      <c r="O114" s="95">
        <v>637000</v>
      </c>
      <c r="P114" s="63">
        <v>653000</v>
      </c>
      <c r="Q114" s="63">
        <v>653000</v>
      </c>
      <c r="R114" s="63">
        <v>653000</v>
      </c>
      <c r="S114" s="70">
        <f>P114-M114</f>
        <v>16000</v>
      </c>
      <c r="T114" s="70">
        <f>P114-N114</f>
        <v>16000</v>
      </c>
      <c r="U114" s="70">
        <f>Q114-O114</f>
        <v>16000</v>
      </c>
      <c r="V114" s="506">
        <f t="shared" si="47"/>
        <v>16000</v>
      </c>
      <c r="W114" s="506">
        <f t="shared" si="48"/>
        <v>0</v>
      </c>
      <c r="X114" s="31"/>
      <c r="Y114" s="486"/>
      <c r="Z114" s="31"/>
      <c r="AA114" s="31"/>
      <c r="AB114" s="31"/>
    </row>
    <row r="115" spans="1:28" ht="13.05" hidden="1" x14ac:dyDescent="0.3">
      <c r="A115" s="542">
        <v>3133</v>
      </c>
      <c r="B115" s="535" t="s">
        <v>11</v>
      </c>
      <c r="C115" s="94"/>
      <c r="D115" s="63"/>
      <c r="E115" s="63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506">
        <f t="shared" si="47"/>
        <v>0</v>
      </c>
      <c r="W115" s="506">
        <f t="shared" si="48"/>
        <v>0</v>
      </c>
      <c r="X115" s="31"/>
      <c r="Y115" s="486"/>
      <c r="Z115" s="31"/>
      <c r="AA115" s="31"/>
      <c r="AB115" s="31"/>
    </row>
    <row r="116" spans="1:28" ht="17.25" customHeight="1" x14ac:dyDescent="0.3">
      <c r="A116" s="144" t="s">
        <v>317</v>
      </c>
      <c r="B116" s="145" t="s">
        <v>318</v>
      </c>
      <c r="C116" s="531">
        <f t="shared" ref="C116:U116" si="88">SUM(C117,C121,C127,C134)</f>
        <v>16664000</v>
      </c>
      <c r="D116" s="141"/>
      <c r="E116" s="141">
        <f t="shared" ref="E116" si="89">SUM(E117,E121,E127,E134)</f>
        <v>16964000</v>
      </c>
      <c r="F116" s="364">
        <f t="shared" si="88"/>
        <v>16664000</v>
      </c>
      <c r="G116" s="364">
        <f t="shared" si="88"/>
        <v>14938000</v>
      </c>
      <c r="H116" s="364">
        <f t="shared" si="88"/>
        <v>15664000</v>
      </c>
      <c r="I116" s="364">
        <f t="shared" si="88"/>
        <v>0</v>
      </c>
      <c r="J116" s="364">
        <f t="shared" si="88"/>
        <v>0</v>
      </c>
      <c r="K116" s="364">
        <f t="shared" si="88"/>
        <v>2000000</v>
      </c>
      <c r="L116" s="364">
        <f t="shared" si="88"/>
        <v>0</v>
      </c>
      <c r="M116" s="364">
        <f t="shared" si="88"/>
        <v>11739000</v>
      </c>
      <c r="N116" s="364">
        <f t="shared" si="88"/>
        <v>13013000</v>
      </c>
      <c r="O116" s="364">
        <f t="shared" si="88"/>
        <v>13013000</v>
      </c>
      <c r="P116" s="364">
        <f t="shared" si="88"/>
        <v>13013000</v>
      </c>
      <c r="Q116" s="364">
        <f t="shared" si="88"/>
        <v>13013000</v>
      </c>
      <c r="R116" s="364">
        <f t="shared" si="88"/>
        <v>13013000</v>
      </c>
      <c r="S116" s="532">
        <f t="shared" si="88"/>
        <v>1274000</v>
      </c>
      <c r="T116" s="532">
        <f t="shared" si="88"/>
        <v>0</v>
      </c>
      <c r="U116" s="532">
        <f t="shared" si="88"/>
        <v>0</v>
      </c>
      <c r="V116" s="506">
        <f t="shared" si="47"/>
        <v>1274000</v>
      </c>
      <c r="W116" s="506">
        <f t="shared" si="48"/>
        <v>0</v>
      </c>
      <c r="X116" s="31"/>
      <c r="Y116" s="486"/>
      <c r="Z116" s="31"/>
      <c r="AA116" s="31"/>
      <c r="AB116" s="31"/>
    </row>
    <row r="117" spans="1:28" x14ac:dyDescent="0.3">
      <c r="A117" s="541">
        <v>321</v>
      </c>
      <c r="B117" s="89" t="s">
        <v>12</v>
      </c>
      <c r="C117" s="90">
        <f t="shared" ref="C117:L117" si="90">SUM(C118:C120)</f>
        <v>7367000</v>
      </c>
      <c r="D117" s="62"/>
      <c r="E117" s="62">
        <f t="shared" ref="E117" si="91">SUM(E118:E120)</f>
        <v>7367000</v>
      </c>
      <c r="F117" s="91">
        <f t="shared" si="90"/>
        <v>7367000</v>
      </c>
      <c r="G117" s="91">
        <f t="shared" si="90"/>
        <v>6437000</v>
      </c>
      <c r="H117" s="91">
        <f t="shared" si="90"/>
        <v>6367000</v>
      </c>
      <c r="I117" s="91">
        <f t="shared" si="90"/>
        <v>0</v>
      </c>
      <c r="J117" s="91">
        <f t="shared" si="90"/>
        <v>0</v>
      </c>
      <c r="K117" s="91">
        <f t="shared" si="90"/>
        <v>0</v>
      </c>
      <c r="L117" s="91">
        <f t="shared" si="90"/>
        <v>0</v>
      </c>
      <c r="M117" s="91">
        <f>SUM(M118:M120)</f>
        <v>4442000</v>
      </c>
      <c r="N117" s="91">
        <f t="shared" ref="N117:U117" si="92">SUM(N118:N120)</f>
        <v>4512000</v>
      </c>
      <c r="O117" s="91">
        <f t="shared" si="92"/>
        <v>4512000</v>
      </c>
      <c r="P117" s="91">
        <f t="shared" si="92"/>
        <v>5116000</v>
      </c>
      <c r="Q117" s="91">
        <f t="shared" si="92"/>
        <v>5116000</v>
      </c>
      <c r="R117" s="91">
        <f t="shared" si="92"/>
        <v>5116000</v>
      </c>
      <c r="S117" s="91">
        <f t="shared" si="92"/>
        <v>674000</v>
      </c>
      <c r="T117" s="91">
        <f t="shared" si="92"/>
        <v>604000</v>
      </c>
      <c r="U117" s="91">
        <f t="shared" si="92"/>
        <v>604000</v>
      </c>
      <c r="V117" s="506">
        <f t="shared" si="47"/>
        <v>674000</v>
      </c>
      <c r="W117" s="506">
        <f t="shared" si="48"/>
        <v>0</v>
      </c>
      <c r="X117" s="31"/>
      <c r="Y117" s="486"/>
      <c r="Z117" s="31"/>
      <c r="AA117" s="31"/>
      <c r="AB117" s="31"/>
    </row>
    <row r="118" spans="1:28" x14ac:dyDescent="0.3">
      <c r="A118" s="542">
        <v>3211</v>
      </c>
      <c r="B118" s="535" t="s">
        <v>13</v>
      </c>
      <c r="C118" s="94">
        <v>266000</v>
      </c>
      <c r="D118" s="63"/>
      <c r="E118" s="63">
        <v>266000</v>
      </c>
      <c r="F118" s="95">
        <v>266000</v>
      </c>
      <c r="G118" s="95">
        <v>265000</v>
      </c>
      <c r="H118" s="95">
        <v>266000</v>
      </c>
      <c r="I118" s="95"/>
      <c r="J118" s="95"/>
      <c r="K118" s="63"/>
      <c r="L118" s="63"/>
      <c r="M118" s="63">
        <f>H118-I118+J118-K118+L118</f>
        <v>266000</v>
      </c>
      <c r="N118" s="95">
        <v>265000</v>
      </c>
      <c r="O118" s="95">
        <v>265000</v>
      </c>
      <c r="P118" s="63">
        <v>116000</v>
      </c>
      <c r="Q118" s="63">
        <v>116000</v>
      </c>
      <c r="R118" s="63">
        <v>116000</v>
      </c>
      <c r="S118" s="70">
        <f>P118-M118</f>
        <v>-150000</v>
      </c>
      <c r="T118" s="70">
        <f t="shared" ref="T118:U120" si="93">P118-N118</f>
        <v>-149000</v>
      </c>
      <c r="U118" s="70">
        <f t="shared" si="93"/>
        <v>-149000</v>
      </c>
      <c r="V118" s="506">
        <f t="shared" si="47"/>
        <v>-150000</v>
      </c>
      <c r="W118" s="506">
        <f t="shared" si="48"/>
        <v>0</v>
      </c>
      <c r="X118" s="31"/>
      <c r="Y118" s="486"/>
      <c r="Z118" s="31"/>
      <c r="AA118" s="31"/>
      <c r="AB118" s="31"/>
    </row>
    <row r="119" spans="1:28" x14ac:dyDescent="0.3">
      <c r="A119" s="542">
        <v>3214</v>
      </c>
      <c r="B119" s="535" t="s">
        <v>121</v>
      </c>
      <c r="C119" s="94">
        <v>1925000</v>
      </c>
      <c r="D119" s="63"/>
      <c r="E119" s="95">
        <v>1925000</v>
      </c>
      <c r="F119" s="95">
        <v>1925000</v>
      </c>
      <c r="G119" s="95">
        <v>1925000</v>
      </c>
      <c r="H119" s="367">
        <v>1925000</v>
      </c>
      <c r="I119" s="367"/>
      <c r="J119" s="367"/>
      <c r="K119" s="96"/>
      <c r="L119" s="96"/>
      <c r="M119" s="63"/>
      <c r="N119" s="95"/>
      <c r="O119" s="95"/>
      <c r="P119" s="70">
        <v>100000</v>
      </c>
      <c r="Q119" s="70">
        <v>100000</v>
      </c>
      <c r="R119" s="70">
        <v>100000</v>
      </c>
      <c r="S119" s="70">
        <f>P119-M119</f>
        <v>100000</v>
      </c>
      <c r="T119" s="70">
        <f t="shared" si="93"/>
        <v>100000</v>
      </c>
      <c r="U119" s="70">
        <f t="shared" si="93"/>
        <v>100000</v>
      </c>
      <c r="V119" s="506">
        <f t="shared" si="47"/>
        <v>100000</v>
      </c>
      <c r="W119" s="506">
        <f t="shared" si="48"/>
        <v>0</v>
      </c>
      <c r="X119" s="31" t="s">
        <v>382</v>
      </c>
      <c r="Y119" s="486"/>
      <c r="Z119" s="31"/>
      <c r="AA119" s="31"/>
      <c r="AB119" s="31"/>
    </row>
    <row r="120" spans="1:28" x14ac:dyDescent="0.3">
      <c r="A120" s="542">
        <v>3212</v>
      </c>
      <c r="B120" s="535" t="s">
        <v>14</v>
      </c>
      <c r="C120" s="94">
        <v>5176000</v>
      </c>
      <c r="D120" s="63"/>
      <c r="E120" s="63">
        <v>5176000</v>
      </c>
      <c r="F120" s="95">
        <v>5176000</v>
      </c>
      <c r="G120" s="95">
        <v>4247000</v>
      </c>
      <c r="H120" s="95">
        <f>5176000-1000000</f>
        <v>4176000</v>
      </c>
      <c r="I120" s="95"/>
      <c r="J120" s="95"/>
      <c r="K120" s="63"/>
      <c r="L120" s="63"/>
      <c r="M120" s="63">
        <f>H120-I120+J120-K120+L120</f>
        <v>4176000</v>
      </c>
      <c r="N120" s="95">
        <v>4247000</v>
      </c>
      <c r="O120" s="95">
        <v>4247000</v>
      </c>
      <c r="P120" s="63">
        <v>4900000</v>
      </c>
      <c r="Q120" s="63">
        <v>4900000</v>
      </c>
      <c r="R120" s="63">
        <v>4900000</v>
      </c>
      <c r="S120" s="70">
        <f>P120-M120</f>
        <v>724000</v>
      </c>
      <c r="T120" s="70">
        <f t="shared" si="93"/>
        <v>653000</v>
      </c>
      <c r="U120" s="70">
        <f t="shared" si="93"/>
        <v>653000</v>
      </c>
      <c r="V120" s="506">
        <f t="shared" si="47"/>
        <v>724000</v>
      </c>
      <c r="W120" s="506">
        <f t="shared" si="48"/>
        <v>0</v>
      </c>
      <c r="X120" s="31"/>
      <c r="Y120" s="486"/>
      <c r="Z120" s="31"/>
      <c r="AA120" s="31"/>
      <c r="AB120" s="31"/>
    </row>
    <row r="121" spans="1:28" x14ac:dyDescent="0.3">
      <c r="A121" s="541">
        <v>322</v>
      </c>
      <c r="B121" s="89" t="s">
        <v>16</v>
      </c>
      <c r="C121" s="90">
        <f t="shared" ref="C121:F121" si="94">SUM(C122:C126)</f>
        <v>3384000</v>
      </c>
      <c r="D121" s="62"/>
      <c r="E121" s="62">
        <f t="shared" ref="E121" si="95">SUM(E122:E126)</f>
        <v>3384000</v>
      </c>
      <c r="F121" s="91">
        <f t="shared" si="94"/>
        <v>3384000</v>
      </c>
      <c r="G121" s="91">
        <f t="shared" ref="G121:U121" si="96">SUM(G122:G126)</f>
        <v>3384000</v>
      </c>
      <c r="H121" s="91">
        <f t="shared" si="96"/>
        <v>3384000</v>
      </c>
      <c r="I121" s="91">
        <f t="shared" si="96"/>
        <v>0</v>
      </c>
      <c r="J121" s="91">
        <f t="shared" si="96"/>
        <v>0</v>
      </c>
      <c r="K121" s="91">
        <f t="shared" si="96"/>
        <v>500000</v>
      </c>
      <c r="L121" s="91">
        <f t="shared" si="96"/>
        <v>0</v>
      </c>
      <c r="M121" s="91">
        <f t="shared" si="96"/>
        <v>2884000</v>
      </c>
      <c r="N121" s="91">
        <f t="shared" si="96"/>
        <v>3384000</v>
      </c>
      <c r="O121" s="91">
        <f t="shared" si="96"/>
        <v>3384000</v>
      </c>
      <c r="P121" s="91">
        <f t="shared" si="96"/>
        <v>2950000</v>
      </c>
      <c r="Q121" s="91">
        <f t="shared" si="96"/>
        <v>2950000</v>
      </c>
      <c r="R121" s="91">
        <f t="shared" si="96"/>
        <v>2950000</v>
      </c>
      <c r="S121" s="91">
        <f t="shared" si="96"/>
        <v>66000</v>
      </c>
      <c r="T121" s="91">
        <f t="shared" si="96"/>
        <v>-434000</v>
      </c>
      <c r="U121" s="91">
        <f t="shared" si="96"/>
        <v>-434000</v>
      </c>
      <c r="V121" s="506">
        <f t="shared" si="47"/>
        <v>66000</v>
      </c>
      <c r="W121" s="506">
        <f t="shared" si="48"/>
        <v>0</v>
      </c>
      <c r="X121" s="31"/>
      <c r="Y121" s="486"/>
      <c r="Z121" s="31"/>
      <c r="AA121" s="31"/>
      <c r="AB121" s="31"/>
    </row>
    <row r="122" spans="1:28" x14ac:dyDescent="0.3">
      <c r="A122" s="542">
        <v>3221</v>
      </c>
      <c r="B122" s="535" t="s">
        <v>17</v>
      </c>
      <c r="C122" s="94">
        <v>66000</v>
      </c>
      <c r="D122" s="63"/>
      <c r="E122" s="63">
        <v>66000</v>
      </c>
      <c r="F122" s="95">
        <v>66000</v>
      </c>
      <c r="G122" s="95">
        <v>66000</v>
      </c>
      <c r="H122" s="95">
        <v>66000</v>
      </c>
      <c r="I122" s="95"/>
      <c r="J122" s="95"/>
      <c r="K122" s="63"/>
      <c r="L122" s="63"/>
      <c r="M122" s="63">
        <f>H122-I122+J122-K122+L122</f>
        <v>66000</v>
      </c>
      <c r="N122" s="95">
        <v>66000</v>
      </c>
      <c r="O122" s="95">
        <v>66000</v>
      </c>
      <c r="P122" s="63">
        <v>50000</v>
      </c>
      <c r="Q122" s="63">
        <v>50000</v>
      </c>
      <c r="R122" s="63">
        <v>50000</v>
      </c>
      <c r="S122" s="70">
        <f>P122-M122</f>
        <v>-16000</v>
      </c>
      <c r="T122" s="70">
        <f t="shared" ref="T122:U126" si="97">P122-N122</f>
        <v>-16000</v>
      </c>
      <c r="U122" s="70">
        <f t="shared" si="97"/>
        <v>-16000</v>
      </c>
      <c r="V122" s="506">
        <f t="shared" si="47"/>
        <v>-16000</v>
      </c>
      <c r="W122" s="506">
        <f t="shared" si="48"/>
        <v>0</v>
      </c>
      <c r="X122" s="31"/>
      <c r="Y122" s="486"/>
      <c r="Z122" s="31"/>
      <c r="AA122" s="31"/>
      <c r="AB122" s="31"/>
    </row>
    <row r="123" spans="1:28" x14ac:dyDescent="0.3">
      <c r="A123" s="542">
        <v>3222</v>
      </c>
      <c r="B123" s="535" t="s">
        <v>18</v>
      </c>
      <c r="C123" s="94">
        <v>1327000</v>
      </c>
      <c r="D123" s="63"/>
      <c r="E123" s="63">
        <v>1327000</v>
      </c>
      <c r="F123" s="95">
        <v>1327000</v>
      </c>
      <c r="G123" s="95">
        <v>1327000</v>
      </c>
      <c r="H123" s="95">
        <v>1327000</v>
      </c>
      <c r="I123" s="95"/>
      <c r="J123" s="95"/>
      <c r="K123" s="63"/>
      <c r="L123" s="63"/>
      <c r="M123" s="63">
        <f>H123-I123+J123-K123+L123</f>
        <v>1327000</v>
      </c>
      <c r="N123" s="95">
        <v>1327000</v>
      </c>
      <c r="O123" s="95">
        <v>1327000</v>
      </c>
      <c r="P123" s="63">
        <v>1300000</v>
      </c>
      <c r="Q123" s="63">
        <v>1300000</v>
      </c>
      <c r="R123" s="63">
        <v>1300000</v>
      </c>
      <c r="S123" s="70">
        <f>P123-M123</f>
        <v>-27000</v>
      </c>
      <c r="T123" s="70">
        <f t="shared" si="97"/>
        <v>-27000</v>
      </c>
      <c r="U123" s="70">
        <f t="shared" si="97"/>
        <v>-27000</v>
      </c>
      <c r="V123" s="506">
        <f t="shared" si="47"/>
        <v>-27000</v>
      </c>
      <c r="W123" s="506">
        <f t="shared" si="48"/>
        <v>0</v>
      </c>
      <c r="X123" s="31"/>
      <c r="Y123" s="486"/>
      <c r="Z123" s="31"/>
      <c r="AA123" s="31"/>
      <c r="AB123" s="31"/>
    </row>
    <row r="124" spans="1:28" x14ac:dyDescent="0.3">
      <c r="A124" s="542">
        <v>3223</v>
      </c>
      <c r="B124" s="535" t="s">
        <v>19</v>
      </c>
      <c r="C124" s="94">
        <v>1858000</v>
      </c>
      <c r="D124" s="63"/>
      <c r="E124" s="63">
        <v>1858000</v>
      </c>
      <c r="F124" s="95">
        <v>1858000</v>
      </c>
      <c r="G124" s="95">
        <v>1858000</v>
      </c>
      <c r="H124" s="95">
        <v>1858000</v>
      </c>
      <c r="I124" s="95"/>
      <c r="J124" s="95"/>
      <c r="K124" s="63">
        <v>500000</v>
      </c>
      <c r="L124" s="63"/>
      <c r="M124" s="63">
        <f>H124-I124+J124-K124+L124</f>
        <v>1358000</v>
      </c>
      <c r="N124" s="95">
        <v>1858000</v>
      </c>
      <c r="O124" s="95">
        <v>1858000</v>
      </c>
      <c r="P124" s="63">
        <v>1500000</v>
      </c>
      <c r="Q124" s="63">
        <v>1500000</v>
      </c>
      <c r="R124" s="63">
        <v>1500000</v>
      </c>
      <c r="S124" s="70">
        <f>P124-M124</f>
        <v>142000</v>
      </c>
      <c r="T124" s="70">
        <f t="shared" si="97"/>
        <v>-358000</v>
      </c>
      <c r="U124" s="70">
        <f t="shared" si="97"/>
        <v>-358000</v>
      </c>
      <c r="V124" s="506">
        <f t="shared" si="47"/>
        <v>142000</v>
      </c>
      <c r="W124" s="506">
        <f t="shared" si="48"/>
        <v>0</v>
      </c>
      <c r="X124" s="31"/>
      <c r="Y124" s="486"/>
      <c r="Z124" s="31"/>
      <c r="AA124" s="31"/>
      <c r="AB124" s="31"/>
    </row>
    <row r="125" spans="1:28" x14ac:dyDescent="0.3">
      <c r="A125" s="542">
        <v>3224</v>
      </c>
      <c r="B125" s="535" t="s">
        <v>20</v>
      </c>
      <c r="C125" s="94">
        <v>53000</v>
      </c>
      <c r="D125" s="63"/>
      <c r="E125" s="63">
        <v>53000</v>
      </c>
      <c r="F125" s="95">
        <v>53000</v>
      </c>
      <c r="G125" s="95">
        <v>53000</v>
      </c>
      <c r="H125" s="95">
        <v>53000</v>
      </c>
      <c r="I125" s="95"/>
      <c r="J125" s="95"/>
      <c r="K125" s="63"/>
      <c r="L125" s="63"/>
      <c r="M125" s="63">
        <f>H125-I125+J125-K125+L125</f>
        <v>53000</v>
      </c>
      <c r="N125" s="95">
        <v>53000</v>
      </c>
      <c r="O125" s="95">
        <v>53000</v>
      </c>
      <c r="P125" s="63">
        <v>50000</v>
      </c>
      <c r="Q125" s="63">
        <v>50000</v>
      </c>
      <c r="R125" s="63">
        <v>50000</v>
      </c>
      <c r="S125" s="70">
        <f>P125-M125</f>
        <v>-3000</v>
      </c>
      <c r="T125" s="70">
        <f t="shared" si="97"/>
        <v>-3000</v>
      </c>
      <c r="U125" s="70">
        <f t="shared" si="97"/>
        <v>-3000</v>
      </c>
      <c r="V125" s="506">
        <f t="shared" si="47"/>
        <v>-3000</v>
      </c>
      <c r="W125" s="506">
        <f t="shared" si="48"/>
        <v>0</v>
      </c>
      <c r="X125" s="31"/>
      <c r="Y125" s="486"/>
      <c r="Z125" s="31"/>
      <c r="AA125" s="31"/>
      <c r="AB125" s="31"/>
    </row>
    <row r="126" spans="1:28" x14ac:dyDescent="0.3">
      <c r="A126" s="542">
        <v>3225</v>
      </c>
      <c r="B126" s="535" t="s">
        <v>21</v>
      </c>
      <c r="C126" s="94">
        <v>80000</v>
      </c>
      <c r="D126" s="63"/>
      <c r="E126" s="63">
        <v>80000</v>
      </c>
      <c r="F126" s="95">
        <v>80000</v>
      </c>
      <c r="G126" s="95">
        <v>80000</v>
      </c>
      <c r="H126" s="95">
        <v>80000</v>
      </c>
      <c r="I126" s="95"/>
      <c r="J126" s="95"/>
      <c r="K126" s="63"/>
      <c r="L126" s="63"/>
      <c r="M126" s="63">
        <f>H126-I126+J126-K126+L126</f>
        <v>80000</v>
      </c>
      <c r="N126" s="95">
        <v>80000</v>
      </c>
      <c r="O126" s="95">
        <v>80000</v>
      </c>
      <c r="P126" s="63">
        <v>50000</v>
      </c>
      <c r="Q126" s="63">
        <v>50000</v>
      </c>
      <c r="R126" s="63">
        <v>50000</v>
      </c>
      <c r="S126" s="70">
        <f>P126-M126</f>
        <v>-30000</v>
      </c>
      <c r="T126" s="70">
        <f t="shared" si="97"/>
        <v>-30000</v>
      </c>
      <c r="U126" s="70">
        <f t="shared" si="97"/>
        <v>-30000</v>
      </c>
      <c r="V126" s="506">
        <f t="shared" si="47"/>
        <v>-30000</v>
      </c>
      <c r="W126" s="506">
        <f t="shared" si="48"/>
        <v>0</v>
      </c>
      <c r="X126" s="31"/>
      <c r="Y126" s="486"/>
      <c r="Z126" s="31"/>
      <c r="AA126" s="31"/>
      <c r="AB126" s="31"/>
    </row>
    <row r="127" spans="1:28" x14ac:dyDescent="0.3">
      <c r="A127" s="541">
        <v>323</v>
      </c>
      <c r="B127" s="89" t="s">
        <v>23</v>
      </c>
      <c r="C127" s="90">
        <f t="shared" ref="C127:F127" si="98">SUM(C128:C133)</f>
        <v>5906000</v>
      </c>
      <c r="D127" s="62"/>
      <c r="E127" s="62">
        <f t="shared" ref="E127" si="99">SUM(E128:E133)</f>
        <v>6206000</v>
      </c>
      <c r="F127" s="91">
        <f t="shared" si="98"/>
        <v>5906000</v>
      </c>
      <c r="G127" s="91">
        <f t="shared" ref="G127:U127" si="100">SUM(G128:G133)</f>
        <v>5110000</v>
      </c>
      <c r="H127" s="91">
        <f t="shared" si="100"/>
        <v>5906000</v>
      </c>
      <c r="I127" s="91">
        <f t="shared" si="100"/>
        <v>0</v>
      </c>
      <c r="J127" s="91">
        <f t="shared" si="100"/>
        <v>0</v>
      </c>
      <c r="K127" s="91">
        <f t="shared" si="100"/>
        <v>1500000</v>
      </c>
      <c r="L127" s="91">
        <f t="shared" si="100"/>
        <v>0</v>
      </c>
      <c r="M127" s="91">
        <f t="shared" si="100"/>
        <v>4406000</v>
      </c>
      <c r="N127" s="91">
        <f t="shared" si="100"/>
        <v>5110000</v>
      </c>
      <c r="O127" s="91">
        <f t="shared" si="100"/>
        <v>5110000</v>
      </c>
      <c r="P127" s="91">
        <f t="shared" si="100"/>
        <v>4940000</v>
      </c>
      <c r="Q127" s="91">
        <f t="shared" si="100"/>
        <v>4940000</v>
      </c>
      <c r="R127" s="91">
        <f t="shared" si="100"/>
        <v>4940000</v>
      </c>
      <c r="S127" s="91">
        <f t="shared" si="100"/>
        <v>534000</v>
      </c>
      <c r="T127" s="91">
        <f t="shared" si="100"/>
        <v>-170000</v>
      </c>
      <c r="U127" s="91">
        <f t="shared" si="100"/>
        <v>-170000</v>
      </c>
      <c r="V127" s="506">
        <f t="shared" si="47"/>
        <v>534000</v>
      </c>
      <c r="W127" s="506">
        <f t="shared" si="48"/>
        <v>0</v>
      </c>
      <c r="X127" s="31"/>
      <c r="Y127" s="486"/>
      <c r="Z127" s="31"/>
      <c r="AA127" s="31"/>
      <c r="AB127" s="31"/>
    </row>
    <row r="128" spans="1:28" x14ac:dyDescent="0.3">
      <c r="A128" s="542">
        <v>3232</v>
      </c>
      <c r="B128" s="535" t="s">
        <v>25</v>
      </c>
      <c r="C128" s="94">
        <v>1858000</v>
      </c>
      <c r="D128" s="63"/>
      <c r="E128" s="63">
        <v>2158000</v>
      </c>
      <c r="F128" s="95">
        <v>1858000</v>
      </c>
      <c r="G128" s="95">
        <v>1858000</v>
      </c>
      <c r="H128" s="95">
        <v>1858000</v>
      </c>
      <c r="I128" s="95"/>
      <c r="J128" s="95"/>
      <c r="K128" s="63">
        <v>500000</v>
      </c>
      <c r="L128" s="63"/>
      <c r="M128" s="63">
        <f t="shared" ref="M128:M133" si="101">H128-I128+J128-K128+L128</f>
        <v>1358000</v>
      </c>
      <c r="N128" s="95">
        <v>1858000</v>
      </c>
      <c r="O128" s="95">
        <v>1858000</v>
      </c>
      <c r="P128" s="63">
        <v>1500000</v>
      </c>
      <c r="Q128" s="63">
        <v>1500000</v>
      </c>
      <c r="R128" s="63">
        <v>1500000</v>
      </c>
      <c r="S128" s="70">
        <f t="shared" ref="S128:S133" si="102">P128-M128</f>
        <v>142000</v>
      </c>
      <c r="T128" s="70">
        <f t="shared" ref="T128:U133" si="103">P128-N128</f>
        <v>-358000</v>
      </c>
      <c r="U128" s="70">
        <f t="shared" si="103"/>
        <v>-358000</v>
      </c>
      <c r="V128" s="506">
        <f t="shared" si="47"/>
        <v>142000</v>
      </c>
      <c r="W128" s="506">
        <f t="shared" si="48"/>
        <v>0</v>
      </c>
      <c r="X128" s="31"/>
      <c r="Y128" s="486"/>
      <c r="Z128" s="31"/>
      <c r="AA128" s="31"/>
      <c r="AB128" s="31"/>
    </row>
    <row r="129" spans="1:38" x14ac:dyDescent="0.3">
      <c r="A129" s="542">
        <v>3234</v>
      </c>
      <c r="B129" s="535" t="s">
        <v>27</v>
      </c>
      <c r="C129" s="94">
        <v>13000</v>
      </c>
      <c r="D129" s="63"/>
      <c r="E129" s="63">
        <v>13000</v>
      </c>
      <c r="F129" s="95">
        <v>13000</v>
      </c>
      <c r="G129" s="95">
        <v>13000</v>
      </c>
      <c r="H129" s="95">
        <v>13000</v>
      </c>
      <c r="I129" s="95"/>
      <c r="J129" s="95"/>
      <c r="K129" s="63"/>
      <c r="L129" s="63"/>
      <c r="M129" s="63">
        <f t="shared" si="101"/>
        <v>13000</v>
      </c>
      <c r="N129" s="95">
        <v>13000</v>
      </c>
      <c r="O129" s="95">
        <v>13000</v>
      </c>
      <c r="P129" s="63">
        <v>15000</v>
      </c>
      <c r="Q129" s="63">
        <v>15000</v>
      </c>
      <c r="R129" s="63">
        <v>15000</v>
      </c>
      <c r="S129" s="70">
        <f t="shared" si="102"/>
        <v>2000</v>
      </c>
      <c r="T129" s="70">
        <f t="shared" si="103"/>
        <v>2000</v>
      </c>
      <c r="U129" s="70">
        <f t="shared" si="103"/>
        <v>2000</v>
      </c>
      <c r="V129" s="506">
        <f t="shared" si="47"/>
        <v>2000</v>
      </c>
      <c r="W129" s="506">
        <f t="shared" si="48"/>
        <v>0</v>
      </c>
      <c r="X129" s="31"/>
      <c r="Y129" s="486"/>
      <c r="Z129" s="31"/>
      <c r="AA129" s="31"/>
      <c r="AB129" s="31"/>
    </row>
    <row r="130" spans="1:38" x14ac:dyDescent="0.3">
      <c r="A130" s="542">
        <v>3235</v>
      </c>
      <c r="B130" s="535" t="s">
        <v>28</v>
      </c>
      <c r="C130" s="94">
        <v>3052000</v>
      </c>
      <c r="D130" s="63"/>
      <c r="E130" s="63">
        <v>3052000</v>
      </c>
      <c r="F130" s="95">
        <v>3052000</v>
      </c>
      <c r="G130" s="95">
        <v>2521000</v>
      </c>
      <c r="H130" s="95">
        <v>3052000</v>
      </c>
      <c r="I130" s="95"/>
      <c r="J130" s="95"/>
      <c r="K130" s="63">
        <v>1000000</v>
      </c>
      <c r="L130" s="63"/>
      <c r="M130" s="63">
        <f t="shared" si="101"/>
        <v>2052000</v>
      </c>
      <c r="N130" s="95">
        <v>2521000</v>
      </c>
      <c r="O130" s="95">
        <v>2521000</v>
      </c>
      <c r="P130" s="63">
        <v>2500000</v>
      </c>
      <c r="Q130" s="63">
        <v>2500000</v>
      </c>
      <c r="R130" s="63">
        <v>2500000</v>
      </c>
      <c r="S130" s="70">
        <f t="shared" si="102"/>
        <v>448000</v>
      </c>
      <c r="T130" s="70">
        <f t="shared" si="103"/>
        <v>-21000</v>
      </c>
      <c r="U130" s="70">
        <f t="shared" si="103"/>
        <v>-21000</v>
      </c>
      <c r="V130" s="506">
        <f t="shared" si="47"/>
        <v>448000</v>
      </c>
      <c r="W130" s="506">
        <f t="shared" si="48"/>
        <v>0</v>
      </c>
      <c r="X130" s="31"/>
      <c r="Y130" s="486"/>
      <c r="Z130" s="31"/>
      <c r="AA130" s="31"/>
      <c r="AB130" s="31"/>
    </row>
    <row r="131" spans="1:38" x14ac:dyDescent="0.3">
      <c r="A131" s="542">
        <v>3236</v>
      </c>
      <c r="B131" s="535" t="s">
        <v>29</v>
      </c>
      <c r="C131" s="94">
        <v>27000</v>
      </c>
      <c r="D131" s="63"/>
      <c r="E131" s="63">
        <v>27000</v>
      </c>
      <c r="F131" s="95">
        <v>27000</v>
      </c>
      <c r="G131" s="95">
        <v>27000</v>
      </c>
      <c r="H131" s="95">
        <v>27000</v>
      </c>
      <c r="I131" s="95"/>
      <c r="J131" s="95"/>
      <c r="K131" s="63"/>
      <c r="L131" s="63"/>
      <c r="M131" s="63">
        <f t="shared" si="101"/>
        <v>27000</v>
      </c>
      <c r="N131" s="95">
        <v>27000</v>
      </c>
      <c r="O131" s="95">
        <v>27000</v>
      </c>
      <c r="P131" s="63">
        <v>25000</v>
      </c>
      <c r="Q131" s="63">
        <v>25000</v>
      </c>
      <c r="R131" s="63">
        <v>25000</v>
      </c>
      <c r="S131" s="70">
        <f t="shared" si="102"/>
        <v>-2000</v>
      </c>
      <c r="T131" s="70">
        <f t="shared" si="103"/>
        <v>-2000</v>
      </c>
      <c r="U131" s="70">
        <f t="shared" si="103"/>
        <v>-2000</v>
      </c>
      <c r="V131" s="506">
        <f t="shared" si="47"/>
        <v>-2000</v>
      </c>
      <c r="W131" s="506">
        <f t="shared" si="48"/>
        <v>0</v>
      </c>
      <c r="X131" s="31"/>
      <c r="Y131" s="486"/>
      <c r="Z131" s="31"/>
      <c r="AA131" s="31"/>
      <c r="AB131" s="31"/>
    </row>
    <row r="132" spans="1:38" x14ac:dyDescent="0.3">
      <c r="A132" s="542">
        <v>3237</v>
      </c>
      <c r="B132" s="535" t="s">
        <v>30</v>
      </c>
      <c r="C132" s="94">
        <v>27000</v>
      </c>
      <c r="D132" s="63"/>
      <c r="E132" s="63">
        <v>27000</v>
      </c>
      <c r="F132" s="95">
        <v>27000</v>
      </c>
      <c r="G132" s="95">
        <v>27000</v>
      </c>
      <c r="H132" s="95">
        <v>27000</v>
      </c>
      <c r="I132" s="95"/>
      <c r="J132" s="95"/>
      <c r="K132" s="63"/>
      <c r="L132" s="63"/>
      <c r="M132" s="63">
        <f t="shared" si="101"/>
        <v>27000</v>
      </c>
      <c r="N132" s="95">
        <v>27000</v>
      </c>
      <c r="O132" s="95">
        <v>27000</v>
      </c>
      <c r="P132" s="63">
        <v>50000</v>
      </c>
      <c r="Q132" s="63">
        <v>50000</v>
      </c>
      <c r="R132" s="63">
        <v>50000</v>
      </c>
      <c r="S132" s="70">
        <f t="shared" si="102"/>
        <v>23000</v>
      </c>
      <c r="T132" s="70">
        <f t="shared" si="103"/>
        <v>23000</v>
      </c>
      <c r="U132" s="70">
        <f t="shared" si="103"/>
        <v>23000</v>
      </c>
      <c r="V132" s="506">
        <f t="shared" si="47"/>
        <v>23000</v>
      </c>
      <c r="W132" s="506">
        <f t="shared" si="48"/>
        <v>0</v>
      </c>
      <c r="X132" s="31"/>
      <c r="Y132" s="486"/>
      <c r="Z132" s="31"/>
      <c r="AA132" s="31"/>
      <c r="AB132" s="31"/>
    </row>
    <row r="133" spans="1:38" x14ac:dyDescent="0.3">
      <c r="A133" s="542">
        <v>3239</v>
      </c>
      <c r="B133" s="535" t="s">
        <v>31</v>
      </c>
      <c r="C133" s="94">
        <v>929000</v>
      </c>
      <c r="D133" s="63"/>
      <c r="E133" s="63">
        <v>929000</v>
      </c>
      <c r="F133" s="95">
        <v>929000</v>
      </c>
      <c r="G133" s="95">
        <v>664000</v>
      </c>
      <c r="H133" s="95">
        <v>929000</v>
      </c>
      <c r="I133" s="95"/>
      <c r="J133" s="95"/>
      <c r="K133" s="63"/>
      <c r="L133" s="63"/>
      <c r="M133" s="63">
        <f t="shared" si="101"/>
        <v>929000</v>
      </c>
      <c r="N133" s="95">
        <v>664000</v>
      </c>
      <c r="O133" s="95">
        <v>664000</v>
      </c>
      <c r="P133" s="63">
        <v>850000</v>
      </c>
      <c r="Q133" s="63">
        <v>850000</v>
      </c>
      <c r="R133" s="63">
        <v>850000</v>
      </c>
      <c r="S133" s="70">
        <f t="shared" si="102"/>
        <v>-79000</v>
      </c>
      <c r="T133" s="70">
        <f t="shared" si="103"/>
        <v>186000</v>
      </c>
      <c r="U133" s="70">
        <f t="shared" si="103"/>
        <v>186000</v>
      </c>
      <c r="V133" s="506">
        <f t="shared" si="47"/>
        <v>-79000</v>
      </c>
      <c r="W133" s="506">
        <f t="shared" si="48"/>
        <v>0</v>
      </c>
      <c r="X133" s="31"/>
      <c r="Y133" s="486"/>
      <c r="Z133" s="31"/>
      <c r="AA133" s="31"/>
      <c r="AB133" s="31"/>
    </row>
    <row r="134" spans="1:38" x14ac:dyDescent="0.3">
      <c r="A134" s="541">
        <v>329</v>
      </c>
      <c r="B134" s="89" t="s">
        <v>33</v>
      </c>
      <c r="C134" s="90">
        <f t="shared" ref="C134:U134" si="104">SUM(C135)</f>
        <v>7000</v>
      </c>
      <c r="D134" s="62"/>
      <c r="E134" s="62">
        <f t="shared" si="104"/>
        <v>7000</v>
      </c>
      <c r="F134" s="91">
        <f t="shared" si="104"/>
        <v>7000</v>
      </c>
      <c r="G134" s="91">
        <f t="shared" si="104"/>
        <v>7000</v>
      </c>
      <c r="H134" s="91">
        <f t="shared" si="104"/>
        <v>7000</v>
      </c>
      <c r="I134" s="91">
        <f t="shared" si="104"/>
        <v>0</v>
      </c>
      <c r="J134" s="91">
        <f t="shared" si="104"/>
        <v>0</v>
      </c>
      <c r="K134" s="91">
        <f t="shared" si="104"/>
        <v>0</v>
      </c>
      <c r="L134" s="91">
        <f t="shared" si="104"/>
        <v>0</v>
      </c>
      <c r="M134" s="91">
        <f t="shared" si="104"/>
        <v>7000</v>
      </c>
      <c r="N134" s="91">
        <f t="shared" si="104"/>
        <v>7000</v>
      </c>
      <c r="O134" s="91">
        <f t="shared" si="104"/>
        <v>7000</v>
      </c>
      <c r="P134" s="91">
        <f t="shared" si="104"/>
        <v>7000</v>
      </c>
      <c r="Q134" s="91">
        <f t="shared" si="104"/>
        <v>7000</v>
      </c>
      <c r="R134" s="91">
        <f t="shared" si="104"/>
        <v>7000</v>
      </c>
      <c r="S134" s="91">
        <f t="shared" si="104"/>
        <v>0</v>
      </c>
      <c r="T134" s="91">
        <f t="shared" si="104"/>
        <v>0</v>
      </c>
      <c r="U134" s="91">
        <f t="shared" si="104"/>
        <v>0</v>
      </c>
      <c r="V134" s="506">
        <f t="shared" si="47"/>
        <v>0</v>
      </c>
      <c r="W134" s="506">
        <f t="shared" si="48"/>
        <v>0</v>
      </c>
      <c r="X134" s="31"/>
      <c r="Y134" s="486"/>
      <c r="Z134" s="31"/>
      <c r="AA134" s="31"/>
      <c r="AB134" s="31"/>
    </row>
    <row r="135" spans="1:38" x14ac:dyDescent="0.3">
      <c r="A135" s="542">
        <v>3292</v>
      </c>
      <c r="B135" s="535" t="s">
        <v>35</v>
      </c>
      <c r="C135" s="94">
        <v>7000</v>
      </c>
      <c r="D135" s="63"/>
      <c r="E135" s="63">
        <v>7000</v>
      </c>
      <c r="F135" s="95">
        <v>7000</v>
      </c>
      <c r="G135" s="95">
        <v>7000</v>
      </c>
      <c r="H135" s="95">
        <v>7000</v>
      </c>
      <c r="I135" s="95"/>
      <c r="J135" s="95"/>
      <c r="K135" s="63"/>
      <c r="L135" s="63"/>
      <c r="M135" s="63">
        <f>H135-I135+J135-K135+L135</f>
        <v>7000</v>
      </c>
      <c r="N135" s="95">
        <v>7000</v>
      </c>
      <c r="O135" s="95">
        <v>7000</v>
      </c>
      <c r="P135" s="63">
        <v>7000</v>
      </c>
      <c r="Q135" s="63">
        <v>7000</v>
      </c>
      <c r="R135" s="63">
        <v>7000</v>
      </c>
      <c r="S135" s="70">
        <f>P135-M135</f>
        <v>0</v>
      </c>
      <c r="T135" s="70">
        <f>P135-N135</f>
        <v>0</v>
      </c>
      <c r="U135" s="70">
        <f>Q135-O135</f>
        <v>0</v>
      </c>
      <c r="V135" s="506">
        <f t="shared" si="47"/>
        <v>0</v>
      </c>
      <c r="W135" s="506">
        <f t="shared" si="48"/>
        <v>0</v>
      </c>
      <c r="X135" s="31"/>
      <c r="Y135" s="486"/>
      <c r="Z135" s="31"/>
      <c r="AA135" s="31"/>
      <c r="AB135" s="31"/>
    </row>
    <row r="136" spans="1:38" s="2" customFormat="1" ht="21" customHeight="1" x14ac:dyDescent="0.3">
      <c r="A136" s="72" t="s">
        <v>131</v>
      </c>
      <c r="B136" s="73" t="s">
        <v>135</v>
      </c>
      <c r="C136" s="74">
        <f t="shared" ref="C136:U136" si="105">SUM(C137)</f>
        <v>22563000</v>
      </c>
      <c r="D136" s="75"/>
      <c r="E136" s="76">
        <f t="shared" si="105"/>
        <v>22563000</v>
      </c>
      <c r="F136" s="77">
        <f t="shared" si="105"/>
        <v>23193000</v>
      </c>
      <c r="G136" s="77">
        <f t="shared" si="105"/>
        <v>23193000</v>
      </c>
      <c r="H136" s="77">
        <f t="shared" si="105"/>
        <v>23193000</v>
      </c>
      <c r="I136" s="77">
        <f t="shared" si="105"/>
        <v>0</v>
      </c>
      <c r="J136" s="77">
        <f t="shared" si="105"/>
        <v>0</v>
      </c>
      <c r="K136" s="77">
        <f t="shared" si="105"/>
        <v>100000</v>
      </c>
      <c r="L136" s="77">
        <f t="shared" si="105"/>
        <v>0</v>
      </c>
      <c r="M136" s="77">
        <f t="shared" si="105"/>
        <v>23093000</v>
      </c>
      <c r="N136" s="77">
        <f t="shared" si="105"/>
        <v>22593000</v>
      </c>
      <c r="O136" s="77">
        <f t="shared" si="105"/>
        <v>23193000</v>
      </c>
      <c r="P136" s="77">
        <f t="shared" si="105"/>
        <v>22593000</v>
      </c>
      <c r="Q136" s="77">
        <f t="shared" si="105"/>
        <v>3131000</v>
      </c>
      <c r="R136" s="77">
        <f t="shared" si="105"/>
        <v>0</v>
      </c>
      <c r="S136" s="77">
        <f t="shared" si="105"/>
        <v>-500000</v>
      </c>
      <c r="T136" s="77">
        <f t="shared" si="105"/>
        <v>0</v>
      </c>
      <c r="U136" s="77">
        <f t="shared" si="105"/>
        <v>-20062000</v>
      </c>
      <c r="V136" s="506">
        <f t="shared" si="47"/>
        <v>-500000</v>
      </c>
      <c r="W136" s="506">
        <f t="shared" si="48"/>
        <v>0</v>
      </c>
      <c r="X136" s="60" t="s">
        <v>397</v>
      </c>
      <c r="Y136" s="490"/>
      <c r="Z136" s="34"/>
      <c r="AA136" s="34"/>
      <c r="AB136" s="34"/>
      <c r="AH136" s="525"/>
      <c r="AI136" s="525"/>
      <c r="AJ136" s="525"/>
      <c r="AK136" s="525"/>
      <c r="AL136" s="525"/>
    </row>
    <row r="137" spans="1:38" ht="18.75" customHeight="1" x14ac:dyDescent="0.3">
      <c r="A137" s="700" t="s">
        <v>1</v>
      </c>
      <c r="B137" s="700"/>
      <c r="C137" s="85">
        <f t="shared" ref="C137:U137" si="106">SUM(C140)</f>
        <v>22563000</v>
      </c>
      <c r="D137" s="66"/>
      <c r="E137" s="66">
        <f t="shared" ref="E137" si="107">SUM(E140)</f>
        <v>22563000</v>
      </c>
      <c r="F137" s="86">
        <f t="shared" si="106"/>
        <v>23193000</v>
      </c>
      <c r="G137" s="86">
        <f t="shared" si="106"/>
        <v>23193000</v>
      </c>
      <c r="H137" s="86">
        <f t="shared" si="106"/>
        <v>23193000</v>
      </c>
      <c r="I137" s="86">
        <f t="shared" si="106"/>
        <v>0</v>
      </c>
      <c r="J137" s="86">
        <f t="shared" si="106"/>
        <v>0</v>
      </c>
      <c r="K137" s="86">
        <f t="shared" si="106"/>
        <v>100000</v>
      </c>
      <c r="L137" s="86">
        <f t="shared" si="106"/>
        <v>0</v>
      </c>
      <c r="M137" s="86">
        <f t="shared" si="106"/>
        <v>23093000</v>
      </c>
      <c r="N137" s="86">
        <f t="shared" si="106"/>
        <v>22593000</v>
      </c>
      <c r="O137" s="86">
        <f t="shared" si="106"/>
        <v>23193000</v>
      </c>
      <c r="P137" s="86">
        <f t="shared" si="106"/>
        <v>22593000</v>
      </c>
      <c r="Q137" s="86">
        <f t="shared" si="106"/>
        <v>3131000</v>
      </c>
      <c r="R137" s="86">
        <f t="shared" si="106"/>
        <v>0</v>
      </c>
      <c r="S137" s="86">
        <f t="shared" si="106"/>
        <v>-500000</v>
      </c>
      <c r="T137" s="86">
        <f t="shared" si="106"/>
        <v>0</v>
      </c>
      <c r="U137" s="86">
        <f t="shared" si="106"/>
        <v>-20062000</v>
      </c>
      <c r="V137" s="506">
        <f t="shared" si="47"/>
        <v>-500000</v>
      </c>
      <c r="W137" s="506">
        <f t="shared" si="48"/>
        <v>0</v>
      </c>
      <c r="X137" s="78"/>
      <c r="Y137" s="493"/>
      <c r="Z137" s="31"/>
      <c r="AA137" s="31"/>
      <c r="AB137" s="31"/>
    </row>
    <row r="138" spans="1:38" s="2" customFormat="1" ht="16.5" hidden="1" customHeight="1" x14ac:dyDescent="0.3">
      <c r="A138" s="557" t="s">
        <v>149</v>
      </c>
      <c r="B138" s="558" t="s">
        <v>12</v>
      </c>
      <c r="C138" s="559">
        <f t="shared" ref="C138:U138" si="108">SUM(C139)</f>
        <v>0</v>
      </c>
      <c r="D138" s="79"/>
      <c r="E138" s="79">
        <f t="shared" si="108"/>
        <v>0</v>
      </c>
      <c r="F138" s="369">
        <f t="shared" si="108"/>
        <v>0</v>
      </c>
      <c r="G138" s="369">
        <f t="shared" si="108"/>
        <v>0</v>
      </c>
      <c r="H138" s="369">
        <f t="shared" si="108"/>
        <v>0</v>
      </c>
      <c r="I138" s="369"/>
      <c r="J138" s="369"/>
      <c r="K138" s="369"/>
      <c r="L138" s="369"/>
      <c r="M138" s="369"/>
      <c r="N138" s="369">
        <f t="shared" si="108"/>
        <v>0</v>
      </c>
      <c r="O138" s="369">
        <f t="shared" si="108"/>
        <v>0</v>
      </c>
      <c r="P138" s="369"/>
      <c r="Q138" s="369"/>
      <c r="R138" s="369"/>
      <c r="S138" s="369">
        <f t="shared" si="108"/>
        <v>0</v>
      </c>
      <c r="T138" s="369"/>
      <c r="U138" s="369">
        <f t="shared" si="108"/>
        <v>0</v>
      </c>
      <c r="V138" s="506">
        <f t="shared" si="47"/>
        <v>0</v>
      </c>
      <c r="W138" s="506">
        <f t="shared" si="48"/>
        <v>0</v>
      </c>
      <c r="X138" s="80"/>
      <c r="Y138" s="494"/>
      <c r="Z138" s="34"/>
      <c r="AA138" s="34"/>
      <c r="AB138" s="34"/>
      <c r="AH138" s="525"/>
      <c r="AI138" s="525"/>
      <c r="AJ138" s="525"/>
      <c r="AK138" s="525"/>
      <c r="AL138" s="525"/>
    </row>
    <row r="139" spans="1:38" ht="13.05" hidden="1" x14ac:dyDescent="0.3">
      <c r="A139" s="130" t="s">
        <v>151</v>
      </c>
      <c r="B139" s="107" t="s">
        <v>14</v>
      </c>
      <c r="C139" s="560"/>
      <c r="D139" s="81"/>
      <c r="E139" s="81"/>
      <c r="F139" s="370"/>
      <c r="G139" s="370"/>
      <c r="H139" s="370"/>
      <c r="I139" s="370"/>
      <c r="J139" s="370"/>
      <c r="K139" s="370"/>
      <c r="L139" s="370"/>
      <c r="M139" s="370"/>
      <c r="N139" s="370"/>
      <c r="O139" s="370"/>
      <c r="P139" s="370"/>
      <c r="Q139" s="370"/>
      <c r="R139" s="370"/>
      <c r="S139" s="370"/>
      <c r="T139" s="370"/>
      <c r="U139" s="370"/>
      <c r="V139" s="506">
        <f t="shared" ref="V139:V202" si="109">P139-M139</f>
        <v>0</v>
      </c>
      <c r="W139" s="506">
        <f t="shared" ref="W139:W202" si="110">S139-V139</f>
        <v>0</v>
      </c>
      <c r="X139" s="78"/>
      <c r="Y139" s="493"/>
      <c r="Z139" s="31"/>
      <c r="AA139" s="31"/>
      <c r="AB139" s="31"/>
    </row>
    <row r="140" spans="1:38" x14ac:dyDescent="0.3">
      <c r="A140" s="561" t="s">
        <v>317</v>
      </c>
      <c r="B140" s="562" t="s">
        <v>318</v>
      </c>
      <c r="C140" s="563">
        <f t="shared" ref="C140:U140" si="111">SUM(C141,C143,C146)</f>
        <v>22563000</v>
      </c>
      <c r="D140" s="143"/>
      <c r="E140" s="143">
        <f t="shared" ref="E140" si="112">SUM(E141,E143,E146)</f>
        <v>22563000</v>
      </c>
      <c r="F140" s="564">
        <f t="shared" si="111"/>
        <v>23193000</v>
      </c>
      <c r="G140" s="564">
        <f t="shared" si="111"/>
        <v>23193000</v>
      </c>
      <c r="H140" s="564">
        <f t="shared" si="111"/>
        <v>23193000</v>
      </c>
      <c r="I140" s="564">
        <f t="shared" si="111"/>
        <v>0</v>
      </c>
      <c r="J140" s="564">
        <f t="shared" si="111"/>
        <v>0</v>
      </c>
      <c r="K140" s="564">
        <f t="shared" si="111"/>
        <v>100000</v>
      </c>
      <c r="L140" s="564">
        <f t="shared" si="111"/>
        <v>0</v>
      </c>
      <c r="M140" s="564">
        <f t="shared" si="111"/>
        <v>23093000</v>
      </c>
      <c r="N140" s="564">
        <f t="shared" si="111"/>
        <v>22593000</v>
      </c>
      <c r="O140" s="564">
        <f t="shared" si="111"/>
        <v>23193000</v>
      </c>
      <c r="P140" s="564">
        <f t="shared" si="111"/>
        <v>22593000</v>
      </c>
      <c r="Q140" s="564">
        <f t="shared" si="111"/>
        <v>3131000</v>
      </c>
      <c r="R140" s="564">
        <f t="shared" si="111"/>
        <v>0</v>
      </c>
      <c r="S140" s="565">
        <f t="shared" si="111"/>
        <v>-500000</v>
      </c>
      <c r="T140" s="565">
        <f t="shared" si="111"/>
        <v>0</v>
      </c>
      <c r="U140" s="565">
        <f t="shared" si="111"/>
        <v>-20062000</v>
      </c>
      <c r="V140" s="506">
        <f t="shared" si="109"/>
        <v>-500000</v>
      </c>
      <c r="W140" s="506">
        <f t="shared" si="110"/>
        <v>0</v>
      </c>
      <c r="X140" s="78"/>
      <c r="Y140" s="493"/>
      <c r="Z140" s="31"/>
      <c r="AA140" s="31"/>
      <c r="AB140" s="31"/>
    </row>
    <row r="141" spans="1:38" x14ac:dyDescent="0.3">
      <c r="A141" s="557" t="s">
        <v>153</v>
      </c>
      <c r="B141" s="558" t="s">
        <v>16</v>
      </c>
      <c r="C141" s="566">
        <f t="shared" ref="C141:U141" si="113">C142</f>
        <v>7000</v>
      </c>
      <c r="D141" s="82"/>
      <c r="E141" s="82">
        <f t="shared" si="113"/>
        <v>7000</v>
      </c>
      <c r="F141" s="567">
        <f t="shared" si="113"/>
        <v>7000</v>
      </c>
      <c r="G141" s="567">
        <f t="shared" si="113"/>
        <v>7000</v>
      </c>
      <c r="H141" s="567">
        <f t="shared" si="113"/>
        <v>7000</v>
      </c>
      <c r="I141" s="567">
        <f t="shared" si="113"/>
        <v>0</v>
      </c>
      <c r="J141" s="567">
        <f t="shared" si="113"/>
        <v>0</v>
      </c>
      <c r="K141" s="567">
        <f t="shared" si="113"/>
        <v>0</v>
      </c>
      <c r="L141" s="567">
        <f t="shared" si="113"/>
        <v>0</v>
      </c>
      <c r="M141" s="567">
        <f t="shared" si="113"/>
        <v>7000</v>
      </c>
      <c r="N141" s="567">
        <f t="shared" si="113"/>
        <v>7000</v>
      </c>
      <c r="O141" s="567">
        <f t="shared" si="113"/>
        <v>7000</v>
      </c>
      <c r="P141" s="567">
        <f t="shared" si="113"/>
        <v>7000</v>
      </c>
      <c r="Q141" s="567">
        <f t="shared" si="113"/>
        <v>7000</v>
      </c>
      <c r="R141" s="567">
        <f t="shared" si="113"/>
        <v>0</v>
      </c>
      <c r="S141" s="567">
        <f t="shared" si="113"/>
        <v>0</v>
      </c>
      <c r="T141" s="567">
        <f t="shared" si="113"/>
        <v>0</v>
      </c>
      <c r="U141" s="567">
        <f t="shared" si="113"/>
        <v>0</v>
      </c>
      <c r="V141" s="506">
        <f t="shared" si="109"/>
        <v>0</v>
      </c>
      <c r="W141" s="506">
        <f t="shared" si="110"/>
        <v>0</v>
      </c>
      <c r="X141" s="78"/>
      <c r="Y141" s="493"/>
      <c r="Z141" s="31"/>
      <c r="AA141" s="31"/>
      <c r="AB141" s="31"/>
    </row>
    <row r="142" spans="1:38" x14ac:dyDescent="0.3">
      <c r="A142" s="130">
        <v>3222</v>
      </c>
      <c r="B142" s="107" t="s">
        <v>18</v>
      </c>
      <c r="C142" s="560">
        <v>7000</v>
      </c>
      <c r="D142" s="81"/>
      <c r="E142" s="81">
        <v>7000</v>
      </c>
      <c r="F142" s="370">
        <v>7000</v>
      </c>
      <c r="G142" s="370">
        <v>7000</v>
      </c>
      <c r="H142" s="370">
        <v>7000</v>
      </c>
      <c r="I142" s="370"/>
      <c r="J142" s="370"/>
      <c r="K142" s="81"/>
      <c r="L142" s="81"/>
      <c r="M142" s="63">
        <f>H142-I142+J142-K142+L142</f>
        <v>7000</v>
      </c>
      <c r="N142" s="370">
        <v>7000</v>
      </c>
      <c r="O142" s="370">
        <v>7000</v>
      </c>
      <c r="P142" s="81">
        <v>7000</v>
      </c>
      <c r="Q142" s="81">
        <v>7000</v>
      </c>
      <c r="R142" s="81"/>
      <c r="S142" s="70">
        <f>P142-M142</f>
        <v>0</v>
      </c>
      <c r="T142" s="70">
        <f>P142-N142</f>
        <v>0</v>
      </c>
      <c r="U142" s="70">
        <f>Q142-O142</f>
        <v>0</v>
      </c>
      <c r="V142" s="506">
        <f t="shared" si="109"/>
        <v>0</v>
      </c>
      <c r="W142" s="506">
        <f t="shared" si="110"/>
        <v>0</v>
      </c>
      <c r="X142" s="78"/>
      <c r="Y142" s="493"/>
      <c r="Z142" s="31"/>
      <c r="AA142" s="31"/>
      <c r="AB142" s="31"/>
    </row>
    <row r="143" spans="1:38" s="2" customFormat="1" ht="15" customHeight="1" x14ac:dyDescent="0.3">
      <c r="A143" s="557" t="s">
        <v>159</v>
      </c>
      <c r="B143" s="558" t="s">
        <v>123</v>
      </c>
      <c r="C143" s="559">
        <f t="shared" ref="C143:F143" si="114">SUM(C144:C145)</f>
        <v>22224000</v>
      </c>
      <c r="D143" s="79"/>
      <c r="E143" s="79">
        <f t="shared" ref="E143" si="115">SUM(E144:E145)</f>
        <v>22224000</v>
      </c>
      <c r="F143" s="369">
        <f t="shared" si="114"/>
        <v>22854000</v>
      </c>
      <c r="G143" s="369">
        <f t="shared" ref="G143:U143" si="116">SUM(G144:G145)</f>
        <v>22854000</v>
      </c>
      <c r="H143" s="369">
        <f t="shared" si="116"/>
        <v>22854000</v>
      </c>
      <c r="I143" s="369">
        <f t="shared" si="116"/>
        <v>0</v>
      </c>
      <c r="J143" s="369">
        <f t="shared" si="116"/>
        <v>0</v>
      </c>
      <c r="K143" s="369">
        <f t="shared" si="116"/>
        <v>100000</v>
      </c>
      <c r="L143" s="369">
        <f t="shared" si="116"/>
        <v>0</v>
      </c>
      <c r="M143" s="369">
        <f t="shared" si="116"/>
        <v>22754000</v>
      </c>
      <c r="N143" s="369">
        <f t="shared" si="116"/>
        <v>22254000</v>
      </c>
      <c r="O143" s="369">
        <f t="shared" si="116"/>
        <v>22854000</v>
      </c>
      <c r="P143" s="369">
        <f t="shared" si="116"/>
        <v>22254000</v>
      </c>
      <c r="Q143" s="369">
        <f t="shared" si="116"/>
        <v>2792000</v>
      </c>
      <c r="R143" s="369">
        <f t="shared" si="116"/>
        <v>0</v>
      </c>
      <c r="S143" s="369">
        <f t="shared" si="116"/>
        <v>-500000</v>
      </c>
      <c r="T143" s="369">
        <f t="shared" si="116"/>
        <v>0</v>
      </c>
      <c r="U143" s="369">
        <f t="shared" si="116"/>
        <v>-20062000</v>
      </c>
      <c r="V143" s="506">
        <f t="shared" si="109"/>
        <v>-500000</v>
      </c>
      <c r="W143" s="506">
        <f t="shared" si="110"/>
        <v>0</v>
      </c>
      <c r="X143" s="80"/>
      <c r="Y143" s="494"/>
      <c r="Z143" s="34"/>
      <c r="AA143" s="34"/>
      <c r="AB143" s="34"/>
      <c r="AH143" s="525"/>
      <c r="AI143" s="525"/>
      <c r="AJ143" s="525"/>
      <c r="AK143" s="525"/>
      <c r="AL143" s="525"/>
    </row>
    <row r="144" spans="1:38" ht="14.25" customHeight="1" x14ac:dyDescent="0.3">
      <c r="A144" s="130" t="s">
        <v>166</v>
      </c>
      <c r="B144" s="107" t="s">
        <v>30</v>
      </c>
      <c r="C144" s="560">
        <v>292000</v>
      </c>
      <c r="D144" s="81"/>
      <c r="E144" s="81">
        <v>292000</v>
      </c>
      <c r="F144" s="370">
        <v>292000</v>
      </c>
      <c r="G144" s="370">
        <v>292000</v>
      </c>
      <c r="H144" s="370">
        <v>292000</v>
      </c>
      <c r="I144" s="370"/>
      <c r="J144" s="370"/>
      <c r="K144" s="81">
        <v>100000</v>
      </c>
      <c r="L144" s="81"/>
      <c r="M144" s="63">
        <f>H144-I144+J144-K144+L144</f>
        <v>192000</v>
      </c>
      <c r="N144" s="370">
        <v>292000</v>
      </c>
      <c r="O144" s="370">
        <v>292000</v>
      </c>
      <c r="P144" s="81">
        <v>292000</v>
      </c>
      <c r="Q144" s="81">
        <v>292000</v>
      </c>
      <c r="R144" s="81"/>
      <c r="S144" s="70">
        <f>P144-M144</f>
        <v>100000</v>
      </c>
      <c r="T144" s="70">
        <f>P144-N144</f>
        <v>0</v>
      </c>
      <c r="U144" s="70">
        <f>Q144-O144</f>
        <v>0</v>
      </c>
      <c r="V144" s="506">
        <f t="shared" si="109"/>
        <v>100000</v>
      </c>
      <c r="W144" s="506">
        <f t="shared" si="110"/>
        <v>0</v>
      </c>
      <c r="X144" s="78"/>
      <c r="Y144" s="493"/>
      <c r="Z144" s="31"/>
      <c r="AA144" s="31"/>
      <c r="AB144" s="31"/>
    </row>
    <row r="145" spans="1:38" x14ac:dyDescent="0.3">
      <c r="A145" s="130" t="s">
        <v>167</v>
      </c>
      <c r="B145" s="107" t="s">
        <v>31</v>
      </c>
      <c r="C145" s="560">
        <v>21932000</v>
      </c>
      <c r="D145" s="81"/>
      <c r="E145" s="81">
        <v>21932000</v>
      </c>
      <c r="F145" s="370">
        <v>22562000</v>
      </c>
      <c r="G145" s="370">
        <v>22562000</v>
      </c>
      <c r="H145" s="370">
        <v>22562000</v>
      </c>
      <c r="I145" s="370"/>
      <c r="J145" s="370"/>
      <c r="K145" s="81"/>
      <c r="L145" s="81"/>
      <c r="M145" s="63">
        <f>H145-I145+J145-K145+L145</f>
        <v>22562000</v>
      </c>
      <c r="N145" s="370">
        <f>22562000-600000</f>
        <v>21962000</v>
      </c>
      <c r="O145" s="370">
        <v>22562000</v>
      </c>
      <c r="P145" s="81">
        <v>21962000</v>
      </c>
      <c r="Q145" s="81">
        <v>2500000</v>
      </c>
      <c r="R145" s="81"/>
      <c r="S145" s="70">
        <f>P145-M145</f>
        <v>-600000</v>
      </c>
      <c r="T145" s="70">
        <f>P145-N145</f>
        <v>0</v>
      </c>
      <c r="U145" s="70">
        <f>Q145-O145</f>
        <v>-20062000</v>
      </c>
      <c r="V145" s="506">
        <f t="shared" si="109"/>
        <v>-600000</v>
      </c>
      <c r="W145" s="506">
        <f t="shared" si="110"/>
        <v>0</v>
      </c>
      <c r="X145" s="78"/>
      <c r="Y145" s="493"/>
      <c r="Z145" s="31"/>
      <c r="AA145" s="31"/>
      <c r="AB145" s="31"/>
    </row>
    <row r="146" spans="1:38" s="2" customFormat="1" ht="14.55" customHeight="1" x14ac:dyDescent="0.3">
      <c r="A146" s="557" t="s">
        <v>170</v>
      </c>
      <c r="B146" s="558" t="s">
        <v>33</v>
      </c>
      <c r="C146" s="559">
        <f t="shared" ref="C146:U146" si="117">SUM(C147)</f>
        <v>332000</v>
      </c>
      <c r="D146" s="79"/>
      <c r="E146" s="79">
        <f t="shared" si="117"/>
        <v>332000</v>
      </c>
      <c r="F146" s="369">
        <f t="shared" si="117"/>
        <v>332000</v>
      </c>
      <c r="G146" s="369">
        <f t="shared" si="117"/>
        <v>332000</v>
      </c>
      <c r="H146" s="369">
        <f t="shared" si="117"/>
        <v>332000</v>
      </c>
      <c r="I146" s="369">
        <f t="shared" si="117"/>
        <v>0</v>
      </c>
      <c r="J146" s="369">
        <f t="shared" si="117"/>
        <v>0</v>
      </c>
      <c r="K146" s="369">
        <f t="shared" si="117"/>
        <v>0</v>
      </c>
      <c r="L146" s="369">
        <f t="shared" si="117"/>
        <v>0</v>
      </c>
      <c r="M146" s="369">
        <f t="shared" si="117"/>
        <v>332000</v>
      </c>
      <c r="N146" s="369">
        <f t="shared" si="117"/>
        <v>332000</v>
      </c>
      <c r="O146" s="369">
        <f t="shared" si="117"/>
        <v>332000</v>
      </c>
      <c r="P146" s="369">
        <f t="shared" si="117"/>
        <v>332000</v>
      </c>
      <c r="Q146" s="369">
        <f t="shared" si="117"/>
        <v>332000</v>
      </c>
      <c r="R146" s="369">
        <f t="shared" si="117"/>
        <v>0</v>
      </c>
      <c r="S146" s="369">
        <f t="shared" si="117"/>
        <v>0</v>
      </c>
      <c r="T146" s="369">
        <f t="shared" si="117"/>
        <v>0</v>
      </c>
      <c r="U146" s="369">
        <f t="shared" si="117"/>
        <v>0</v>
      </c>
      <c r="V146" s="506">
        <f t="shared" si="109"/>
        <v>0</v>
      </c>
      <c r="W146" s="506">
        <f t="shared" si="110"/>
        <v>0</v>
      </c>
      <c r="X146" s="80"/>
      <c r="Y146" s="494"/>
      <c r="Z146" s="34"/>
      <c r="AA146" s="34"/>
      <c r="AB146" s="34"/>
      <c r="AH146" s="525"/>
      <c r="AI146" s="525"/>
      <c r="AJ146" s="525"/>
      <c r="AK146" s="525"/>
      <c r="AL146" s="525"/>
    </row>
    <row r="147" spans="1:38" ht="12.75" customHeight="1" x14ac:dyDescent="0.3">
      <c r="A147" s="130" t="s">
        <v>173</v>
      </c>
      <c r="B147" s="107" t="s">
        <v>33</v>
      </c>
      <c r="C147" s="560">
        <v>332000</v>
      </c>
      <c r="D147" s="81"/>
      <c r="E147" s="81">
        <v>332000</v>
      </c>
      <c r="F147" s="370">
        <v>332000</v>
      </c>
      <c r="G147" s="370">
        <v>332000</v>
      </c>
      <c r="H147" s="370">
        <v>332000</v>
      </c>
      <c r="I147" s="370"/>
      <c r="J147" s="370"/>
      <c r="K147" s="81"/>
      <c r="L147" s="81"/>
      <c r="M147" s="63">
        <f>H147-I147+J147-K147+L147</f>
        <v>332000</v>
      </c>
      <c r="N147" s="370">
        <v>332000</v>
      </c>
      <c r="O147" s="370">
        <v>332000</v>
      </c>
      <c r="P147" s="81">
        <v>332000</v>
      </c>
      <c r="Q147" s="81">
        <v>332000</v>
      </c>
      <c r="R147" s="81"/>
      <c r="S147" s="70">
        <f>P147-M147</f>
        <v>0</v>
      </c>
      <c r="T147" s="70">
        <f>P147-N147</f>
        <v>0</v>
      </c>
      <c r="U147" s="70">
        <f>Q147-O147</f>
        <v>0</v>
      </c>
      <c r="V147" s="506">
        <f t="shared" si="109"/>
        <v>0</v>
      </c>
      <c r="W147" s="506">
        <f t="shared" si="110"/>
        <v>0</v>
      </c>
      <c r="X147" s="78"/>
      <c r="Y147" s="493"/>
      <c r="Z147" s="31"/>
      <c r="AA147" s="31"/>
      <c r="AB147" s="31"/>
    </row>
    <row r="148" spans="1:38" s="2" customFormat="1" ht="13.95" hidden="1" customHeight="1" x14ac:dyDescent="0.3">
      <c r="A148" s="557" t="s">
        <v>214</v>
      </c>
      <c r="B148" s="558" t="s">
        <v>132</v>
      </c>
      <c r="C148" s="559">
        <f t="shared" ref="C148:U148" si="118">SUM(C149)</f>
        <v>0</v>
      </c>
      <c r="D148" s="79"/>
      <c r="E148" s="79">
        <f t="shared" si="118"/>
        <v>0</v>
      </c>
      <c r="F148" s="369">
        <f t="shared" si="118"/>
        <v>0</v>
      </c>
      <c r="G148" s="369">
        <f t="shared" si="118"/>
        <v>0</v>
      </c>
      <c r="H148" s="369">
        <f t="shared" si="118"/>
        <v>0</v>
      </c>
      <c r="I148" s="369"/>
      <c r="J148" s="369"/>
      <c r="K148" s="369"/>
      <c r="L148" s="369"/>
      <c r="M148" s="369"/>
      <c r="N148" s="369">
        <f t="shared" si="118"/>
        <v>0</v>
      </c>
      <c r="O148" s="369">
        <f t="shared" si="118"/>
        <v>0</v>
      </c>
      <c r="P148" s="369"/>
      <c r="Q148" s="369"/>
      <c r="R148" s="369"/>
      <c r="S148" s="369">
        <f t="shared" si="118"/>
        <v>0</v>
      </c>
      <c r="T148" s="369"/>
      <c r="U148" s="369">
        <f t="shared" si="118"/>
        <v>0</v>
      </c>
      <c r="V148" s="506">
        <f t="shared" si="109"/>
        <v>0</v>
      </c>
      <c r="W148" s="506">
        <f t="shared" si="110"/>
        <v>0</v>
      </c>
      <c r="X148" s="34"/>
      <c r="Y148" s="490"/>
      <c r="Z148" s="34"/>
      <c r="AA148" s="34"/>
      <c r="AB148" s="34"/>
      <c r="AH148" s="525"/>
      <c r="AI148" s="525"/>
      <c r="AJ148" s="525"/>
      <c r="AK148" s="525"/>
      <c r="AL148" s="525"/>
    </row>
    <row r="149" spans="1:38" ht="13.05" hidden="1" x14ac:dyDescent="0.3">
      <c r="A149" s="130" t="s">
        <v>215</v>
      </c>
      <c r="B149" s="107" t="s">
        <v>132</v>
      </c>
      <c r="C149" s="560"/>
      <c r="D149" s="81"/>
      <c r="E149" s="81"/>
      <c r="F149" s="370"/>
      <c r="G149" s="370"/>
      <c r="H149" s="370"/>
      <c r="I149" s="370"/>
      <c r="J149" s="370"/>
      <c r="K149" s="370"/>
      <c r="L149" s="370"/>
      <c r="M149" s="370"/>
      <c r="N149" s="370"/>
      <c r="O149" s="370"/>
      <c r="P149" s="370"/>
      <c r="Q149" s="370"/>
      <c r="R149" s="370"/>
      <c r="S149" s="370"/>
      <c r="T149" s="370"/>
      <c r="U149" s="370"/>
      <c r="V149" s="506">
        <f t="shared" si="109"/>
        <v>0</v>
      </c>
      <c r="W149" s="506">
        <f t="shared" si="110"/>
        <v>0</v>
      </c>
      <c r="X149" s="31"/>
      <c r="Y149" s="486"/>
      <c r="Z149" s="31"/>
      <c r="AA149" s="31"/>
      <c r="AB149" s="31"/>
    </row>
    <row r="150" spans="1:38" ht="27" customHeight="1" x14ac:dyDescent="0.3">
      <c r="A150" s="72" t="s">
        <v>270</v>
      </c>
      <c r="B150" s="73" t="s">
        <v>271</v>
      </c>
      <c r="C150" s="74">
        <f t="shared" ref="C150:U150" si="119">SUM(C151)</f>
        <v>10991000</v>
      </c>
      <c r="D150" s="75"/>
      <c r="E150" s="76">
        <f t="shared" si="119"/>
        <v>16994000</v>
      </c>
      <c r="F150" s="77">
        <f t="shared" si="119"/>
        <v>8058000</v>
      </c>
      <c r="G150" s="77">
        <f t="shared" si="119"/>
        <v>8065000</v>
      </c>
      <c r="H150" s="158">
        <f t="shared" si="119"/>
        <v>5033000</v>
      </c>
      <c r="I150" s="158">
        <f t="shared" si="119"/>
        <v>0</v>
      </c>
      <c r="J150" s="158">
        <f t="shared" si="119"/>
        <v>0</v>
      </c>
      <c r="K150" s="158">
        <f t="shared" si="119"/>
        <v>400000</v>
      </c>
      <c r="L150" s="158">
        <f t="shared" si="119"/>
        <v>0</v>
      </c>
      <c r="M150" s="158">
        <f t="shared" si="119"/>
        <v>4633000</v>
      </c>
      <c r="N150" s="77">
        <f t="shared" si="119"/>
        <v>2086000</v>
      </c>
      <c r="O150" s="77">
        <f t="shared" si="119"/>
        <v>2086000</v>
      </c>
      <c r="P150" s="77">
        <f t="shared" si="119"/>
        <v>4391000</v>
      </c>
      <c r="Q150" s="77">
        <f t="shared" si="119"/>
        <v>3199000</v>
      </c>
      <c r="R150" s="77">
        <f t="shared" si="119"/>
        <v>3077000</v>
      </c>
      <c r="S150" s="77">
        <f t="shared" si="119"/>
        <v>-242000</v>
      </c>
      <c r="T150" s="77">
        <f t="shared" si="119"/>
        <v>2305000</v>
      </c>
      <c r="U150" s="77">
        <f t="shared" si="119"/>
        <v>1093000</v>
      </c>
      <c r="V150" s="506">
        <f t="shared" si="109"/>
        <v>-242000</v>
      </c>
      <c r="W150" s="506">
        <f t="shared" si="110"/>
        <v>0</v>
      </c>
      <c r="X150" s="483" t="s">
        <v>401</v>
      </c>
      <c r="Y150" s="486"/>
      <c r="Z150" s="31"/>
      <c r="AA150" s="31"/>
      <c r="AB150" s="31"/>
    </row>
    <row r="151" spans="1:38" ht="18" customHeight="1" x14ac:dyDescent="0.3">
      <c r="A151" s="700" t="s">
        <v>1</v>
      </c>
      <c r="B151" s="700"/>
      <c r="C151" s="85">
        <f>SUM(C152,C191,C194,C201)</f>
        <v>10991000</v>
      </c>
      <c r="D151" s="66"/>
      <c r="E151" s="66">
        <f t="shared" ref="E151:U151" si="120">SUM(E152,E191,E194,E201)</f>
        <v>16994000</v>
      </c>
      <c r="F151" s="86">
        <f t="shared" si="120"/>
        <v>8058000</v>
      </c>
      <c r="G151" s="86">
        <f t="shared" si="120"/>
        <v>8065000</v>
      </c>
      <c r="H151" s="86">
        <f t="shared" si="120"/>
        <v>5033000</v>
      </c>
      <c r="I151" s="86">
        <f t="shared" si="120"/>
        <v>0</v>
      </c>
      <c r="J151" s="86">
        <f t="shared" si="120"/>
        <v>0</v>
      </c>
      <c r="K151" s="86">
        <f t="shared" si="120"/>
        <v>400000</v>
      </c>
      <c r="L151" s="86">
        <f t="shared" si="120"/>
        <v>0</v>
      </c>
      <c r="M151" s="86">
        <f t="shared" si="120"/>
        <v>4633000</v>
      </c>
      <c r="N151" s="86">
        <f t="shared" si="120"/>
        <v>2086000</v>
      </c>
      <c r="O151" s="86">
        <f t="shared" si="120"/>
        <v>2086000</v>
      </c>
      <c r="P151" s="86">
        <f t="shared" si="120"/>
        <v>4391000</v>
      </c>
      <c r="Q151" s="86">
        <f t="shared" si="120"/>
        <v>3199000</v>
      </c>
      <c r="R151" s="86">
        <f t="shared" si="120"/>
        <v>3077000</v>
      </c>
      <c r="S151" s="86">
        <f t="shared" si="120"/>
        <v>-242000</v>
      </c>
      <c r="T151" s="86">
        <f t="shared" si="120"/>
        <v>2305000</v>
      </c>
      <c r="U151" s="86">
        <f t="shared" si="120"/>
        <v>1093000</v>
      </c>
      <c r="V151" s="506">
        <f t="shared" si="109"/>
        <v>-242000</v>
      </c>
      <c r="W151" s="506">
        <f t="shared" si="110"/>
        <v>0</v>
      </c>
      <c r="X151" s="31"/>
      <c r="Y151" s="486"/>
      <c r="Z151" s="31"/>
      <c r="AA151" s="31"/>
      <c r="AB151" s="31"/>
    </row>
    <row r="152" spans="1:38" ht="13.95" customHeight="1" x14ac:dyDescent="0.3">
      <c r="A152" s="540" t="s">
        <v>317</v>
      </c>
      <c r="B152" s="145" t="s">
        <v>318</v>
      </c>
      <c r="C152" s="146">
        <f>SUM(C153,C155,C162,C173,C175)</f>
        <v>8701000</v>
      </c>
      <c r="D152" s="142"/>
      <c r="E152" s="142">
        <f t="shared" ref="E152:U152" si="121">SUM(E153,E155,E162,E173,E175)</f>
        <v>14930000</v>
      </c>
      <c r="F152" s="142">
        <f t="shared" si="121"/>
        <v>7579000</v>
      </c>
      <c r="G152" s="142">
        <f t="shared" si="121"/>
        <v>7482000</v>
      </c>
      <c r="H152" s="142">
        <f t="shared" si="121"/>
        <v>2389000</v>
      </c>
      <c r="I152" s="142">
        <f t="shared" si="121"/>
        <v>0</v>
      </c>
      <c r="J152" s="142">
        <f t="shared" si="121"/>
        <v>0</v>
      </c>
      <c r="K152" s="142">
        <f t="shared" si="121"/>
        <v>0</v>
      </c>
      <c r="L152" s="142">
        <f t="shared" si="121"/>
        <v>0</v>
      </c>
      <c r="M152" s="142">
        <f t="shared" si="121"/>
        <v>2389000</v>
      </c>
      <c r="N152" s="142">
        <f t="shared" si="121"/>
        <v>1365000</v>
      </c>
      <c r="O152" s="142">
        <f t="shared" si="121"/>
        <v>1365000</v>
      </c>
      <c r="P152" s="142">
        <f t="shared" si="121"/>
        <v>2069000</v>
      </c>
      <c r="Q152" s="142">
        <f t="shared" si="121"/>
        <v>2003000</v>
      </c>
      <c r="R152" s="142">
        <f t="shared" si="121"/>
        <v>1966000</v>
      </c>
      <c r="S152" s="67">
        <f t="shared" si="121"/>
        <v>-320000</v>
      </c>
      <c r="T152" s="67">
        <f t="shared" si="121"/>
        <v>704000</v>
      </c>
      <c r="U152" s="67">
        <f t="shared" si="121"/>
        <v>638000</v>
      </c>
      <c r="V152" s="506">
        <f t="shared" si="109"/>
        <v>-320000</v>
      </c>
      <c r="W152" s="506">
        <f t="shared" si="110"/>
        <v>0</v>
      </c>
      <c r="X152" s="31"/>
      <c r="Y152" s="486"/>
      <c r="Z152" s="31"/>
      <c r="AA152" s="31"/>
      <c r="AB152" s="31"/>
    </row>
    <row r="153" spans="1:38" ht="18" customHeight="1" x14ac:dyDescent="0.3">
      <c r="A153" s="541">
        <v>321</v>
      </c>
      <c r="B153" s="89" t="s">
        <v>12</v>
      </c>
      <c r="C153" s="568">
        <f>SUM(C154)</f>
        <v>0</v>
      </c>
      <c r="D153" s="83"/>
      <c r="E153" s="83">
        <f>SUM(E154)</f>
        <v>0</v>
      </c>
      <c r="F153" s="83">
        <f t="shared" ref="F153:R153" si="122">SUM(F154)</f>
        <v>0</v>
      </c>
      <c r="G153" s="83">
        <f t="shared" si="122"/>
        <v>0</v>
      </c>
      <c r="H153" s="83">
        <f t="shared" si="122"/>
        <v>4000</v>
      </c>
      <c r="I153" s="83">
        <f t="shared" si="122"/>
        <v>0</v>
      </c>
      <c r="J153" s="83">
        <f t="shared" si="122"/>
        <v>0</v>
      </c>
      <c r="K153" s="83">
        <f t="shared" si="122"/>
        <v>0</v>
      </c>
      <c r="L153" s="83">
        <f t="shared" si="122"/>
        <v>0</v>
      </c>
      <c r="M153" s="83">
        <f t="shared" si="122"/>
        <v>4000</v>
      </c>
      <c r="N153" s="83">
        <f t="shared" si="122"/>
        <v>5000</v>
      </c>
      <c r="O153" s="83">
        <f t="shared" si="122"/>
        <v>5000</v>
      </c>
      <c r="P153" s="83">
        <f t="shared" si="122"/>
        <v>15000</v>
      </c>
      <c r="Q153" s="83">
        <f t="shared" si="122"/>
        <v>13000</v>
      </c>
      <c r="R153" s="83">
        <f t="shared" si="122"/>
        <v>11000</v>
      </c>
      <c r="S153" s="569">
        <f>SUM(S154)</f>
        <v>11000</v>
      </c>
      <c r="T153" s="569">
        <f>SUM(T154)</f>
        <v>10000</v>
      </c>
      <c r="U153" s="569">
        <f t="shared" ref="U153" si="123">SUM(U154)</f>
        <v>8000</v>
      </c>
      <c r="V153" s="506">
        <f t="shared" si="109"/>
        <v>11000</v>
      </c>
      <c r="W153" s="506">
        <f t="shared" si="110"/>
        <v>0</v>
      </c>
      <c r="X153" s="31"/>
      <c r="Y153" s="486"/>
      <c r="Z153" s="31"/>
      <c r="AA153" s="31"/>
      <c r="AB153" s="31"/>
    </row>
    <row r="154" spans="1:38" ht="18" customHeight="1" x14ac:dyDescent="0.3">
      <c r="A154" s="542">
        <v>3213</v>
      </c>
      <c r="B154" s="535" t="s">
        <v>15</v>
      </c>
      <c r="C154" s="568"/>
      <c r="D154" s="83"/>
      <c r="E154" s="83"/>
      <c r="F154" s="569"/>
      <c r="G154" s="569"/>
      <c r="H154" s="371">
        <v>4000</v>
      </c>
      <c r="I154" s="371"/>
      <c r="J154" s="371"/>
      <c r="K154" s="424"/>
      <c r="L154" s="424"/>
      <c r="M154" s="63">
        <f>H154-I154+J154-K154+L154</f>
        <v>4000</v>
      </c>
      <c r="N154" s="371">
        <v>5000</v>
      </c>
      <c r="O154" s="371">
        <v>5000</v>
      </c>
      <c r="P154" s="371">
        <v>15000</v>
      </c>
      <c r="Q154" s="371">
        <v>13000</v>
      </c>
      <c r="R154" s="371">
        <v>11000</v>
      </c>
      <c r="S154" s="70">
        <f>P154-M154</f>
        <v>11000</v>
      </c>
      <c r="T154" s="70">
        <f>P154-N154</f>
        <v>10000</v>
      </c>
      <c r="U154" s="70">
        <f>Q154-O154</f>
        <v>8000</v>
      </c>
      <c r="V154" s="506">
        <f t="shared" si="109"/>
        <v>11000</v>
      </c>
      <c r="W154" s="506">
        <f t="shared" si="110"/>
        <v>0</v>
      </c>
      <c r="X154" s="31"/>
      <c r="Y154" s="486"/>
      <c r="Z154" s="31"/>
      <c r="AA154" s="31"/>
      <c r="AB154" s="31"/>
    </row>
    <row r="155" spans="1:38" x14ac:dyDescent="0.3">
      <c r="A155" s="541">
        <v>322</v>
      </c>
      <c r="B155" s="89" t="s">
        <v>16</v>
      </c>
      <c r="C155" s="90">
        <f t="shared" ref="C155:F155" si="124">SUM(C156:C161)</f>
        <v>92000</v>
      </c>
      <c r="D155" s="62"/>
      <c r="E155" s="62">
        <f t="shared" ref="E155" si="125">SUM(E156:E161)</f>
        <v>92000</v>
      </c>
      <c r="F155" s="91">
        <f t="shared" si="124"/>
        <v>90000</v>
      </c>
      <c r="G155" s="91">
        <f t="shared" ref="G155:U155" si="126">SUM(G156:G161)</f>
        <v>27000</v>
      </c>
      <c r="H155" s="91">
        <f t="shared" si="126"/>
        <v>154000</v>
      </c>
      <c r="I155" s="91">
        <f t="shared" si="126"/>
        <v>0</v>
      </c>
      <c r="J155" s="91">
        <f t="shared" si="126"/>
        <v>0</v>
      </c>
      <c r="K155" s="91">
        <f t="shared" si="126"/>
        <v>0</v>
      </c>
      <c r="L155" s="91">
        <f t="shared" si="126"/>
        <v>0</v>
      </c>
      <c r="M155" s="91">
        <f t="shared" si="126"/>
        <v>154000</v>
      </c>
      <c r="N155" s="91">
        <f t="shared" si="126"/>
        <v>159000</v>
      </c>
      <c r="O155" s="91">
        <f t="shared" si="126"/>
        <v>159000</v>
      </c>
      <c r="P155" s="91">
        <f t="shared" si="126"/>
        <v>766000</v>
      </c>
      <c r="Q155" s="91">
        <f t="shared" si="126"/>
        <v>706000</v>
      </c>
      <c r="R155" s="91">
        <f t="shared" si="126"/>
        <v>656000</v>
      </c>
      <c r="S155" s="91">
        <f t="shared" si="126"/>
        <v>612000</v>
      </c>
      <c r="T155" s="91">
        <f t="shared" si="126"/>
        <v>607000</v>
      </c>
      <c r="U155" s="91">
        <f t="shared" si="126"/>
        <v>547000</v>
      </c>
      <c r="V155" s="506">
        <f t="shared" si="109"/>
        <v>612000</v>
      </c>
      <c r="W155" s="506">
        <f t="shared" si="110"/>
        <v>0</v>
      </c>
      <c r="X155" s="31"/>
      <c r="Y155" s="486"/>
      <c r="Z155" s="31"/>
      <c r="AA155" s="31"/>
      <c r="AB155" s="31"/>
    </row>
    <row r="156" spans="1:38" ht="13.95" customHeight="1" x14ac:dyDescent="0.3">
      <c r="A156" s="542">
        <v>3221</v>
      </c>
      <c r="B156" s="535" t="s">
        <v>17</v>
      </c>
      <c r="C156" s="94">
        <v>7000</v>
      </c>
      <c r="D156" s="63"/>
      <c r="E156" s="63">
        <v>7000</v>
      </c>
      <c r="F156" s="95">
        <v>7000</v>
      </c>
      <c r="G156" s="95">
        <v>7000</v>
      </c>
      <c r="H156" s="95">
        <v>7000</v>
      </c>
      <c r="I156" s="95"/>
      <c r="J156" s="95"/>
      <c r="K156" s="63"/>
      <c r="L156" s="63"/>
      <c r="M156" s="63">
        <f>H156-I156+J156-K156+L156</f>
        <v>7000</v>
      </c>
      <c r="N156" s="95">
        <v>7000</v>
      </c>
      <c r="O156" s="95">
        <v>7000</v>
      </c>
      <c r="P156" s="63">
        <v>14000</v>
      </c>
      <c r="Q156" s="63">
        <v>14000</v>
      </c>
      <c r="R156" s="63">
        <v>14000</v>
      </c>
      <c r="S156" s="70">
        <f>P156-M156</f>
        <v>7000</v>
      </c>
      <c r="T156" s="70">
        <f>P156-N156</f>
        <v>7000</v>
      </c>
      <c r="U156" s="70">
        <f>Q156-O156</f>
        <v>7000</v>
      </c>
      <c r="V156" s="506">
        <f t="shared" si="109"/>
        <v>7000</v>
      </c>
      <c r="W156" s="506">
        <f t="shared" si="110"/>
        <v>0</v>
      </c>
      <c r="X156" s="31"/>
      <c r="Y156" s="486"/>
      <c r="Z156" s="31"/>
      <c r="AA156" s="31"/>
      <c r="AB156" s="31"/>
    </row>
    <row r="157" spans="1:38" ht="12.75" customHeight="1" x14ac:dyDescent="0.3">
      <c r="A157" s="542">
        <v>3222</v>
      </c>
      <c r="B157" s="535" t="s">
        <v>18</v>
      </c>
      <c r="C157" s="94">
        <v>7000</v>
      </c>
      <c r="D157" s="63"/>
      <c r="E157" s="63">
        <v>7000</v>
      </c>
      <c r="F157" s="95">
        <v>7000</v>
      </c>
      <c r="G157" s="95">
        <v>7000</v>
      </c>
      <c r="H157" s="95">
        <v>7000</v>
      </c>
      <c r="I157" s="95"/>
      <c r="J157" s="95"/>
      <c r="K157" s="63"/>
      <c r="L157" s="63"/>
      <c r="M157" s="63">
        <f>H157-I157+J157-K157+L157</f>
        <v>7000</v>
      </c>
      <c r="N157" s="95">
        <v>7000</v>
      </c>
      <c r="O157" s="95">
        <v>7000</v>
      </c>
      <c r="P157" s="63">
        <v>20000</v>
      </c>
      <c r="Q157" s="63">
        <v>20000</v>
      </c>
      <c r="R157" s="63">
        <v>20000</v>
      </c>
      <c r="S157" s="70">
        <f>P157-M157</f>
        <v>13000</v>
      </c>
      <c r="T157" s="70">
        <f>P157-N157</f>
        <v>13000</v>
      </c>
      <c r="U157" s="70">
        <f>Q157-O157</f>
        <v>13000</v>
      </c>
      <c r="V157" s="506">
        <f t="shared" si="109"/>
        <v>13000</v>
      </c>
      <c r="W157" s="506">
        <f t="shared" si="110"/>
        <v>0</v>
      </c>
      <c r="X157" s="31"/>
      <c r="Y157" s="486"/>
      <c r="Z157" s="31"/>
      <c r="AA157" s="31"/>
      <c r="AB157" s="31"/>
    </row>
    <row r="158" spans="1:38" ht="13.05" hidden="1" x14ac:dyDescent="0.3">
      <c r="A158" s="542">
        <v>3223</v>
      </c>
      <c r="B158" s="535" t="s">
        <v>19</v>
      </c>
      <c r="C158" s="94"/>
      <c r="D158" s="63"/>
      <c r="E158" s="63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63"/>
      <c r="Q158" s="63"/>
      <c r="R158" s="63"/>
      <c r="S158" s="63">
        <f t="shared" ref="S158" si="127">H158-E158</f>
        <v>0</v>
      </c>
      <c r="T158" s="63"/>
      <c r="U158" s="63">
        <f t="shared" ref="U158" si="128">N158-G158</f>
        <v>0</v>
      </c>
      <c r="V158" s="506">
        <f t="shared" si="109"/>
        <v>0</v>
      </c>
      <c r="W158" s="506">
        <f t="shared" si="110"/>
        <v>0</v>
      </c>
      <c r="X158" s="31"/>
      <c r="Y158" s="486"/>
      <c r="Z158" s="31"/>
      <c r="AA158" s="31"/>
      <c r="AB158" s="31"/>
    </row>
    <row r="159" spans="1:38" x14ac:dyDescent="0.3">
      <c r="A159" s="542">
        <v>3224</v>
      </c>
      <c r="B159" s="535" t="s">
        <v>20</v>
      </c>
      <c r="C159" s="94">
        <v>3000</v>
      </c>
      <c r="D159" s="63"/>
      <c r="E159" s="63">
        <v>3000</v>
      </c>
      <c r="F159" s="95">
        <v>3000</v>
      </c>
      <c r="G159" s="95">
        <v>3000</v>
      </c>
      <c r="H159" s="95">
        <v>3000</v>
      </c>
      <c r="I159" s="95"/>
      <c r="J159" s="95"/>
      <c r="K159" s="63"/>
      <c r="L159" s="63"/>
      <c r="M159" s="63">
        <f>H159-I159+J159-K159+L159</f>
        <v>3000</v>
      </c>
      <c r="N159" s="95">
        <v>3000</v>
      </c>
      <c r="O159" s="95">
        <v>3000</v>
      </c>
      <c r="P159" s="63">
        <v>20000</v>
      </c>
      <c r="Q159" s="63">
        <v>10000</v>
      </c>
      <c r="R159" s="63">
        <v>10000</v>
      </c>
      <c r="S159" s="70">
        <f>P159-M159</f>
        <v>17000</v>
      </c>
      <c r="T159" s="70">
        <f t="shared" ref="T159:U161" si="129">P159-N159</f>
        <v>17000</v>
      </c>
      <c r="U159" s="70">
        <f t="shared" si="129"/>
        <v>7000</v>
      </c>
      <c r="V159" s="506">
        <f t="shared" si="109"/>
        <v>17000</v>
      </c>
      <c r="W159" s="506">
        <f t="shared" si="110"/>
        <v>0</v>
      </c>
      <c r="X159" s="31"/>
      <c r="Y159" s="486"/>
      <c r="Z159" s="31"/>
      <c r="AA159" s="31"/>
      <c r="AB159" s="31"/>
    </row>
    <row r="160" spans="1:38" x14ac:dyDescent="0.3">
      <c r="A160" s="542">
        <v>3225</v>
      </c>
      <c r="B160" s="535" t="s">
        <v>21</v>
      </c>
      <c r="C160" s="94">
        <v>16000</v>
      </c>
      <c r="D160" s="63"/>
      <c r="E160" s="63">
        <v>16000</v>
      </c>
      <c r="F160" s="95">
        <v>7000</v>
      </c>
      <c r="G160" s="95">
        <v>7000</v>
      </c>
      <c r="H160" s="95">
        <v>12000</v>
      </c>
      <c r="I160" s="95"/>
      <c r="J160" s="95"/>
      <c r="K160" s="63"/>
      <c r="L160" s="63"/>
      <c r="M160" s="63">
        <f>H160-I160+J160-K160+L160</f>
        <v>12000</v>
      </c>
      <c r="N160" s="95">
        <v>12000</v>
      </c>
      <c r="O160" s="95">
        <v>12000</v>
      </c>
      <c r="P160" s="63">
        <v>12000</v>
      </c>
      <c r="Q160" s="63">
        <v>12000</v>
      </c>
      <c r="R160" s="63">
        <v>12000</v>
      </c>
      <c r="S160" s="70">
        <f>P160-M160</f>
        <v>0</v>
      </c>
      <c r="T160" s="70">
        <f t="shared" si="129"/>
        <v>0</v>
      </c>
      <c r="U160" s="70">
        <f t="shared" si="129"/>
        <v>0</v>
      </c>
      <c r="V160" s="506">
        <f t="shared" si="109"/>
        <v>0</v>
      </c>
      <c r="W160" s="506">
        <f t="shared" si="110"/>
        <v>0</v>
      </c>
      <c r="X160" s="31"/>
      <c r="Y160" s="486"/>
      <c r="Z160" s="31"/>
      <c r="AA160" s="31"/>
      <c r="AB160" s="31"/>
    </row>
    <row r="161" spans="1:28" x14ac:dyDescent="0.3">
      <c r="A161" s="542">
        <v>3227</v>
      </c>
      <c r="B161" s="535" t="s">
        <v>22</v>
      </c>
      <c r="C161" s="94">
        <v>59000</v>
      </c>
      <c r="D161" s="63"/>
      <c r="E161" s="63">
        <v>59000</v>
      </c>
      <c r="F161" s="95">
        <v>66000</v>
      </c>
      <c r="G161" s="95">
        <v>3000</v>
      </c>
      <c r="H161" s="366">
        <v>125000</v>
      </c>
      <c r="I161" s="366"/>
      <c r="J161" s="366"/>
      <c r="K161" s="70"/>
      <c r="L161" s="70"/>
      <c r="M161" s="63">
        <f>H161-I161+J161-K161+L161</f>
        <v>125000</v>
      </c>
      <c r="N161" s="366">
        <v>130000</v>
      </c>
      <c r="O161" s="366">
        <v>130000</v>
      </c>
      <c r="P161" s="70">
        <v>700000</v>
      </c>
      <c r="Q161" s="70">
        <v>650000</v>
      </c>
      <c r="R161" s="70">
        <v>600000</v>
      </c>
      <c r="S161" s="70">
        <f>P161-M161</f>
        <v>575000</v>
      </c>
      <c r="T161" s="70">
        <f t="shared" si="129"/>
        <v>570000</v>
      </c>
      <c r="U161" s="70">
        <f t="shared" si="129"/>
        <v>520000</v>
      </c>
      <c r="V161" s="506">
        <f t="shared" si="109"/>
        <v>575000</v>
      </c>
      <c r="W161" s="506">
        <f t="shared" si="110"/>
        <v>0</v>
      </c>
      <c r="X161" s="31"/>
      <c r="Y161" s="486"/>
      <c r="Z161" s="31"/>
      <c r="AA161" s="31"/>
      <c r="AB161" s="31"/>
    </row>
    <row r="162" spans="1:28" x14ac:dyDescent="0.3">
      <c r="A162" s="541">
        <v>323</v>
      </c>
      <c r="B162" s="89" t="s">
        <v>23</v>
      </c>
      <c r="C162" s="90">
        <f>SUM(C163:C172)</f>
        <v>7096000</v>
      </c>
      <c r="D162" s="62"/>
      <c r="E162" s="62">
        <f t="shared" ref="E162:U162" si="130">SUM(E163:E172)</f>
        <v>9918000</v>
      </c>
      <c r="F162" s="91">
        <f t="shared" si="130"/>
        <v>7352000</v>
      </c>
      <c r="G162" s="91">
        <f t="shared" si="130"/>
        <v>7318000</v>
      </c>
      <c r="H162" s="91">
        <f t="shared" si="130"/>
        <v>1001000</v>
      </c>
      <c r="I162" s="91">
        <f t="shared" si="130"/>
        <v>0</v>
      </c>
      <c r="J162" s="91">
        <f t="shared" si="130"/>
        <v>0</v>
      </c>
      <c r="K162" s="91">
        <f t="shared" si="130"/>
        <v>0</v>
      </c>
      <c r="L162" s="91">
        <f t="shared" si="130"/>
        <v>0</v>
      </c>
      <c r="M162" s="91">
        <f t="shared" si="130"/>
        <v>1001000</v>
      </c>
      <c r="N162" s="91">
        <f t="shared" si="130"/>
        <v>955000</v>
      </c>
      <c r="O162" s="91">
        <f t="shared" si="130"/>
        <v>955000</v>
      </c>
      <c r="P162" s="91">
        <f t="shared" si="130"/>
        <v>1042000</v>
      </c>
      <c r="Q162" s="91">
        <f t="shared" si="130"/>
        <v>1038000</v>
      </c>
      <c r="R162" s="91">
        <f t="shared" si="130"/>
        <v>1053000</v>
      </c>
      <c r="S162" s="91">
        <f t="shared" si="130"/>
        <v>41000</v>
      </c>
      <c r="T162" s="91">
        <f t="shared" si="130"/>
        <v>87000</v>
      </c>
      <c r="U162" s="91">
        <f t="shared" si="130"/>
        <v>83000</v>
      </c>
      <c r="V162" s="506">
        <f t="shared" si="109"/>
        <v>41000</v>
      </c>
      <c r="W162" s="506">
        <f t="shared" si="110"/>
        <v>0</v>
      </c>
      <c r="X162" s="31"/>
      <c r="Y162" s="486"/>
      <c r="Z162" s="31"/>
      <c r="AA162" s="31"/>
      <c r="AB162" s="31"/>
    </row>
    <row r="163" spans="1:28" ht="13.05" hidden="1" x14ac:dyDescent="0.3">
      <c r="A163" s="542">
        <v>3231</v>
      </c>
      <c r="B163" s="535" t="s">
        <v>24</v>
      </c>
      <c r="C163" s="94"/>
      <c r="D163" s="63"/>
      <c r="E163" s="63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506">
        <f t="shared" si="109"/>
        <v>0</v>
      </c>
      <c r="W163" s="506">
        <f t="shared" si="110"/>
        <v>0</v>
      </c>
      <c r="X163" s="31"/>
      <c r="Y163" s="486"/>
      <c r="Z163" s="31"/>
      <c r="AA163" s="31"/>
      <c r="AB163" s="31"/>
    </row>
    <row r="164" spans="1:28" x14ac:dyDescent="0.3">
      <c r="A164" s="542">
        <v>3231</v>
      </c>
      <c r="B164" s="535" t="s">
        <v>24</v>
      </c>
      <c r="C164" s="94">
        <v>6371000</v>
      </c>
      <c r="D164" s="63"/>
      <c r="E164" s="95">
        <v>9371000</v>
      </c>
      <c r="F164" s="95">
        <v>6636000</v>
      </c>
      <c r="G164" s="95">
        <v>6636000</v>
      </c>
      <c r="H164" s="95"/>
      <c r="I164" s="95"/>
      <c r="J164" s="95"/>
      <c r="K164" s="63"/>
      <c r="L164" s="63"/>
      <c r="M164" s="63"/>
      <c r="N164" s="95"/>
      <c r="O164" s="95"/>
      <c r="P164" s="63">
        <v>50000</v>
      </c>
      <c r="Q164" s="63">
        <v>50000</v>
      </c>
      <c r="R164" s="63">
        <v>50000</v>
      </c>
      <c r="S164" s="70">
        <f t="shared" ref="S164:S172" si="131">P164-M164</f>
        <v>50000</v>
      </c>
      <c r="T164" s="70">
        <f t="shared" ref="T164:U172" si="132">P164-N164</f>
        <v>50000</v>
      </c>
      <c r="U164" s="70">
        <f t="shared" si="132"/>
        <v>50000</v>
      </c>
      <c r="V164" s="506">
        <f t="shared" si="109"/>
        <v>50000</v>
      </c>
      <c r="W164" s="506">
        <f t="shared" si="110"/>
        <v>0</v>
      </c>
      <c r="X164" s="31"/>
      <c r="Y164" s="486"/>
      <c r="Z164" s="31"/>
      <c r="AA164" s="31"/>
      <c r="AB164" s="31"/>
    </row>
    <row r="165" spans="1:28" x14ac:dyDescent="0.3">
      <c r="A165" s="542">
        <v>3232</v>
      </c>
      <c r="B165" s="535" t="s">
        <v>25</v>
      </c>
      <c r="C165" s="94">
        <v>290000</v>
      </c>
      <c r="D165" s="63"/>
      <c r="E165" s="63">
        <v>290000</v>
      </c>
      <c r="F165" s="95">
        <v>285000</v>
      </c>
      <c r="G165" s="95">
        <v>291000</v>
      </c>
      <c r="H165" s="95">
        <v>334000</v>
      </c>
      <c r="I165" s="95"/>
      <c r="J165" s="95"/>
      <c r="K165" s="63"/>
      <c r="L165" s="63"/>
      <c r="M165" s="63">
        <f t="shared" ref="M165:M172" si="133">H165-I165+J165-K165+L165</f>
        <v>334000</v>
      </c>
      <c r="N165" s="95">
        <v>334000</v>
      </c>
      <c r="O165" s="95">
        <v>334000</v>
      </c>
      <c r="P165" s="63">
        <v>334000</v>
      </c>
      <c r="Q165" s="63">
        <v>365000</v>
      </c>
      <c r="R165" s="63">
        <v>380000</v>
      </c>
      <c r="S165" s="70">
        <f t="shared" si="131"/>
        <v>0</v>
      </c>
      <c r="T165" s="70">
        <f t="shared" si="132"/>
        <v>0</v>
      </c>
      <c r="U165" s="70">
        <f t="shared" si="132"/>
        <v>31000</v>
      </c>
      <c r="V165" s="506">
        <f t="shared" si="109"/>
        <v>0</v>
      </c>
      <c r="W165" s="506">
        <f t="shared" si="110"/>
        <v>0</v>
      </c>
      <c r="X165" s="31"/>
      <c r="Y165" s="486"/>
      <c r="Z165" s="31"/>
      <c r="AA165" s="31"/>
      <c r="AB165" s="31"/>
    </row>
    <row r="166" spans="1:28" x14ac:dyDescent="0.3">
      <c r="A166" s="542">
        <v>3233</v>
      </c>
      <c r="B166" s="535" t="s">
        <v>26</v>
      </c>
      <c r="C166" s="94">
        <v>40000</v>
      </c>
      <c r="D166" s="63"/>
      <c r="E166" s="63">
        <v>40000</v>
      </c>
      <c r="F166" s="95">
        <v>40000</v>
      </c>
      <c r="G166" s="95">
        <v>40000</v>
      </c>
      <c r="H166" s="95">
        <v>45000</v>
      </c>
      <c r="I166" s="95"/>
      <c r="J166" s="95"/>
      <c r="K166" s="63"/>
      <c r="L166" s="63"/>
      <c r="M166" s="63">
        <f t="shared" si="133"/>
        <v>45000</v>
      </c>
      <c r="N166" s="95">
        <v>45000</v>
      </c>
      <c r="O166" s="95">
        <v>45000</v>
      </c>
      <c r="P166" s="63">
        <v>70000</v>
      </c>
      <c r="Q166" s="63">
        <v>45000</v>
      </c>
      <c r="R166" s="63">
        <v>45000</v>
      </c>
      <c r="S166" s="70">
        <f t="shared" si="131"/>
        <v>25000</v>
      </c>
      <c r="T166" s="70">
        <f t="shared" si="132"/>
        <v>25000</v>
      </c>
      <c r="U166" s="70">
        <f t="shared" si="132"/>
        <v>0</v>
      </c>
      <c r="V166" s="506">
        <f t="shared" si="109"/>
        <v>25000</v>
      </c>
      <c r="W166" s="506">
        <f t="shared" si="110"/>
        <v>0</v>
      </c>
      <c r="X166" s="31"/>
      <c r="Y166" s="486"/>
      <c r="Z166" s="31"/>
      <c r="AA166" s="31"/>
      <c r="AB166" s="31"/>
    </row>
    <row r="167" spans="1:28" x14ac:dyDescent="0.3">
      <c r="A167" s="542">
        <v>3234</v>
      </c>
      <c r="B167" s="535" t="s">
        <v>27</v>
      </c>
      <c r="C167" s="94">
        <v>13000</v>
      </c>
      <c r="D167" s="63"/>
      <c r="E167" s="63">
        <v>13000</v>
      </c>
      <c r="F167" s="95">
        <v>7000</v>
      </c>
      <c r="G167" s="95">
        <v>7000</v>
      </c>
      <c r="H167" s="95">
        <v>10000</v>
      </c>
      <c r="I167" s="95"/>
      <c r="J167" s="95"/>
      <c r="K167" s="63"/>
      <c r="L167" s="63"/>
      <c r="M167" s="63">
        <f t="shared" si="133"/>
        <v>10000</v>
      </c>
      <c r="N167" s="95">
        <v>10000</v>
      </c>
      <c r="O167" s="95">
        <v>10000</v>
      </c>
      <c r="P167" s="63">
        <v>20000</v>
      </c>
      <c r="Q167" s="63">
        <v>10000</v>
      </c>
      <c r="R167" s="63">
        <v>10000</v>
      </c>
      <c r="S167" s="70">
        <f t="shared" si="131"/>
        <v>10000</v>
      </c>
      <c r="T167" s="70">
        <f t="shared" si="132"/>
        <v>10000</v>
      </c>
      <c r="U167" s="70">
        <f t="shared" si="132"/>
        <v>0</v>
      </c>
      <c r="V167" s="506">
        <f t="shared" si="109"/>
        <v>10000</v>
      </c>
      <c r="W167" s="506">
        <f t="shared" si="110"/>
        <v>0</v>
      </c>
      <c r="X167" s="31"/>
      <c r="Y167" s="486"/>
      <c r="Z167" s="31"/>
      <c r="AA167" s="31"/>
      <c r="AB167" s="31"/>
    </row>
    <row r="168" spans="1:28" x14ac:dyDescent="0.3">
      <c r="A168" s="542">
        <v>3235</v>
      </c>
      <c r="B168" s="535" t="s">
        <v>28</v>
      </c>
      <c r="C168" s="94">
        <v>29000</v>
      </c>
      <c r="D168" s="63"/>
      <c r="E168" s="63">
        <v>29000</v>
      </c>
      <c r="F168" s="95">
        <v>21000</v>
      </c>
      <c r="G168" s="95">
        <v>21000</v>
      </c>
      <c r="H168" s="95">
        <v>23000</v>
      </c>
      <c r="I168" s="95"/>
      <c r="J168" s="95"/>
      <c r="K168" s="63"/>
      <c r="L168" s="63"/>
      <c r="M168" s="63">
        <f t="shared" si="133"/>
        <v>23000</v>
      </c>
      <c r="N168" s="95">
        <v>23000</v>
      </c>
      <c r="O168" s="95">
        <v>23000</v>
      </c>
      <c r="P168" s="63">
        <v>23000</v>
      </c>
      <c r="Q168" s="63">
        <v>23000</v>
      </c>
      <c r="R168" s="63">
        <v>23000</v>
      </c>
      <c r="S168" s="70">
        <f t="shared" si="131"/>
        <v>0</v>
      </c>
      <c r="T168" s="70">
        <f t="shared" si="132"/>
        <v>0</v>
      </c>
      <c r="U168" s="70">
        <f t="shared" si="132"/>
        <v>0</v>
      </c>
      <c r="V168" s="506">
        <f t="shared" si="109"/>
        <v>0</v>
      </c>
      <c r="W168" s="506">
        <f t="shared" si="110"/>
        <v>0</v>
      </c>
      <c r="X168" s="31"/>
      <c r="Y168" s="486"/>
      <c r="Z168" s="31"/>
      <c r="AA168" s="31"/>
      <c r="AB168" s="31"/>
    </row>
    <row r="169" spans="1:28" x14ac:dyDescent="0.3">
      <c r="A169" s="542">
        <v>3236</v>
      </c>
      <c r="B169" s="535" t="s">
        <v>29</v>
      </c>
      <c r="C169" s="94">
        <v>2000</v>
      </c>
      <c r="D169" s="63"/>
      <c r="E169" s="63">
        <v>2000</v>
      </c>
      <c r="F169" s="95">
        <v>2000</v>
      </c>
      <c r="G169" s="95">
        <v>2000</v>
      </c>
      <c r="H169" s="95">
        <v>2000</v>
      </c>
      <c r="I169" s="95"/>
      <c r="J169" s="95"/>
      <c r="K169" s="63"/>
      <c r="L169" s="63"/>
      <c r="M169" s="63">
        <f t="shared" si="133"/>
        <v>2000</v>
      </c>
      <c r="N169" s="95">
        <v>2000</v>
      </c>
      <c r="O169" s="95">
        <v>2000</v>
      </c>
      <c r="P169" s="63">
        <v>4000</v>
      </c>
      <c r="Q169" s="63">
        <v>4000</v>
      </c>
      <c r="R169" s="63">
        <v>4000</v>
      </c>
      <c r="S169" s="70">
        <f t="shared" si="131"/>
        <v>2000</v>
      </c>
      <c r="T169" s="70">
        <f t="shared" si="132"/>
        <v>2000</v>
      </c>
      <c r="U169" s="70">
        <f t="shared" si="132"/>
        <v>2000</v>
      </c>
      <c r="V169" s="506">
        <f t="shared" si="109"/>
        <v>2000</v>
      </c>
      <c r="W169" s="506">
        <f t="shared" si="110"/>
        <v>0</v>
      </c>
      <c r="X169" s="31"/>
      <c r="Y169" s="486"/>
      <c r="Z169" s="31"/>
      <c r="AA169" s="31"/>
      <c r="AB169" s="31"/>
    </row>
    <row r="170" spans="1:28" x14ac:dyDescent="0.3">
      <c r="A170" s="542">
        <v>3237</v>
      </c>
      <c r="B170" s="535" t="s">
        <v>30</v>
      </c>
      <c r="C170" s="94">
        <v>191000</v>
      </c>
      <c r="D170" s="63"/>
      <c r="E170" s="63">
        <v>41000</v>
      </c>
      <c r="F170" s="95">
        <v>197000</v>
      </c>
      <c r="G170" s="95">
        <v>157000</v>
      </c>
      <c r="H170" s="95">
        <v>199000</v>
      </c>
      <c r="I170" s="95"/>
      <c r="J170" s="95"/>
      <c r="K170" s="63"/>
      <c r="L170" s="63"/>
      <c r="M170" s="63">
        <f t="shared" si="133"/>
        <v>199000</v>
      </c>
      <c r="N170" s="95">
        <v>157000</v>
      </c>
      <c r="O170" s="95">
        <v>157000</v>
      </c>
      <c r="P170" s="63">
        <v>157000</v>
      </c>
      <c r="Q170" s="63">
        <v>157000</v>
      </c>
      <c r="R170" s="63">
        <v>157000</v>
      </c>
      <c r="S170" s="70">
        <f t="shared" si="131"/>
        <v>-42000</v>
      </c>
      <c r="T170" s="70">
        <f t="shared" si="132"/>
        <v>0</v>
      </c>
      <c r="U170" s="70">
        <f t="shared" si="132"/>
        <v>0</v>
      </c>
      <c r="V170" s="506">
        <f t="shared" si="109"/>
        <v>-42000</v>
      </c>
      <c r="W170" s="506">
        <f t="shared" si="110"/>
        <v>0</v>
      </c>
      <c r="X170" s="31"/>
      <c r="Y170" s="486"/>
      <c r="Z170" s="31"/>
      <c r="AA170" s="31"/>
      <c r="AB170" s="31"/>
    </row>
    <row r="171" spans="1:28" x14ac:dyDescent="0.3">
      <c r="A171" s="542">
        <v>3238</v>
      </c>
      <c r="B171" s="535" t="s">
        <v>70</v>
      </c>
      <c r="C171" s="94">
        <v>28000</v>
      </c>
      <c r="D171" s="63"/>
      <c r="E171" s="63">
        <v>0</v>
      </c>
      <c r="F171" s="95">
        <v>7000</v>
      </c>
      <c r="G171" s="95">
        <v>7000</v>
      </c>
      <c r="H171" s="95">
        <v>7000</v>
      </c>
      <c r="I171" s="95"/>
      <c r="J171" s="95"/>
      <c r="K171" s="63"/>
      <c r="L171" s="63"/>
      <c r="M171" s="63">
        <f t="shared" si="133"/>
        <v>7000</v>
      </c>
      <c r="N171" s="95">
        <v>7000</v>
      </c>
      <c r="O171" s="95">
        <v>7000</v>
      </c>
      <c r="P171" s="63">
        <v>7000</v>
      </c>
      <c r="Q171" s="63">
        <v>7000</v>
      </c>
      <c r="R171" s="63">
        <v>7000</v>
      </c>
      <c r="S171" s="70">
        <f t="shared" si="131"/>
        <v>0</v>
      </c>
      <c r="T171" s="70">
        <f t="shared" si="132"/>
        <v>0</v>
      </c>
      <c r="U171" s="70">
        <f t="shared" si="132"/>
        <v>0</v>
      </c>
      <c r="V171" s="506">
        <f t="shared" si="109"/>
        <v>0</v>
      </c>
      <c r="W171" s="506">
        <f t="shared" si="110"/>
        <v>0</v>
      </c>
      <c r="X171" s="31"/>
      <c r="Y171" s="486"/>
      <c r="Z171" s="31"/>
      <c r="AA171" s="31"/>
      <c r="AB171" s="31"/>
    </row>
    <row r="172" spans="1:28" x14ac:dyDescent="0.3">
      <c r="A172" s="542">
        <v>3239</v>
      </c>
      <c r="B172" s="535" t="s">
        <v>31</v>
      </c>
      <c r="C172" s="94">
        <v>132000</v>
      </c>
      <c r="D172" s="63"/>
      <c r="E172" s="63">
        <v>132000</v>
      </c>
      <c r="F172" s="95">
        <v>157000</v>
      </c>
      <c r="G172" s="95">
        <v>157000</v>
      </c>
      <c r="H172" s="95">
        <v>381000</v>
      </c>
      <c r="I172" s="95"/>
      <c r="J172" s="95"/>
      <c r="K172" s="63"/>
      <c r="L172" s="63"/>
      <c r="M172" s="63">
        <f t="shared" si="133"/>
        <v>381000</v>
      </c>
      <c r="N172" s="95">
        <v>377000</v>
      </c>
      <c r="O172" s="95">
        <v>377000</v>
      </c>
      <c r="P172" s="63">
        <v>377000</v>
      </c>
      <c r="Q172" s="63">
        <v>377000</v>
      </c>
      <c r="R172" s="63">
        <v>377000</v>
      </c>
      <c r="S172" s="70">
        <f t="shared" si="131"/>
        <v>-4000</v>
      </c>
      <c r="T172" s="70">
        <f t="shared" si="132"/>
        <v>0</v>
      </c>
      <c r="U172" s="70">
        <f t="shared" si="132"/>
        <v>0</v>
      </c>
      <c r="V172" s="506">
        <f t="shared" si="109"/>
        <v>-4000</v>
      </c>
      <c r="W172" s="506">
        <f t="shared" si="110"/>
        <v>0</v>
      </c>
      <c r="X172" s="31"/>
      <c r="Y172" s="486"/>
      <c r="Z172" s="31"/>
      <c r="AA172" s="31"/>
      <c r="AB172" s="31"/>
    </row>
    <row r="173" spans="1:28" ht="24" customHeight="1" x14ac:dyDescent="0.3">
      <c r="A173" s="541">
        <v>324</v>
      </c>
      <c r="B173" s="89" t="s">
        <v>32</v>
      </c>
      <c r="C173" s="90">
        <f t="shared" ref="C173:U173" si="134">SUM(C174)</f>
        <v>114000</v>
      </c>
      <c r="D173" s="62"/>
      <c r="E173" s="62">
        <f t="shared" si="134"/>
        <v>264000</v>
      </c>
      <c r="F173" s="91">
        <f t="shared" si="134"/>
        <v>114000</v>
      </c>
      <c r="G173" s="91">
        <f t="shared" si="134"/>
        <v>114000</v>
      </c>
      <c r="H173" s="91">
        <f t="shared" si="134"/>
        <v>200000</v>
      </c>
      <c r="I173" s="91">
        <f t="shared" si="134"/>
        <v>0</v>
      </c>
      <c r="J173" s="91">
        <f t="shared" si="134"/>
        <v>0</v>
      </c>
      <c r="K173" s="91">
        <f t="shared" si="134"/>
        <v>0</v>
      </c>
      <c r="L173" s="91">
        <f t="shared" si="134"/>
        <v>0</v>
      </c>
      <c r="M173" s="91">
        <f t="shared" si="134"/>
        <v>200000</v>
      </c>
      <c r="N173" s="91">
        <f t="shared" si="134"/>
        <v>200000</v>
      </c>
      <c r="O173" s="91">
        <f t="shared" si="134"/>
        <v>200000</v>
      </c>
      <c r="P173" s="91">
        <f t="shared" si="134"/>
        <v>200000</v>
      </c>
      <c r="Q173" s="91">
        <f t="shared" si="134"/>
        <v>200000</v>
      </c>
      <c r="R173" s="91">
        <f t="shared" si="134"/>
        <v>200000</v>
      </c>
      <c r="S173" s="91">
        <f t="shared" si="134"/>
        <v>0</v>
      </c>
      <c r="T173" s="91">
        <f t="shared" si="134"/>
        <v>0</v>
      </c>
      <c r="U173" s="91">
        <f t="shared" si="134"/>
        <v>0</v>
      </c>
      <c r="V173" s="506">
        <f t="shared" si="109"/>
        <v>0</v>
      </c>
      <c r="W173" s="506">
        <f t="shared" si="110"/>
        <v>0</v>
      </c>
      <c r="X173" s="31"/>
      <c r="Y173" s="486"/>
      <c r="Z173" s="31"/>
      <c r="AA173" s="31"/>
      <c r="AB173" s="31"/>
    </row>
    <row r="174" spans="1:28" x14ac:dyDescent="0.3">
      <c r="A174" s="542">
        <v>3241</v>
      </c>
      <c r="B174" s="535" t="s">
        <v>32</v>
      </c>
      <c r="C174" s="94">
        <v>114000</v>
      </c>
      <c r="D174" s="63"/>
      <c r="E174" s="63">
        <v>264000</v>
      </c>
      <c r="F174" s="95">
        <v>114000</v>
      </c>
      <c r="G174" s="95">
        <v>114000</v>
      </c>
      <c r="H174" s="95">
        <v>200000</v>
      </c>
      <c r="I174" s="95"/>
      <c r="J174" s="95"/>
      <c r="K174" s="63"/>
      <c r="L174" s="63"/>
      <c r="M174" s="63">
        <f>H174-I174+J174-K174+L174</f>
        <v>200000</v>
      </c>
      <c r="N174" s="95">
        <v>200000</v>
      </c>
      <c r="O174" s="95">
        <v>200000</v>
      </c>
      <c r="P174" s="63">
        <v>200000</v>
      </c>
      <c r="Q174" s="63">
        <v>200000</v>
      </c>
      <c r="R174" s="63">
        <v>200000</v>
      </c>
      <c r="S174" s="70">
        <f>P174-M174</f>
        <v>0</v>
      </c>
      <c r="T174" s="70">
        <f>P174-N174</f>
        <v>0</v>
      </c>
      <c r="U174" s="70">
        <f>Q174-O174</f>
        <v>0</v>
      </c>
      <c r="V174" s="506">
        <f t="shared" si="109"/>
        <v>0</v>
      </c>
      <c r="W174" s="506">
        <f t="shared" si="110"/>
        <v>0</v>
      </c>
      <c r="X174" s="31"/>
      <c r="Y174" s="486"/>
      <c r="Z174" s="31"/>
      <c r="AA174" s="31"/>
      <c r="AB174" s="31"/>
    </row>
    <row r="175" spans="1:28" x14ac:dyDescent="0.3">
      <c r="A175" s="541">
        <v>329</v>
      </c>
      <c r="B175" s="89" t="s">
        <v>33</v>
      </c>
      <c r="C175" s="90">
        <f t="shared" ref="C175:F175" si="135">SUM(C176:C182)</f>
        <v>1399000</v>
      </c>
      <c r="D175" s="62"/>
      <c r="E175" s="62">
        <f t="shared" ref="E175" si="136">SUM(E176:E182)</f>
        <v>4656000</v>
      </c>
      <c r="F175" s="91">
        <f t="shared" si="135"/>
        <v>23000</v>
      </c>
      <c r="G175" s="91">
        <f t="shared" ref="G175:U175" si="137">SUM(G176:G182)</f>
        <v>23000</v>
      </c>
      <c r="H175" s="91">
        <f t="shared" si="137"/>
        <v>1030000</v>
      </c>
      <c r="I175" s="91">
        <f t="shared" si="137"/>
        <v>0</v>
      </c>
      <c r="J175" s="91">
        <f t="shared" si="137"/>
        <v>0</v>
      </c>
      <c r="K175" s="91">
        <f t="shared" si="137"/>
        <v>0</v>
      </c>
      <c r="L175" s="91">
        <f t="shared" si="137"/>
        <v>0</v>
      </c>
      <c r="M175" s="91">
        <f t="shared" si="137"/>
        <v>1030000</v>
      </c>
      <c r="N175" s="91">
        <f t="shared" si="137"/>
        <v>46000</v>
      </c>
      <c r="O175" s="91">
        <f t="shared" si="137"/>
        <v>46000</v>
      </c>
      <c r="P175" s="91">
        <f t="shared" si="137"/>
        <v>46000</v>
      </c>
      <c r="Q175" s="91">
        <f t="shared" si="137"/>
        <v>46000</v>
      </c>
      <c r="R175" s="91">
        <f t="shared" si="137"/>
        <v>46000</v>
      </c>
      <c r="S175" s="91">
        <f t="shared" si="137"/>
        <v>-984000</v>
      </c>
      <c r="T175" s="91">
        <f t="shared" si="137"/>
        <v>0</v>
      </c>
      <c r="U175" s="91">
        <f t="shared" si="137"/>
        <v>0</v>
      </c>
      <c r="V175" s="506">
        <f t="shared" si="109"/>
        <v>-984000</v>
      </c>
      <c r="W175" s="506">
        <f t="shared" si="110"/>
        <v>0</v>
      </c>
      <c r="X175" s="31"/>
      <c r="Y175" s="486"/>
      <c r="Z175" s="31"/>
      <c r="AA175" s="31"/>
      <c r="AB175" s="31"/>
    </row>
    <row r="176" spans="1:28" ht="12.75" customHeight="1" x14ac:dyDescent="0.3">
      <c r="A176" s="542">
        <v>3291</v>
      </c>
      <c r="B176" s="535" t="s">
        <v>34</v>
      </c>
      <c r="C176" s="94">
        <v>7000</v>
      </c>
      <c r="D176" s="63"/>
      <c r="E176" s="63">
        <v>7000</v>
      </c>
      <c r="F176" s="95">
        <v>7000</v>
      </c>
      <c r="G176" s="95">
        <v>7000</v>
      </c>
      <c r="H176" s="95">
        <v>7000</v>
      </c>
      <c r="I176" s="95"/>
      <c r="J176" s="95"/>
      <c r="K176" s="63"/>
      <c r="L176" s="63"/>
      <c r="M176" s="63">
        <f>H176-I176+J176-K176+L176</f>
        <v>7000</v>
      </c>
      <c r="N176" s="95">
        <v>7000</v>
      </c>
      <c r="O176" s="95">
        <v>7000</v>
      </c>
      <c r="P176" s="63">
        <v>7000</v>
      </c>
      <c r="Q176" s="63">
        <v>7000</v>
      </c>
      <c r="R176" s="63">
        <v>7000</v>
      </c>
      <c r="S176" s="70">
        <f>P176-M176</f>
        <v>0</v>
      </c>
      <c r="T176" s="70">
        <f>P176-N176</f>
        <v>0</v>
      </c>
      <c r="U176" s="70">
        <f>Q176-O176</f>
        <v>0</v>
      </c>
      <c r="V176" s="506">
        <f t="shared" si="109"/>
        <v>0</v>
      </c>
      <c r="W176" s="506">
        <f t="shared" si="110"/>
        <v>0</v>
      </c>
      <c r="X176" s="31"/>
      <c r="Y176" s="486"/>
      <c r="Z176" s="31"/>
      <c r="AA176" s="31"/>
      <c r="AB176" s="31"/>
    </row>
    <row r="177" spans="1:28" ht="13.05" hidden="1" x14ac:dyDescent="0.3">
      <c r="A177" s="542">
        <v>3292</v>
      </c>
      <c r="B177" s="535" t="s">
        <v>35</v>
      </c>
      <c r="C177" s="94"/>
      <c r="D177" s="63"/>
      <c r="E177" s="63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63"/>
      <c r="Q177" s="63"/>
      <c r="R177" s="63"/>
      <c r="S177" s="63">
        <f t="shared" ref="S177:S181" si="138">H177-E177</f>
        <v>0</v>
      </c>
      <c r="T177" s="63"/>
      <c r="U177" s="63">
        <f t="shared" ref="U177:U181" si="139">N177-G177</f>
        <v>0</v>
      </c>
      <c r="V177" s="506">
        <f t="shared" si="109"/>
        <v>0</v>
      </c>
      <c r="W177" s="506">
        <f t="shared" si="110"/>
        <v>0</v>
      </c>
      <c r="X177" s="31"/>
      <c r="Y177" s="486"/>
      <c r="Z177" s="31"/>
      <c r="AA177" s="31"/>
      <c r="AB177" s="31"/>
    </row>
    <row r="178" spans="1:28" ht="12.75" customHeight="1" x14ac:dyDescent="0.3">
      <c r="A178" s="92">
        <v>3293</v>
      </c>
      <c r="B178" s="93" t="s">
        <v>36</v>
      </c>
      <c r="C178" s="94">
        <v>8000</v>
      </c>
      <c r="D178" s="63"/>
      <c r="E178" s="63">
        <v>8000</v>
      </c>
      <c r="F178" s="95">
        <v>9000</v>
      </c>
      <c r="G178" s="95">
        <v>9000</v>
      </c>
      <c r="H178" s="95">
        <v>13000</v>
      </c>
      <c r="I178" s="95"/>
      <c r="J178" s="95"/>
      <c r="K178" s="63"/>
      <c r="L178" s="63"/>
      <c r="M178" s="63">
        <f>H178-I178+J178-K178+L178</f>
        <v>13000</v>
      </c>
      <c r="N178" s="95">
        <v>9000</v>
      </c>
      <c r="O178" s="95">
        <v>9000</v>
      </c>
      <c r="P178" s="63">
        <v>9000</v>
      </c>
      <c r="Q178" s="63">
        <v>9000</v>
      </c>
      <c r="R178" s="63">
        <v>9000</v>
      </c>
      <c r="S178" s="70">
        <f>P178-M178</f>
        <v>-4000</v>
      </c>
      <c r="T178" s="70">
        <f>P178-N178</f>
        <v>0</v>
      </c>
      <c r="U178" s="70">
        <f>Q178-O178</f>
        <v>0</v>
      </c>
      <c r="V178" s="506">
        <f t="shared" si="109"/>
        <v>-4000</v>
      </c>
      <c r="W178" s="506">
        <f t="shared" si="110"/>
        <v>0</v>
      </c>
      <c r="X178" s="31"/>
      <c r="Y178" s="486"/>
      <c r="Z178" s="31"/>
      <c r="AA178" s="31"/>
      <c r="AB178" s="31"/>
    </row>
    <row r="179" spans="1:28" ht="13.05" hidden="1" x14ac:dyDescent="0.3">
      <c r="A179" s="542">
        <v>3294</v>
      </c>
      <c r="B179" s="535" t="s">
        <v>37</v>
      </c>
      <c r="C179" s="548"/>
      <c r="D179" s="70"/>
      <c r="E179" s="70"/>
      <c r="F179" s="366"/>
      <c r="G179" s="366"/>
      <c r="H179" s="366"/>
      <c r="I179" s="366"/>
      <c r="J179" s="366"/>
      <c r="K179" s="366"/>
      <c r="L179" s="366"/>
      <c r="M179" s="366"/>
      <c r="N179" s="366"/>
      <c r="O179" s="366"/>
      <c r="P179" s="70"/>
      <c r="Q179" s="70"/>
      <c r="R179" s="70"/>
      <c r="S179" s="63">
        <f t="shared" si="138"/>
        <v>0</v>
      </c>
      <c r="T179" s="63"/>
      <c r="U179" s="63">
        <f t="shared" si="139"/>
        <v>0</v>
      </c>
      <c r="V179" s="506">
        <f t="shared" si="109"/>
        <v>0</v>
      </c>
      <c r="W179" s="506">
        <f t="shared" si="110"/>
        <v>0</v>
      </c>
      <c r="X179" s="31"/>
      <c r="Y179" s="486"/>
      <c r="Z179" s="31"/>
      <c r="AA179" s="31"/>
      <c r="AB179" s="31"/>
    </row>
    <row r="180" spans="1:28" ht="13.05" hidden="1" x14ac:dyDescent="0.3">
      <c r="A180" s="542">
        <v>3295</v>
      </c>
      <c r="B180" s="535" t="s">
        <v>38</v>
      </c>
      <c r="C180" s="94"/>
      <c r="D180" s="63"/>
      <c r="E180" s="63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63"/>
      <c r="Q180" s="63"/>
      <c r="R180" s="63"/>
      <c r="S180" s="63">
        <f t="shared" si="138"/>
        <v>0</v>
      </c>
      <c r="T180" s="63"/>
      <c r="U180" s="63">
        <f t="shared" si="139"/>
        <v>0</v>
      </c>
      <c r="V180" s="506">
        <f t="shared" si="109"/>
        <v>0</v>
      </c>
      <c r="W180" s="506">
        <f t="shared" si="110"/>
        <v>0</v>
      </c>
      <c r="X180" s="31"/>
      <c r="Y180" s="486"/>
      <c r="Z180" s="31"/>
      <c r="AA180" s="31"/>
      <c r="AB180" s="31"/>
    </row>
    <row r="181" spans="1:28" ht="13.05" hidden="1" x14ac:dyDescent="0.3">
      <c r="A181" s="542">
        <v>3296</v>
      </c>
      <c r="B181" s="535" t="s">
        <v>39</v>
      </c>
      <c r="C181" s="94"/>
      <c r="D181" s="63"/>
      <c r="E181" s="63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63"/>
      <c r="Q181" s="63"/>
      <c r="R181" s="63"/>
      <c r="S181" s="63">
        <f t="shared" si="138"/>
        <v>0</v>
      </c>
      <c r="T181" s="63"/>
      <c r="U181" s="63">
        <f t="shared" si="139"/>
        <v>0</v>
      </c>
      <c r="V181" s="506">
        <f t="shared" si="109"/>
        <v>0</v>
      </c>
      <c r="W181" s="506">
        <f t="shared" si="110"/>
        <v>0</v>
      </c>
      <c r="X181" s="31"/>
      <c r="Y181" s="486"/>
      <c r="Z181" s="31"/>
      <c r="AA181" s="31"/>
      <c r="AB181" s="31"/>
    </row>
    <row r="182" spans="1:28" ht="12.75" customHeight="1" x14ac:dyDescent="0.3">
      <c r="A182" s="542">
        <v>3299</v>
      </c>
      <c r="B182" s="535" t="s">
        <v>33</v>
      </c>
      <c r="C182" s="94">
        <v>1384000</v>
      </c>
      <c r="D182" s="63"/>
      <c r="E182" s="63">
        <v>4641000</v>
      </c>
      <c r="F182" s="95">
        <v>7000</v>
      </c>
      <c r="G182" s="95">
        <v>7000</v>
      </c>
      <c r="H182" s="95">
        <v>1010000</v>
      </c>
      <c r="I182" s="95"/>
      <c r="J182" s="95"/>
      <c r="K182" s="63"/>
      <c r="L182" s="63"/>
      <c r="M182" s="63">
        <f>H182-I182+J182-K182+L182</f>
        <v>1010000</v>
      </c>
      <c r="N182" s="95">
        <v>30000</v>
      </c>
      <c r="O182" s="95">
        <v>30000</v>
      </c>
      <c r="P182" s="63">
        <v>30000</v>
      </c>
      <c r="Q182" s="63">
        <v>30000</v>
      </c>
      <c r="R182" s="63">
        <v>30000</v>
      </c>
      <c r="S182" s="70">
        <f>P182-M182</f>
        <v>-980000</v>
      </c>
      <c r="T182" s="70">
        <f>P182-N182</f>
        <v>0</v>
      </c>
      <c r="U182" s="70">
        <f>Q182-O182</f>
        <v>0</v>
      </c>
      <c r="V182" s="506">
        <f t="shared" si="109"/>
        <v>-980000</v>
      </c>
      <c r="W182" s="506">
        <f t="shared" si="110"/>
        <v>0</v>
      </c>
      <c r="X182" s="31"/>
      <c r="Y182" s="486"/>
      <c r="Z182" s="31"/>
      <c r="AA182" s="31"/>
      <c r="AB182" s="31"/>
    </row>
    <row r="183" spans="1:28" ht="13.05" hidden="1" x14ac:dyDescent="0.3">
      <c r="A183" s="541">
        <v>343</v>
      </c>
      <c r="B183" s="89" t="s">
        <v>40</v>
      </c>
      <c r="C183" s="90">
        <f t="shared" ref="C183:F183" si="140">SUM(C184:C187)</f>
        <v>0</v>
      </c>
      <c r="D183" s="62"/>
      <c r="E183" s="62">
        <f t="shared" ref="E183" si="141">SUM(E184:E187)</f>
        <v>0</v>
      </c>
      <c r="F183" s="91">
        <f t="shared" si="140"/>
        <v>0</v>
      </c>
      <c r="G183" s="91">
        <f t="shared" ref="G183:H183" si="142">SUM(G184:G187)</f>
        <v>0</v>
      </c>
      <c r="H183" s="91">
        <f t="shared" si="142"/>
        <v>0</v>
      </c>
      <c r="I183" s="91"/>
      <c r="J183" s="91"/>
      <c r="K183" s="91"/>
      <c r="L183" s="91"/>
      <c r="M183" s="91"/>
      <c r="N183" s="91">
        <f t="shared" ref="N183:O183" si="143">SUM(N184:N187)</f>
        <v>0</v>
      </c>
      <c r="O183" s="91">
        <f t="shared" si="143"/>
        <v>0</v>
      </c>
      <c r="P183" s="91"/>
      <c r="Q183" s="91"/>
      <c r="R183" s="91"/>
      <c r="S183" s="91">
        <f t="shared" ref="S183" si="144">SUM(S184:S187)</f>
        <v>0</v>
      </c>
      <c r="T183" s="91"/>
      <c r="U183" s="91">
        <f t="shared" ref="U183" si="145">SUM(U184:U187)</f>
        <v>0</v>
      </c>
      <c r="V183" s="506">
        <f t="shared" si="109"/>
        <v>0</v>
      </c>
      <c r="W183" s="506">
        <f t="shared" si="110"/>
        <v>0</v>
      </c>
      <c r="X183" s="31"/>
      <c r="Y183" s="486"/>
      <c r="Z183" s="31"/>
      <c r="AA183" s="31"/>
      <c r="AB183" s="31"/>
    </row>
    <row r="184" spans="1:28" ht="13.05" hidden="1" x14ac:dyDescent="0.3">
      <c r="A184" s="542">
        <v>3431</v>
      </c>
      <c r="B184" s="535" t="s">
        <v>41</v>
      </c>
      <c r="C184" s="94"/>
      <c r="D184" s="63"/>
      <c r="E184" s="63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506">
        <f t="shared" si="109"/>
        <v>0</v>
      </c>
      <c r="W184" s="506">
        <f t="shared" si="110"/>
        <v>0</v>
      </c>
      <c r="X184" s="31"/>
      <c r="Y184" s="486"/>
      <c r="Z184" s="31"/>
      <c r="AA184" s="31"/>
      <c r="AB184" s="31"/>
    </row>
    <row r="185" spans="1:28" ht="25.05" hidden="1" x14ac:dyDescent="0.3">
      <c r="A185" s="542">
        <v>3432</v>
      </c>
      <c r="B185" s="535" t="s">
        <v>89</v>
      </c>
      <c r="C185" s="94"/>
      <c r="D185" s="63"/>
      <c r="E185" s="63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506">
        <f t="shared" si="109"/>
        <v>0</v>
      </c>
      <c r="W185" s="506">
        <f t="shared" si="110"/>
        <v>0</v>
      </c>
      <c r="X185" s="31"/>
      <c r="Y185" s="486"/>
      <c r="Z185" s="31"/>
      <c r="AA185" s="31"/>
      <c r="AB185" s="31"/>
    </row>
    <row r="186" spans="1:28" ht="13.05" hidden="1" x14ac:dyDescent="0.3">
      <c r="A186" s="542">
        <v>3433</v>
      </c>
      <c r="B186" s="535" t="s">
        <v>42</v>
      </c>
      <c r="C186" s="94"/>
      <c r="D186" s="63"/>
      <c r="E186" s="63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506">
        <f t="shared" si="109"/>
        <v>0</v>
      </c>
      <c r="W186" s="506">
        <f t="shared" si="110"/>
        <v>0</v>
      </c>
      <c r="X186" s="31"/>
      <c r="Y186" s="486"/>
      <c r="Z186" s="31"/>
      <c r="AA186" s="31"/>
      <c r="AB186" s="31"/>
    </row>
    <row r="187" spans="1:28" ht="13.05" hidden="1" x14ac:dyDescent="0.3">
      <c r="A187" s="542">
        <v>3434</v>
      </c>
      <c r="B187" s="535" t="s">
        <v>43</v>
      </c>
      <c r="C187" s="94"/>
      <c r="D187" s="63"/>
      <c r="E187" s="63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506">
        <f t="shared" si="109"/>
        <v>0</v>
      </c>
      <c r="W187" s="506">
        <f t="shared" si="110"/>
        <v>0</v>
      </c>
      <c r="X187" s="31"/>
      <c r="Y187" s="486"/>
      <c r="Z187" s="31"/>
      <c r="AA187" s="31"/>
      <c r="AB187" s="31"/>
    </row>
    <row r="188" spans="1:28" ht="25.95" hidden="1" x14ac:dyDescent="0.3">
      <c r="A188" s="550">
        <v>372</v>
      </c>
      <c r="B188" s="89" t="s">
        <v>44</v>
      </c>
      <c r="C188" s="90">
        <f t="shared" ref="C188:H188" si="146">SUM(C189:C190)</f>
        <v>0</v>
      </c>
      <c r="D188" s="62"/>
      <c r="E188" s="62">
        <f t="shared" ref="E188" si="147">SUM(E189:E190)</f>
        <v>0</v>
      </c>
      <c r="F188" s="91">
        <f t="shared" si="146"/>
        <v>0</v>
      </c>
      <c r="G188" s="91">
        <f t="shared" si="146"/>
        <v>0</v>
      </c>
      <c r="H188" s="91">
        <f t="shared" si="146"/>
        <v>0</v>
      </c>
      <c r="I188" s="91"/>
      <c r="J188" s="91"/>
      <c r="K188" s="91"/>
      <c r="L188" s="91"/>
      <c r="M188" s="91"/>
      <c r="N188" s="91">
        <f t="shared" ref="N188:O188" si="148">SUM(N189:N190)</f>
        <v>0</v>
      </c>
      <c r="O188" s="91">
        <f t="shared" si="148"/>
        <v>0</v>
      </c>
      <c r="P188" s="91"/>
      <c r="Q188" s="91"/>
      <c r="R188" s="91"/>
      <c r="S188" s="91">
        <f t="shared" ref="S188" si="149">SUM(S189:S190)</f>
        <v>0</v>
      </c>
      <c r="T188" s="91"/>
      <c r="U188" s="91">
        <f t="shared" ref="U188" si="150">SUM(U189:U190)</f>
        <v>0</v>
      </c>
      <c r="V188" s="506">
        <f t="shared" si="109"/>
        <v>0</v>
      </c>
      <c r="W188" s="506">
        <f t="shared" si="110"/>
        <v>0</v>
      </c>
      <c r="X188" s="31"/>
      <c r="Y188" s="486"/>
      <c r="Z188" s="31"/>
      <c r="AA188" s="31"/>
      <c r="AB188" s="31"/>
    </row>
    <row r="189" spans="1:28" ht="13.05" hidden="1" x14ac:dyDescent="0.3">
      <c r="A189" s="542">
        <v>3721</v>
      </c>
      <c r="B189" s="535" t="s">
        <v>45</v>
      </c>
      <c r="C189" s="551"/>
      <c r="D189" s="71"/>
      <c r="E189" s="71"/>
      <c r="F189" s="368"/>
      <c r="G189" s="368"/>
      <c r="H189" s="368"/>
      <c r="I189" s="368"/>
      <c r="J189" s="368"/>
      <c r="K189" s="368"/>
      <c r="L189" s="368"/>
      <c r="M189" s="368"/>
      <c r="N189" s="368"/>
      <c r="O189" s="368"/>
      <c r="P189" s="368"/>
      <c r="Q189" s="368"/>
      <c r="R189" s="368"/>
      <c r="S189" s="368"/>
      <c r="T189" s="368"/>
      <c r="U189" s="368"/>
      <c r="V189" s="506">
        <f t="shared" si="109"/>
        <v>0</v>
      </c>
      <c r="W189" s="506">
        <f t="shared" si="110"/>
        <v>0</v>
      </c>
      <c r="X189" s="31"/>
      <c r="Y189" s="486"/>
      <c r="Z189" s="31"/>
      <c r="AA189" s="31"/>
      <c r="AB189" s="31"/>
    </row>
    <row r="190" spans="1:28" ht="13.05" hidden="1" x14ac:dyDescent="0.3">
      <c r="A190" s="542">
        <v>3722</v>
      </c>
      <c r="B190" s="535" t="s">
        <v>209</v>
      </c>
      <c r="C190" s="551"/>
      <c r="D190" s="71"/>
      <c r="E190" s="71"/>
      <c r="F190" s="368"/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68"/>
      <c r="R190" s="368"/>
      <c r="S190" s="368"/>
      <c r="T190" s="368"/>
      <c r="U190" s="368"/>
      <c r="V190" s="506">
        <f t="shared" si="109"/>
        <v>0</v>
      </c>
      <c r="W190" s="506">
        <f t="shared" si="110"/>
        <v>0</v>
      </c>
      <c r="X190" s="31"/>
      <c r="Y190" s="486"/>
      <c r="Z190" s="31"/>
      <c r="AA190" s="31"/>
      <c r="AB190" s="31"/>
    </row>
    <row r="191" spans="1:28" ht="15" customHeight="1" x14ac:dyDescent="0.3">
      <c r="A191" s="144" t="s">
        <v>313</v>
      </c>
      <c r="B191" s="145" t="s">
        <v>314</v>
      </c>
      <c r="C191" s="531">
        <f t="shared" ref="C191:U192" si="151">SUM(C192)</f>
        <v>144000</v>
      </c>
      <c r="D191" s="141"/>
      <c r="E191" s="141">
        <f t="shared" si="151"/>
        <v>144000</v>
      </c>
      <c r="F191" s="364">
        <f t="shared" si="151"/>
        <v>10000</v>
      </c>
      <c r="G191" s="364">
        <f t="shared" si="151"/>
        <v>10000</v>
      </c>
      <c r="H191" s="364">
        <f t="shared" si="151"/>
        <v>511000</v>
      </c>
      <c r="I191" s="364">
        <f t="shared" si="151"/>
        <v>0</v>
      </c>
      <c r="J191" s="364">
        <f t="shared" si="151"/>
        <v>0</v>
      </c>
      <c r="K191" s="364">
        <f t="shared" si="151"/>
        <v>0</v>
      </c>
      <c r="L191" s="364">
        <f t="shared" si="151"/>
        <v>0</v>
      </c>
      <c r="M191" s="364">
        <f t="shared" si="151"/>
        <v>511000</v>
      </c>
      <c r="N191" s="364">
        <f t="shared" si="151"/>
        <v>261000</v>
      </c>
      <c r="O191" s="364">
        <f t="shared" si="151"/>
        <v>261000</v>
      </c>
      <c r="P191" s="364">
        <f t="shared" si="151"/>
        <v>511000</v>
      </c>
      <c r="Q191" s="364">
        <f t="shared" si="151"/>
        <v>511000</v>
      </c>
      <c r="R191" s="364">
        <f t="shared" si="151"/>
        <v>511000</v>
      </c>
      <c r="S191" s="532">
        <f t="shared" si="151"/>
        <v>0</v>
      </c>
      <c r="T191" s="532">
        <f t="shared" si="151"/>
        <v>250000</v>
      </c>
      <c r="U191" s="532">
        <f t="shared" si="151"/>
        <v>250000</v>
      </c>
      <c r="V191" s="506">
        <f t="shared" si="109"/>
        <v>0</v>
      </c>
      <c r="W191" s="506">
        <f t="shared" si="110"/>
        <v>0</v>
      </c>
      <c r="X191" s="31"/>
      <c r="Y191" s="486"/>
      <c r="Z191" s="31"/>
      <c r="AA191" s="31"/>
      <c r="AB191" s="31"/>
    </row>
    <row r="192" spans="1:28" x14ac:dyDescent="0.3">
      <c r="A192" s="541">
        <v>381</v>
      </c>
      <c r="B192" s="89" t="s">
        <v>46</v>
      </c>
      <c r="C192" s="90">
        <f t="shared" si="151"/>
        <v>144000</v>
      </c>
      <c r="D192" s="62"/>
      <c r="E192" s="62">
        <f t="shared" si="151"/>
        <v>144000</v>
      </c>
      <c r="F192" s="91">
        <f t="shared" si="151"/>
        <v>10000</v>
      </c>
      <c r="G192" s="91">
        <f t="shared" si="151"/>
        <v>10000</v>
      </c>
      <c r="H192" s="91">
        <f t="shared" si="151"/>
        <v>511000</v>
      </c>
      <c r="I192" s="91">
        <f t="shared" si="151"/>
        <v>0</v>
      </c>
      <c r="J192" s="91">
        <f t="shared" si="151"/>
        <v>0</v>
      </c>
      <c r="K192" s="91">
        <f t="shared" si="151"/>
        <v>0</v>
      </c>
      <c r="L192" s="91">
        <f t="shared" si="151"/>
        <v>0</v>
      </c>
      <c r="M192" s="91">
        <f t="shared" si="151"/>
        <v>511000</v>
      </c>
      <c r="N192" s="91">
        <f t="shared" si="151"/>
        <v>261000</v>
      </c>
      <c r="O192" s="91">
        <f t="shared" si="151"/>
        <v>261000</v>
      </c>
      <c r="P192" s="91">
        <f t="shared" si="151"/>
        <v>511000</v>
      </c>
      <c r="Q192" s="91">
        <f t="shared" si="151"/>
        <v>511000</v>
      </c>
      <c r="R192" s="91">
        <f t="shared" si="151"/>
        <v>511000</v>
      </c>
      <c r="S192" s="91">
        <f t="shared" si="151"/>
        <v>0</v>
      </c>
      <c r="T192" s="91">
        <f t="shared" si="151"/>
        <v>250000</v>
      </c>
      <c r="U192" s="91">
        <f t="shared" si="151"/>
        <v>250000</v>
      </c>
      <c r="V192" s="506">
        <f t="shared" si="109"/>
        <v>0</v>
      </c>
      <c r="W192" s="506">
        <f t="shared" si="110"/>
        <v>0</v>
      </c>
      <c r="X192" s="31"/>
      <c r="Y192" s="486"/>
      <c r="Z192" s="31"/>
      <c r="AA192" s="31"/>
      <c r="AB192" s="31"/>
    </row>
    <row r="193" spans="1:28" x14ac:dyDescent="0.3">
      <c r="A193" s="542">
        <v>3811</v>
      </c>
      <c r="B193" s="535" t="s">
        <v>46</v>
      </c>
      <c r="C193" s="94">
        <f>10000+134000</f>
        <v>144000</v>
      </c>
      <c r="D193" s="63"/>
      <c r="E193" s="63">
        <f>10000+134000</f>
        <v>144000</v>
      </c>
      <c r="F193" s="95">
        <v>10000</v>
      </c>
      <c r="G193" s="95">
        <v>10000</v>
      </c>
      <c r="H193" s="367">
        <v>511000</v>
      </c>
      <c r="I193" s="367"/>
      <c r="J193" s="367"/>
      <c r="K193" s="96"/>
      <c r="L193" s="96"/>
      <c r="M193" s="63">
        <f>H193-I193+J193-K193+L193</f>
        <v>511000</v>
      </c>
      <c r="N193" s="367">
        <f t="shared" ref="N193:O193" si="152">144000+117000</f>
        <v>261000</v>
      </c>
      <c r="O193" s="367">
        <f t="shared" si="152"/>
        <v>261000</v>
      </c>
      <c r="P193" s="96">
        <v>511000</v>
      </c>
      <c r="Q193" s="96">
        <v>511000</v>
      </c>
      <c r="R193" s="96">
        <v>511000</v>
      </c>
      <c r="S193" s="70">
        <f>P193-M193</f>
        <v>0</v>
      </c>
      <c r="T193" s="70">
        <f>P193-N193</f>
        <v>250000</v>
      </c>
      <c r="U193" s="70">
        <f>Q193-O193</f>
        <v>250000</v>
      </c>
      <c r="V193" s="506">
        <f t="shared" si="109"/>
        <v>0</v>
      </c>
      <c r="W193" s="506">
        <f t="shared" si="110"/>
        <v>0</v>
      </c>
      <c r="X193" s="31" t="s">
        <v>467</v>
      </c>
      <c r="Y193" s="486"/>
      <c r="Z193" s="31"/>
      <c r="AA193" s="31"/>
      <c r="AB193" s="31"/>
    </row>
    <row r="194" spans="1:28" ht="25.2" customHeight="1" x14ac:dyDescent="0.3">
      <c r="A194" s="144" t="s">
        <v>323</v>
      </c>
      <c r="B194" s="145" t="s">
        <v>324</v>
      </c>
      <c r="C194" s="531">
        <f t="shared" ref="C194:U194" si="153">SUM(C195,C197)</f>
        <v>2119000</v>
      </c>
      <c r="D194" s="141"/>
      <c r="E194" s="141">
        <f t="shared" ref="E194" si="154">SUM(E195,E197)</f>
        <v>1919000</v>
      </c>
      <c r="F194" s="364">
        <f t="shared" si="153"/>
        <v>469000</v>
      </c>
      <c r="G194" s="364">
        <f t="shared" si="153"/>
        <v>573000</v>
      </c>
      <c r="H194" s="364">
        <f t="shared" si="153"/>
        <v>2133000</v>
      </c>
      <c r="I194" s="364">
        <f t="shared" si="153"/>
        <v>0</v>
      </c>
      <c r="J194" s="364">
        <f t="shared" si="153"/>
        <v>0</v>
      </c>
      <c r="K194" s="364">
        <f t="shared" si="153"/>
        <v>400000</v>
      </c>
      <c r="L194" s="364">
        <f t="shared" si="153"/>
        <v>0</v>
      </c>
      <c r="M194" s="364">
        <f t="shared" si="153"/>
        <v>1733000</v>
      </c>
      <c r="N194" s="364">
        <f t="shared" si="153"/>
        <v>460000</v>
      </c>
      <c r="O194" s="364">
        <f t="shared" si="153"/>
        <v>460000</v>
      </c>
      <c r="P194" s="364">
        <f t="shared" si="153"/>
        <v>1745000</v>
      </c>
      <c r="Q194" s="364">
        <f t="shared" si="153"/>
        <v>685000</v>
      </c>
      <c r="R194" s="364">
        <f t="shared" si="153"/>
        <v>600000</v>
      </c>
      <c r="S194" s="532">
        <f t="shared" si="153"/>
        <v>12000</v>
      </c>
      <c r="T194" s="532">
        <f t="shared" si="153"/>
        <v>1285000</v>
      </c>
      <c r="U194" s="532">
        <f t="shared" si="153"/>
        <v>205000</v>
      </c>
      <c r="V194" s="506">
        <f t="shared" si="109"/>
        <v>12000</v>
      </c>
      <c r="W194" s="506">
        <f t="shared" si="110"/>
        <v>0</v>
      </c>
      <c r="X194" s="31"/>
      <c r="Y194" s="486"/>
      <c r="Z194" s="31"/>
      <c r="AA194" s="31"/>
      <c r="AB194" s="31"/>
    </row>
    <row r="195" spans="1:28" x14ac:dyDescent="0.3">
      <c r="A195" s="88">
        <v>421</v>
      </c>
      <c r="B195" s="556" t="s">
        <v>51</v>
      </c>
      <c r="C195" s="90">
        <f t="shared" ref="C195:U195" si="155">SUM(C196)</f>
        <v>1725000</v>
      </c>
      <c r="D195" s="62"/>
      <c r="E195" s="62">
        <f t="shared" si="155"/>
        <v>1725000</v>
      </c>
      <c r="F195" s="91">
        <f t="shared" si="155"/>
        <v>0</v>
      </c>
      <c r="G195" s="91">
        <f t="shared" si="155"/>
        <v>0</v>
      </c>
      <c r="H195" s="91">
        <f t="shared" si="155"/>
        <v>0</v>
      </c>
      <c r="I195" s="91">
        <f t="shared" si="155"/>
        <v>0</v>
      </c>
      <c r="J195" s="91">
        <f t="shared" si="155"/>
        <v>0</v>
      </c>
      <c r="K195" s="91">
        <f t="shared" si="155"/>
        <v>0</v>
      </c>
      <c r="L195" s="91">
        <f t="shared" si="155"/>
        <v>0</v>
      </c>
      <c r="M195" s="91">
        <f t="shared" si="155"/>
        <v>0</v>
      </c>
      <c r="N195" s="91">
        <f t="shared" si="155"/>
        <v>0</v>
      </c>
      <c r="O195" s="91">
        <f t="shared" si="155"/>
        <v>0</v>
      </c>
      <c r="P195" s="91">
        <f t="shared" si="155"/>
        <v>20000</v>
      </c>
      <c r="Q195" s="91">
        <f t="shared" si="155"/>
        <v>20000</v>
      </c>
      <c r="R195" s="91">
        <f t="shared" si="155"/>
        <v>20000</v>
      </c>
      <c r="S195" s="91">
        <f t="shared" si="155"/>
        <v>20000</v>
      </c>
      <c r="T195" s="91">
        <f t="shared" si="155"/>
        <v>20000</v>
      </c>
      <c r="U195" s="91">
        <f t="shared" si="155"/>
        <v>0</v>
      </c>
      <c r="V195" s="506">
        <f t="shared" si="109"/>
        <v>20000</v>
      </c>
      <c r="W195" s="506">
        <f t="shared" si="110"/>
        <v>0</v>
      </c>
      <c r="X195" s="31"/>
      <c r="Y195" s="486"/>
      <c r="Z195" s="31"/>
      <c r="AA195" s="31"/>
      <c r="AB195" s="31"/>
    </row>
    <row r="196" spans="1:28" x14ac:dyDescent="0.3">
      <c r="A196" s="92">
        <v>4214</v>
      </c>
      <c r="B196" s="93" t="s">
        <v>330</v>
      </c>
      <c r="C196" s="551">
        <v>1725000</v>
      </c>
      <c r="D196" s="71"/>
      <c r="E196" s="71">
        <v>1725000</v>
      </c>
      <c r="F196" s="368"/>
      <c r="G196" s="368"/>
      <c r="H196" s="368"/>
      <c r="I196" s="368"/>
      <c r="J196" s="368"/>
      <c r="K196" s="368"/>
      <c r="L196" s="368"/>
      <c r="M196" s="368"/>
      <c r="N196" s="368"/>
      <c r="O196" s="368"/>
      <c r="P196" s="71">
        <v>20000</v>
      </c>
      <c r="Q196" s="71">
        <v>20000</v>
      </c>
      <c r="R196" s="71">
        <v>20000</v>
      </c>
      <c r="S196" s="70">
        <f>P196-M196</f>
        <v>20000</v>
      </c>
      <c r="T196" s="70">
        <f>P196-N196</f>
        <v>20000</v>
      </c>
      <c r="U196" s="63"/>
      <c r="V196" s="506">
        <f t="shared" si="109"/>
        <v>20000</v>
      </c>
      <c r="W196" s="506">
        <f t="shared" si="110"/>
        <v>0</v>
      </c>
      <c r="X196" s="31"/>
      <c r="Y196" s="486"/>
      <c r="Z196" s="31"/>
      <c r="AA196" s="31"/>
      <c r="AB196" s="31"/>
    </row>
    <row r="197" spans="1:28" x14ac:dyDescent="0.3">
      <c r="A197" s="88">
        <v>422</v>
      </c>
      <c r="B197" s="556" t="s">
        <v>129</v>
      </c>
      <c r="C197" s="90">
        <f t="shared" ref="C197:F197" si="156">SUM(C198:C200)</f>
        <v>394000</v>
      </c>
      <c r="D197" s="62"/>
      <c r="E197" s="62">
        <f t="shared" ref="E197" si="157">SUM(E198:E200)</f>
        <v>194000</v>
      </c>
      <c r="F197" s="91">
        <f t="shared" si="156"/>
        <v>469000</v>
      </c>
      <c r="G197" s="91">
        <f t="shared" ref="G197:U197" si="158">SUM(G198:G200)</f>
        <v>573000</v>
      </c>
      <c r="H197" s="91">
        <f t="shared" si="158"/>
        <v>2133000</v>
      </c>
      <c r="I197" s="91">
        <f t="shared" si="158"/>
        <v>0</v>
      </c>
      <c r="J197" s="91">
        <f t="shared" si="158"/>
        <v>0</v>
      </c>
      <c r="K197" s="91">
        <f t="shared" si="158"/>
        <v>400000</v>
      </c>
      <c r="L197" s="91">
        <f t="shared" si="158"/>
        <v>0</v>
      </c>
      <c r="M197" s="91">
        <f t="shared" si="158"/>
        <v>1733000</v>
      </c>
      <c r="N197" s="91">
        <f t="shared" si="158"/>
        <v>460000</v>
      </c>
      <c r="O197" s="91">
        <f t="shared" si="158"/>
        <v>460000</v>
      </c>
      <c r="P197" s="91">
        <f t="shared" si="158"/>
        <v>1725000</v>
      </c>
      <c r="Q197" s="91">
        <f t="shared" si="158"/>
        <v>665000</v>
      </c>
      <c r="R197" s="91">
        <f t="shared" si="158"/>
        <v>580000</v>
      </c>
      <c r="S197" s="91">
        <f t="shared" si="158"/>
        <v>-8000</v>
      </c>
      <c r="T197" s="91">
        <f t="shared" si="158"/>
        <v>1265000</v>
      </c>
      <c r="U197" s="91">
        <f t="shared" si="158"/>
        <v>205000</v>
      </c>
      <c r="V197" s="506">
        <f t="shared" si="109"/>
        <v>-8000</v>
      </c>
      <c r="W197" s="506">
        <f t="shared" si="110"/>
        <v>0</v>
      </c>
      <c r="X197" s="31"/>
      <c r="Y197" s="486"/>
      <c r="Z197" s="31"/>
      <c r="AA197" s="31"/>
      <c r="AB197" s="31"/>
    </row>
    <row r="198" spans="1:28" x14ac:dyDescent="0.3">
      <c r="A198" s="92">
        <v>4221</v>
      </c>
      <c r="B198" s="93" t="s">
        <v>54</v>
      </c>
      <c r="C198" s="551">
        <v>225000</v>
      </c>
      <c r="D198" s="71"/>
      <c r="E198" s="71">
        <v>75000</v>
      </c>
      <c r="F198" s="368">
        <v>245000</v>
      </c>
      <c r="G198" s="368">
        <v>279000</v>
      </c>
      <c r="H198" s="368">
        <v>225000</v>
      </c>
      <c r="I198" s="368"/>
      <c r="J198" s="368"/>
      <c r="K198" s="71"/>
      <c r="L198" s="71"/>
      <c r="M198" s="63">
        <f>H198-I198+J198-K198+L198</f>
        <v>225000</v>
      </c>
      <c r="N198" s="368">
        <v>225000</v>
      </c>
      <c r="O198" s="368">
        <v>225000</v>
      </c>
      <c r="P198" s="71">
        <v>295000</v>
      </c>
      <c r="Q198" s="71">
        <v>305000</v>
      </c>
      <c r="R198" s="71">
        <v>315000</v>
      </c>
      <c r="S198" s="70">
        <f>P198-M198</f>
        <v>70000</v>
      </c>
      <c r="T198" s="70">
        <f t="shared" ref="T198:U200" si="159">P198-N198</f>
        <v>70000</v>
      </c>
      <c r="U198" s="70">
        <f t="shared" si="159"/>
        <v>80000</v>
      </c>
      <c r="V198" s="506">
        <f t="shared" si="109"/>
        <v>70000</v>
      </c>
      <c r="W198" s="506">
        <f t="shared" si="110"/>
        <v>0</v>
      </c>
      <c r="X198" s="31"/>
      <c r="Y198" s="486"/>
      <c r="Z198" s="31"/>
      <c r="AA198" s="31"/>
      <c r="AB198" s="31"/>
    </row>
    <row r="199" spans="1:28" x14ac:dyDescent="0.3">
      <c r="A199" s="92">
        <v>4222</v>
      </c>
      <c r="B199" s="93" t="s">
        <v>58</v>
      </c>
      <c r="C199" s="551">
        <v>23000</v>
      </c>
      <c r="D199" s="71"/>
      <c r="E199" s="71">
        <v>23000</v>
      </c>
      <c r="F199" s="368">
        <v>25000</v>
      </c>
      <c r="G199" s="368">
        <v>29000</v>
      </c>
      <c r="H199" s="368">
        <v>25000</v>
      </c>
      <c r="I199" s="368"/>
      <c r="J199" s="368"/>
      <c r="K199" s="71"/>
      <c r="L199" s="71"/>
      <c r="M199" s="63">
        <f>H199-I199+J199-K199+L199</f>
        <v>25000</v>
      </c>
      <c r="N199" s="368">
        <v>25000</v>
      </c>
      <c r="O199" s="368">
        <v>25000</v>
      </c>
      <c r="P199" s="71">
        <v>70000</v>
      </c>
      <c r="Q199" s="71">
        <v>35000</v>
      </c>
      <c r="R199" s="71">
        <v>40000</v>
      </c>
      <c r="S199" s="70">
        <f>P199-M199</f>
        <v>45000</v>
      </c>
      <c r="T199" s="70">
        <f t="shared" si="159"/>
        <v>45000</v>
      </c>
      <c r="U199" s="70">
        <f t="shared" si="159"/>
        <v>10000</v>
      </c>
      <c r="V199" s="506">
        <f t="shared" si="109"/>
        <v>45000</v>
      </c>
      <c r="W199" s="506">
        <f t="shared" si="110"/>
        <v>0</v>
      </c>
      <c r="X199" s="31"/>
      <c r="Y199" s="486"/>
      <c r="Z199" s="31"/>
      <c r="AA199" s="31"/>
      <c r="AB199" s="31"/>
    </row>
    <row r="200" spans="1:28" x14ac:dyDescent="0.3">
      <c r="A200" s="92">
        <v>4227</v>
      </c>
      <c r="B200" s="93" t="s">
        <v>60</v>
      </c>
      <c r="C200" s="551">
        <v>146000</v>
      </c>
      <c r="D200" s="71"/>
      <c r="E200" s="71">
        <v>96000</v>
      </c>
      <c r="F200" s="368">
        <v>199000</v>
      </c>
      <c r="G200" s="368">
        <v>265000</v>
      </c>
      <c r="H200" s="372">
        <f>200000+1883000-200000</f>
        <v>1883000</v>
      </c>
      <c r="I200" s="372"/>
      <c r="J200" s="372"/>
      <c r="K200" s="372">
        <v>400000</v>
      </c>
      <c r="L200" s="425"/>
      <c r="M200" s="63">
        <f>H200-I200+J200-K200+L200</f>
        <v>1483000</v>
      </c>
      <c r="N200" s="368">
        <v>210000</v>
      </c>
      <c r="O200" s="368">
        <v>210000</v>
      </c>
      <c r="P200" s="71">
        <f>360000+1000000</f>
        <v>1360000</v>
      </c>
      <c r="Q200" s="71">
        <v>325000</v>
      </c>
      <c r="R200" s="71">
        <v>225000</v>
      </c>
      <c r="S200" s="70">
        <f>P200-M200</f>
        <v>-123000</v>
      </c>
      <c r="T200" s="70">
        <f t="shared" si="159"/>
        <v>1150000</v>
      </c>
      <c r="U200" s="70">
        <f t="shared" si="159"/>
        <v>115000</v>
      </c>
      <c r="V200" s="506">
        <f t="shared" si="109"/>
        <v>-123000</v>
      </c>
      <c r="W200" s="506">
        <f t="shared" si="110"/>
        <v>0</v>
      </c>
      <c r="X200" s="31"/>
      <c r="Y200" s="486"/>
      <c r="Z200" s="31"/>
      <c r="AA200" s="31"/>
      <c r="AB200" s="31"/>
    </row>
    <row r="201" spans="1:28" ht="26.4" x14ac:dyDescent="0.3">
      <c r="A201" s="144">
        <v>45</v>
      </c>
      <c r="B201" s="145" t="s">
        <v>329</v>
      </c>
      <c r="C201" s="531">
        <f t="shared" ref="C201:U201" si="160">SUM(C202)</f>
        <v>27000</v>
      </c>
      <c r="D201" s="141"/>
      <c r="E201" s="141">
        <f t="shared" si="160"/>
        <v>1000</v>
      </c>
      <c r="F201" s="364">
        <f t="shared" si="160"/>
        <v>0</v>
      </c>
      <c r="G201" s="364">
        <f t="shared" si="160"/>
        <v>0</v>
      </c>
      <c r="H201" s="364">
        <f t="shared" si="160"/>
        <v>0</v>
      </c>
      <c r="I201" s="364">
        <f t="shared" si="160"/>
        <v>0</v>
      </c>
      <c r="J201" s="364">
        <f t="shared" si="160"/>
        <v>0</v>
      </c>
      <c r="K201" s="364">
        <f t="shared" si="160"/>
        <v>0</v>
      </c>
      <c r="L201" s="364">
        <f t="shared" si="160"/>
        <v>0</v>
      </c>
      <c r="M201" s="364">
        <f t="shared" si="160"/>
        <v>0</v>
      </c>
      <c r="N201" s="364">
        <f t="shared" si="160"/>
        <v>0</v>
      </c>
      <c r="O201" s="364">
        <f t="shared" si="160"/>
        <v>0</v>
      </c>
      <c r="P201" s="364">
        <f t="shared" si="160"/>
        <v>66000</v>
      </c>
      <c r="Q201" s="364">
        <f t="shared" si="160"/>
        <v>0</v>
      </c>
      <c r="R201" s="364">
        <f t="shared" si="160"/>
        <v>0</v>
      </c>
      <c r="S201" s="532">
        <f t="shared" si="160"/>
        <v>66000</v>
      </c>
      <c r="T201" s="532">
        <f t="shared" si="160"/>
        <v>66000</v>
      </c>
      <c r="U201" s="532">
        <f t="shared" si="160"/>
        <v>0</v>
      </c>
      <c r="V201" s="506">
        <f t="shared" si="109"/>
        <v>66000</v>
      </c>
      <c r="W201" s="506">
        <f t="shared" si="110"/>
        <v>0</v>
      </c>
      <c r="X201" s="31"/>
      <c r="Y201" s="486"/>
      <c r="Z201" s="31"/>
      <c r="AA201" s="31"/>
      <c r="AB201" s="31"/>
    </row>
    <row r="202" spans="1:28" x14ac:dyDescent="0.3">
      <c r="A202" s="88">
        <v>451</v>
      </c>
      <c r="B202" s="556" t="s">
        <v>55</v>
      </c>
      <c r="C202" s="90">
        <f t="shared" ref="C202:U202" si="161">SUM(C203:C203)</f>
        <v>27000</v>
      </c>
      <c r="D202" s="62"/>
      <c r="E202" s="62">
        <f t="shared" si="161"/>
        <v>1000</v>
      </c>
      <c r="F202" s="91">
        <f t="shared" si="161"/>
        <v>0</v>
      </c>
      <c r="G202" s="91">
        <f t="shared" si="161"/>
        <v>0</v>
      </c>
      <c r="H202" s="91">
        <f t="shared" si="161"/>
        <v>0</v>
      </c>
      <c r="I202" s="91">
        <f t="shared" si="161"/>
        <v>0</v>
      </c>
      <c r="J202" s="91">
        <f t="shared" si="161"/>
        <v>0</v>
      </c>
      <c r="K202" s="91">
        <f t="shared" si="161"/>
        <v>0</v>
      </c>
      <c r="L202" s="91">
        <f t="shared" si="161"/>
        <v>0</v>
      </c>
      <c r="M202" s="91">
        <f t="shared" si="161"/>
        <v>0</v>
      </c>
      <c r="N202" s="91">
        <f t="shared" si="161"/>
        <v>0</v>
      </c>
      <c r="O202" s="91">
        <f t="shared" si="161"/>
        <v>0</v>
      </c>
      <c r="P202" s="91">
        <f t="shared" si="161"/>
        <v>66000</v>
      </c>
      <c r="Q202" s="91">
        <f t="shared" si="161"/>
        <v>0</v>
      </c>
      <c r="R202" s="91">
        <f t="shared" si="161"/>
        <v>0</v>
      </c>
      <c r="S202" s="91">
        <f t="shared" si="161"/>
        <v>66000</v>
      </c>
      <c r="T202" s="91">
        <f t="shared" si="161"/>
        <v>66000</v>
      </c>
      <c r="U202" s="91">
        <f t="shared" si="161"/>
        <v>0</v>
      </c>
      <c r="V202" s="506">
        <f t="shared" si="109"/>
        <v>66000</v>
      </c>
      <c r="W202" s="506">
        <f t="shared" si="110"/>
        <v>0</v>
      </c>
      <c r="X202" s="31"/>
      <c r="Y202" s="486"/>
      <c r="Z202" s="31"/>
      <c r="AA202" s="31"/>
      <c r="AB202" s="31"/>
    </row>
    <row r="203" spans="1:28" x14ac:dyDescent="0.3">
      <c r="A203" s="92">
        <v>4511</v>
      </c>
      <c r="B203" s="93" t="s">
        <v>55</v>
      </c>
      <c r="C203" s="551">
        <v>27000</v>
      </c>
      <c r="D203" s="71"/>
      <c r="E203" s="71">
        <v>1000</v>
      </c>
      <c r="F203" s="368"/>
      <c r="G203" s="368"/>
      <c r="H203" s="368"/>
      <c r="I203" s="368"/>
      <c r="J203" s="368"/>
      <c r="K203" s="368"/>
      <c r="L203" s="368"/>
      <c r="M203" s="368"/>
      <c r="N203" s="368"/>
      <c r="O203" s="368"/>
      <c r="P203" s="71">
        <v>66000</v>
      </c>
      <c r="Q203" s="71"/>
      <c r="R203" s="71"/>
      <c r="S203" s="70">
        <f>P203-M203</f>
        <v>66000</v>
      </c>
      <c r="T203" s="70">
        <f>P203-N203</f>
        <v>66000</v>
      </c>
      <c r="U203" s="63"/>
      <c r="V203" s="506">
        <f t="shared" ref="V203:V266" si="162">P203-M203</f>
        <v>66000</v>
      </c>
      <c r="W203" s="506">
        <f t="shared" ref="W203:W266" si="163">S203-V203</f>
        <v>0</v>
      </c>
      <c r="X203" s="31"/>
      <c r="Y203" s="486"/>
      <c r="Z203" s="31"/>
      <c r="AA203" s="31"/>
      <c r="AB203" s="31"/>
    </row>
    <row r="204" spans="1:28" ht="25.95" hidden="1" x14ac:dyDescent="0.3">
      <c r="A204" s="72" t="s">
        <v>289</v>
      </c>
      <c r="B204" s="73" t="s">
        <v>402</v>
      </c>
      <c r="C204" s="84">
        <f>SUM(C205)</f>
        <v>0</v>
      </c>
      <c r="D204" s="76"/>
      <c r="E204" s="77">
        <f t="shared" ref="E204:U206" si="164">SUM(E205)</f>
        <v>983000</v>
      </c>
      <c r="F204" s="77">
        <f t="shared" si="164"/>
        <v>0</v>
      </c>
      <c r="G204" s="77">
        <f t="shared" si="164"/>
        <v>0</v>
      </c>
      <c r="H204" s="77">
        <f t="shared" si="164"/>
        <v>0</v>
      </c>
      <c r="I204" s="77">
        <f t="shared" si="164"/>
        <v>0</v>
      </c>
      <c r="J204" s="77">
        <f t="shared" si="164"/>
        <v>0</v>
      </c>
      <c r="K204" s="77">
        <f t="shared" si="164"/>
        <v>0</v>
      </c>
      <c r="L204" s="77">
        <f t="shared" si="164"/>
        <v>0</v>
      </c>
      <c r="M204" s="77">
        <f t="shared" si="164"/>
        <v>0</v>
      </c>
      <c r="N204" s="77">
        <f t="shared" si="164"/>
        <v>0</v>
      </c>
      <c r="O204" s="77">
        <f t="shared" si="164"/>
        <v>0</v>
      </c>
      <c r="P204" s="77">
        <f t="shared" si="164"/>
        <v>0</v>
      </c>
      <c r="Q204" s="77">
        <f t="shared" si="164"/>
        <v>0</v>
      </c>
      <c r="R204" s="77">
        <f t="shared" si="164"/>
        <v>0</v>
      </c>
      <c r="S204" s="77">
        <f t="shared" si="164"/>
        <v>0</v>
      </c>
      <c r="T204" s="77">
        <f t="shared" si="164"/>
        <v>0</v>
      </c>
      <c r="U204" s="77">
        <f t="shared" si="164"/>
        <v>0</v>
      </c>
      <c r="V204" s="506">
        <f t="shared" si="162"/>
        <v>0</v>
      </c>
      <c r="W204" s="506">
        <f t="shared" si="163"/>
        <v>0</v>
      </c>
      <c r="X204" s="31"/>
      <c r="Y204" s="486"/>
      <c r="Z204" s="31"/>
      <c r="AA204" s="31"/>
      <c r="AB204" s="31"/>
    </row>
    <row r="205" spans="1:28" ht="13.05" hidden="1" x14ac:dyDescent="0.3">
      <c r="A205" s="700" t="s">
        <v>1</v>
      </c>
      <c r="B205" s="700"/>
      <c r="C205" s="85">
        <f>SUM(C206)</f>
        <v>0</v>
      </c>
      <c r="D205" s="66"/>
      <c r="E205" s="86">
        <f t="shared" si="164"/>
        <v>983000</v>
      </c>
      <c r="F205" s="86">
        <f t="shared" si="164"/>
        <v>0</v>
      </c>
      <c r="G205" s="86">
        <f t="shared" si="164"/>
        <v>0</v>
      </c>
      <c r="H205" s="86">
        <f t="shared" si="164"/>
        <v>0</v>
      </c>
      <c r="I205" s="86">
        <f t="shared" si="164"/>
        <v>0</v>
      </c>
      <c r="J205" s="86">
        <f t="shared" si="164"/>
        <v>0</v>
      </c>
      <c r="K205" s="86">
        <f t="shared" si="164"/>
        <v>0</v>
      </c>
      <c r="L205" s="86">
        <f t="shared" si="164"/>
        <v>0</v>
      </c>
      <c r="M205" s="86">
        <f t="shared" si="164"/>
        <v>0</v>
      </c>
      <c r="N205" s="86">
        <f t="shared" si="164"/>
        <v>0</v>
      </c>
      <c r="O205" s="86">
        <f t="shared" si="164"/>
        <v>0</v>
      </c>
      <c r="P205" s="86">
        <f t="shared" si="164"/>
        <v>0</v>
      </c>
      <c r="Q205" s="86">
        <f t="shared" si="164"/>
        <v>0</v>
      </c>
      <c r="R205" s="86">
        <f t="shared" si="164"/>
        <v>0</v>
      </c>
      <c r="S205" s="86">
        <f t="shared" si="164"/>
        <v>0</v>
      </c>
      <c r="T205" s="86">
        <f t="shared" si="164"/>
        <v>0</v>
      </c>
      <c r="U205" s="86">
        <f t="shared" si="164"/>
        <v>0</v>
      </c>
      <c r="V205" s="506">
        <f t="shared" si="162"/>
        <v>0</v>
      </c>
      <c r="W205" s="506">
        <f t="shared" si="163"/>
        <v>0</v>
      </c>
      <c r="X205" s="31"/>
      <c r="Y205" s="486"/>
      <c r="Z205" s="31"/>
      <c r="AA205" s="31"/>
      <c r="AB205" s="31"/>
    </row>
    <row r="206" spans="1:28" ht="13.05" hidden="1" x14ac:dyDescent="0.3">
      <c r="A206" s="144">
        <v>38</v>
      </c>
      <c r="B206" s="145" t="s">
        <v>314</v>
      </c>
      <c r="C206" s="146">
        <f>SUM(C207)</f>
        <v>0</v>
      </c>
      <c r="D206" s="142"/>
      <c r="E206" s="147">
        <f t="shared" si="164"/>
        <v>983000</v>
      </c>
      <c r="F206" s="147">
        <f t="shared" si="164"/>
        <v>0</v>
      </c>
      <c r="G206" s="147">
        <f t="shared" si="164"/>
        <v>0</v>
      </c>
      <c r="H206" s="147">
        <f t="shared" si="164"/>
        <v>0</v>
      </c>
      <c r="I206" s="147">
        <f t="shared" si="164"/>
        <v>0</v>
      </c>
      <c r="J206" s="147">
        <f t="shared" si="164"/>
        <v>0</v>
      </c>
      <c r="K206" s="147">
        <f t="shared" si="164"/>
        <v>0</v>
      </c>
      <c r="L206" s="147">
        <f t="shared" si="164"/>
        <v>0</v>
      </c>
      <c r="M206" s="147">
        <f t="shared" si="164"/>
        <v>0</v>
      </c>
      <c r="N206" s="147">
        <f t="shared" si="164"/>
        <v>0</v>
      </c>
      <c r="O206" s="147">
        <f t="shared" si="164"/>
        <v>0</v>
      </c>
      <c r="P206" s="147">
        <f t="shared" si="164"/>
        <v>0</v>
      </c>
      <c r="Q206" s="147">
        <f t="shared" si="164"/>
        <v>0</v>
      </c>
      <c r="R206" s="147">
        <f t="shared" si="164"/>
        <v>0</v>
      </c>
      <c r="S206" s="87">
        <f t="shared" si="164"/>
        <v>0</v>
      </c>
      <c r="T206" s="87">
        <f t="shared" si="164"/>
        <v>0</v>
      </c>
      <c r="U206" s="87">
        <f t="shared" si="164"/>
        <v>0</v>
      </c>
      <c r="V206" s="506">
        <f t="shared" si="162"/>
        <v>0</v>
      </c>
      <c r="W206" s="506">
        <f t="shared" si="163"/>
        <v>0</v>
      </c>
      <c r="X206" s="31"/>
      <c r="Y206" s="486"/>
      <c r="Z206" s="31"/>
      <c r="AA206" s="31"/>
      <c r="AB206" s="31"/>
    </row>
    <row r="207" spans="1:28" ht="13.05" hidden="1" x14ac:dyDescent="0.3">
      <c r="A207" s="88">
        <v>383</v>
      </c>
      <c r="B207" s="89" t="s">
        <v>47</v>
      </c>
      <c r="C207" s="90">
        <f t="shared" ref="C207:U207" si="165">SUM(C208)</f>
        <v>0</v>
      </c>
      <c r="D207" s="62"/>
      <c r="E207" s="91">
        <f t="shared" si="165"/>
        <v>983000</v>
      </c>
      <c r="F207" s="91">
        <f t="shared" si="165"/>
        <v>0</v>
      </c>
      <c r="G207" s="91">
        <f t="shared" si="165"/>
        <v>0</v>
      </c>
      <c r="H207" s="91">
        <f t="shared" si="165"/>
        <v>0</v>
      </c>
      <c r="I207" s="91">
        <f t="shared" si="165"/>
        <v>0</v>
      </c>
      <c r="J207" s="91">
        <f t="shared" si="165"/>
        <v>0</v>
      </c>
      <c r="K207" s="91">
        <f t="shared" si="165"/>
        <v>0</v>
      </c>
      <c r="L207" s="91">
        <f t="shared" si="165"/>
        <v>0</v>
      </c>
      <c r="M207" s="91">
        <f t="shared" si="165"/>
        <v>0</v>
      </c>
      <c r="N207" s="91">
        <f t="shared" si="165"/>
        <v>0</v>
      </c>
      <c r="O207" s="91">
        <f t="shared" si="165"/>
        <v>0</v>
      </c>
      <c r="P207" s="91">
        <f t="shared" si="165"/>
        <v>0</v>
      </c>
      <c r="Q207" s="91">
        <f t="shared" si="165"/>
        <v>0</v>
      </c>
      <c r="R207" s="91">
        <f t="shared" si="165"/>
        <v>0</v>
      </c>
      <c r="S207" s="91">
        <f t="shared" si="165"/>
        <v>0</v>
      </c>
      <c r="T207" s="91">
        <f t="shared" si="165"/>
        <v>0</v>
      </c>
      <c r="U207" s="91">
        <f t="shared" si="165"/>
        <v>0</v>
      </c>
      <c r="V207" s="506">
        <f t="shared" si="162"/>
        <v>0</v>
      </c>
      <c r="W207" s="506">
        <f t="shared" si="163"/>
        <v>0</v>
      </c>
      <c r="X207" s="31"/>
      <c r="Y207" s="486"/>
      <c r="Z207" s="31"/>
      <c r="AA207" s="31"/>
      <c r="AB207" s="31"/>
    </row>
    <row r="208" spans="1:28" ht="13.05" hidden="1" x14ac:dyDescent="0.3">
      <c r="A208" s="92">
        <v>3835</v>
      </c>
      <c r="B208" s="93" t="s">
        <v>293</v>
      </c>
      <c r="C208" s="94"/>
      <c r="D208" s="63"/>
      <c r="E208" s="95">
        <v>983000</v>
      </c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63"/>
      <c r="Q208" s="63"/>
      <c r="R208" s="63"/>
      <c r="S208" s="70">
        <f>P208-M208</f>
        <v>0</v>
      </c>
      <c r="T208" s="70">
        <f>P208-N208</f>
        <v>0</v>
      </c>
      <c r="U208" s="70">
        <f>Q208-O208</f>
        <v>0</v>
      </c>
      <c r="V208" s="506">
        <f t="shared" si="162"/>
        <v>0</v>
      </c>
      <c r="W208" s="506">
        <f t="shared" si="163"/>
        <v>0</v>
      </c>
      <c r="X208" s="31"/>
      <c r="Y208" s="486"/>
      <c r="Z208" s="31"/>
      <c r="AA208" s="31"/>
      <c r="AB208" s="31"/>
    </row>
    <row r="209" spans="1:28" ht="27" customHeight="1" x14ac:dyDescent="0.3">
      <c r="A209" s="72" t="s">
        <v>468</v>
      </c>
      <c r="B209" s="73" t="s">
        <v>469</v>
      </c>
      <c r="C209" s="74">
        <f>SUM(C234)</f>
        <v>11877000</v>
      </c>
      <c r="D209" s="75"/>
      <c r="E209" s="76">
        <f>SUM(E234)</f>
        <v>13592000</v>
      </c>
      <c r="F209" s="77">
        <f>SUM(F234)</f>
        <v>9025000</v>
      </c>
      <c r="G209" s="77">
        <f>SUM(G234)</f>
        <v>9025000</v>
      </c>
      <c r="H209" s="158">
        <f>SUM(H210)</f>
        <v>0</v>
      </c>
      <c r="I209" s="158">
        <f t="shared" ref="I209:U209" si="166">SUM(I210)</f>
        <v>0</v>
      </c>
      <c r="J209" s="158">
        <f t="shared" si="166"/>
        <v>0</v>
      </c>
      <c r="K209" s="158">
        <f t="shared" si="166"/>
        <v>0</v>
      </c>
      <c r="L209" s="158">
        <f t="shared" si="166"/>
        <v>0</v>
      </c>
      <c r="M209" s="158">
        <f t="shared" si="166"/>
        <v>0</v>
      </c>
      <c r="N209" s="158">
        <f t="shared" si="166"/>
        <v>0</v>
      </c>
      <c r="O209" s="158">
        <f t="shared" si="166"/>
        <v>0</v>
      </c>
      <c r="P209" s="158">
        <f t="shared" si="166"/>
        <v>10000000</v>
      </c>
      <c r="Q209" s="158">
        <f t="shared" si="166"/>
        <v>13400000</v>
      </c>
      <c r="R209" s="158">
        <f t="shared" si="166"/>
        <v>13400000</v>
      </c>
      <c r="S209" s="158">
        <f t="shared" si="166"/>
        <v>10000000</v>
      </c>
      <c r="T209" s="158">
        <f t="shared" si="166"/>
        <v>10000000</v>
      </c>
      <c r="U209" s="158">
        <f t="shared" si="166"/>
        <v>13400000</v>
      </c>
      <c r="V209" s="506">
        <f t="shared" si="162"/>
        <v>10000000</v>
      </c>
      <c r="W209" s="506">
        <f t="shared" si="163"/>
        <v>0</v>
      </c>
      <c r="X209" s="483"/>
      <c r="Y209" s="486"/>
      <c r="Z209" s="31"/>
      <c r="AA209" s="31"/>
      <c r="AB209" s="31"/>
    </row>
    <row r="210" spans="1:28" ht="18" customHeight="1" x14ac:dyDescent="0.3">
      <c r="A210" s="700" t="s">
        <v>1</v>
      </c>
      <c r="B210" s="700"/>
      <c r="C210" s="85">
        <f>SUM(C211,C215,C227)</f>
        <v>27954000</v>
      </c>
      <c r="D210" s="66"/>
      <c r="E210" s="66">
        <f>SUM(E211,E215,E227)</f>
        <v>29084000</v>
      </c>
      <c r="F210" s="86">
        <f>SUM(F211,F215,F227)</f>
        <v>25527000</v>
      </c>
      <c r="G210" s="86">
        <f>SUM(G211,G215,G227)</f>
        <v>25498000</v>
      </c>
      <c r="H210" s="86">
        <f t="shared" ref="H210:U210" si="167">SUM(H211+H223+H226+H231)</f>
        <v>0</v>
      </c>
      <c r="I210" s="86">
        <f t="shared" si="167"/>
        <v>0</v>
      </c>
      <c r="J210" s="86">
        <f t="shared" si="167"/>
        <v>0</v>
      </c>
      <c r="K210" s="86">
        <f t="shared" si="167"/>
        <v>0</v>
      </c>
      <c r="L210" s="86">
        <f t="shared" si="167"/>
        <v>0</v>
      </c>
      <c r="M210" s="86">
        <f t="shared" si="167"/>
        <v>0</v>
      </c>
      <c r="N210" s="86">
        <f t="shared" si="167"/>
        <v>0</v>
      </c>
      <c r="O210" s="86">
        <f t="shared" si="167"/>
        <v>0</v>
      </c>
      <c r="P210" s="86">
        <f t="shared" si="167"/>
        <v>10000000</v>
      </c>
      <c r="Q210" s="86">
        <f t="shared" si="167"/>
        <v>13400000</v>
      </c>
      <c r="R210" s="86">
        <f t="shared" si="167"/>
        <v>13400000</v>
      </c>
      <c r="S210" s="86">
        <f t="shared" si="167"/>
        <v>10000000</v>
      </c>
      <c r="T210" s="86">
        <f t="shared" si="167"/>
        <v>10000000</v>
      </c>
      <c r="U210" s="86">
        <f t="shared" si="167"/>
        <v>13400000</v>
      </c>
      <c r="V210" s="506">
        <f t="shared" si="162"/>
        <v>10000000</v>
      </c>
      <c r="W210" s="506">
        <f t="shared" si="163"/>
        <v>0</v>
      </c>
      <c r="X210" s="31"/>
      <c r="Y210" s="486"/>
      <c r="Z210" s="31"/>
      <c r="AA210" s="31"/>
      <c r="AB210" s="31"/>
    </row>
    <row r="211" spans="1:28" ht="13.95" customHeight="1" x14ac:dyDescent="0.3">
      <c r="A211" s="540" t="s">
        <v>317</v>
      </c>
      <c r="B211" s="145" t="s">
        <v>318</v>
      </c>
      <c r="C211" s="146">
        <f>SUM(C234,C236,C243,C254,C256)</f>
        <v>27405000</v>
      </c>
      <c r="D211" s="142"/>
      <c r="E211" s="142">
        <f>SUM(E234,E236,E243,E254,E256)</f>
        <v>28905000</v>
      </c>
      <c r="F211" s="142">
        <f>SUM(F234,F236,F243,F254,F256)</f>
        <v>24951000</v>
      </c>
      <c r="G211" s="142">
        <f>SUM(G234,G236,G243,G254,G256)</f>
        <v>24951000</v>
      </c>
      <c r="H211" s="142">
        <f>SUM(H212+H216)</f>
        <v>0</v>
      </c>
      <c r="I211" s="142">
        <f t="shared" ref="I211:U211" si="168">SUM(I212+I216)</f>
        <v>0</v>
      </c>
      <c r="J211" s="142">
        <f t="shared" si="168"/>
        <v>0</v>
      </c>
      <c r="K211" s="142">
        <f t="shared" si="168"/>
        <v>0</v>
      </c>
      <c r="L211" s="142">
        <f t="shared" si="168"/>
        <v>0</v>
      </c>
      <c r="M211" s="142">
        <f t="shared" si="168"/>
        <v>0</v>
      </c>
      <c r="N211" s="142">
        <f t="shared" si="168"/>
        <v>0</v>
      </c>
      <c r="O211" s="142">
        <f t="shared" si="168"/>
        <v>0</v>
      </c>
      <c r="P211" s="142">
        <f t="shared" si="168"/>
        <v>6470000</v>
      </c>
      <c r="Q211" s="142">
        <f t="shared" si="168"/>
        <v>11100000</v>
      </c>
      <c r="R211" s="142">
        <f t="shared" si="168"/>
        <v>11100000</v>
      </c>
      <c r="S211" s="142">
        <f t="shared" si="168"/>
        <v>6470000</v>
      </c>
      <c r="T211" s="142">
        <f t="shared" si="168"/>
        <v>6470000</v>
      </c>
      <c r="U211" s="142">
        <f t="shared" si="168"/>
        <v>11100000</v>
      </c>
      <c r="V211" s="506">
        <f t="shared" si="162"/>
        <v>6470000</v>
      </c>
      <c r="W211" s="506">
        <f t="shared" si="163"/>
        <v>0</v>
      </c>
      <c r="X211" s="31"/>
      <c r="Y211" s="486"/>
      <c r="Z211" s="31"/>
      <c r="AA211" s="31"/>
      <c r="AB211" s="31"/>
    </row>
    <row r="212" spans="1:28" x14ac:dyDescent="0.3">
      <c r="A212" s="541">
        <v>322</v>
      </c>
      <c r="B212" s="89" t="s">
        <v>16</v>
      </c>
      <c r="C212" s="90">
        <f>SUM(C216:C235)</f>
        <v>89662000</v>
      </c>
      <c r="D212" s="62"/>
      <c r="E212" s="62">
        <f>SUM(E216:E235)</f>
        <v>104038000</v>
      </c>
      <c r="F212" s="91">
        <f>SUM(F216:F235)</f>
        <v>72512000</v>
      </c>
      <c r="G212" s="91">
        <f>SUM(G216:G235)</f>
        <v>72778000</v>
      </c>
      <c r="H212" s="91">
        <f>SUM(H214:H215)</f>
        <v>0</v>
      </c>
      <c r="I212" s="91">
        <f t="shared" ref="I212:O212" si="169">SUM(I214:I215)</f>
        <v>0</v>
      </c>
      <c r="J212" s="91">
        <f t="shared" si="169"/>
        <v>0</v>
      </c>
      <c r="K212" s="91">
        <f t="shared" si="169"/>
        <v>0</v>
      </c>
      <c r="L212" s="91">
        <f t="shared" si="169"/>
        <v>0</v>
      </c>
      <c r="M212" s="91">
        <f t="shared" si="169"/>
        <v>0</v>
      </c>
      <c r="N212" s="91">
        <f t="shared" si="169"/>
        <v>0</v>
      </c>
      <c r="O212" s="91">
        <f t="shared" si="169"/>
        <v>0</v>
      </c>
      <c r="P212" s="91">
        <f>SUM(P213:P215)</f>
        <v>5110000</v>
      </c>
      <c r="Q212" s="91">
        <f t="shared" ref="Q212:U212" si="170">SUM(Q213:Q215)</f>
        <v>4750000</v>
      </c>
      <c r="R212" s="91">
        <f t="shared" si="170"/>
        <v>4750000</v>
      </c>
      <c r="S212" s="91">
        <f t="shared" si="170"/>
        <v>5110000</v>
      </c>
      <c r="T212" s="91">
        <f t="shared" si="170"/>
        <v>5110000</v>
      </c>
      <c r="U212" s="91">
        <f t="shared" si="170"/>
        <v>4750000</v>
      </c>
      <c r="V212" s="506">
        <f t="shared" si="162"/>
        <v>5110000</v>
      </c>
      <c r="W212" s="506">
        <f t="shared" si="163"/>
        <v>0</v>
      </c>
      <c r="X212" s="31"/>
      <c r="Y212" s="486"/>
      <c r="Z212" s="31"/>
      <c r="AA212" s="31"/>
      <c r="AB212" s="31"/>
    </row>
    <row r="213" spans="1:28" x14ac:dyDescent="0.3">
      <c r="A213" s="542">
        <v>3223</v>
      </c>
      <c r="B213" s="535" t="s">
        <v>19</v>
      </c>
      <c r="C213" s="94">
        <v>1858000</v>
      </c>
      <c r="D213" s="63"/>
      <c r="E213" s="63">
        <v>1858000</v>
      </c>
      <c r="F213" s="95">
        <v>1858000</v>
      </c>
      <c r="G213" s="95">
        <v>1858000</v>
      </c>
      <c r="H213" s="95"/>
      <c r="I213" s="95"/>
      <c r="J213" s="95"/>
      <c r="K213" s="63"/>
      <c r="L213" s="63"/>
      <c r="M213" s="63"/>
      <c r="N213" s="95"/>
      <c r="O213" s="95"/>
      <c r="P213" s="63">
        <v>10000</v>
      </c>
      <c r="Q213" s="63">
        <v>250000</v>
      </c>
      <c r="R213" s="63">
        <v>250000</v>
      </c>
      <c r="S213" s="70">
        <f>P213-M213</f>
        <v>10000</v>
      </c>
      <c r="T213" s="70">
        <f>P213-N213</f>
        <v>10000</v>
      </c>
      <c r="U213" s="70">
        <f t="shared" ref="U213" si="171">Q213-O213</f>
        <v>250000</v>
      </c>
      <c r="V213" s="506">
        <f t="shared" si="162"/>
        <v>10000</v>
      </c>
      <c r="W213" s="506">
        <f t="shared" si="163"/>
        <v>0</v>
      </c>
      <c r="X213" s="31"/>
      <c r="Y213" s="486"/>
      <c r="Z213" s="31"/>
      <c r="AA213" s="31"/>
      <c r="AB213" s="31"/>
    </row>
    <row r="214" spans="1:28" x14ac:dyDescent="0.3">
      <c r="A214" s="542">
        <v>3225</v>
      </c>
      <c r="B214" s="535" t="s">
        <v>21</v>
      </c>
      <c r="C214" s="94">
        <v>16000</v>
      </c>
      <c r="D214" s="63"/>
      <c r="E214" s="63">
        <v>16000</v>
      </c>
      <c r="F214" s="95">
        <v>7000</v>
      </c>
      <c r="G214" s="95">
        <v>7000</v>
      </c>
      <c r="H214" s="95"/>
      <c r="I214" s="95"/>
      <c r="J214" s="95"/>
      <c r="K214" s="63"/>
      <c r="L214" s="63"/>
      <c r="M214" s="63"/>
      <c r="N214" s="95"/>
      <c r="O214" s="95"/>
      <c r="P214" s="63">
        <v>100000</v>
      </c>
      <c r="Q214" s="63">
        <v>500000</v>
      </c>
      <c r="R214" s="63">
        <v>500000</v>
      </c>
      <c r="S214" s="70">
        <f>P214-M214</f>
        <v>100000</v>
      </c>
      <c r="T214" s="70">
        <f>P214-N214</f>
        <v>100000</v>
      </c>
      <c r="U214" s="70">
        <f>Q214-O214</f>
        <v>500000</v>
      </c>
      <c r="V214" s="506">
        <f t="shared" si="162"/>
        <v>100000</v>
      </c>
      <c r="W214" s="506">
        <f t="shared" si="163"/>
        <v>0</v>
      </c>
      <c r="X214" s="31"/>
      <c r="Y214" s="486"/>
      <c r="Z214" s="31"/>
      <c r="AA214" s="31"/>
      <c r="AB214" s="31"/>
    </row>
    <row r="215" spans="1:28" x14ac:dyDescent="0.3">
      <c r="A215" s="542">
        <v>3227</v>
      </c>
      <c r="B215" s="535" t="s">
        <v>470</v>
      </c>
      <c r="C215" s="94">
        <v>59000</v>
      </c>
      <c r="D215" s="63"/>
      <c r="E215" s="63">
        <v>59000</v>
      </c>
      <c r="F215" s="95">
        <v>66000</v>
      </c>
      <c r="G215" s="95">
        <v>3000</v>
      </c>
      <c r="H215" s="366"/>
      <c r="I215" s="366"/>
      <c r="J215" s="366"/>
      <c r="K215" s="70"/>
      <c r="L215" s="70"/>
      <c r="M215" s="63"/>
      <c r="N215" s="366"/>
      <c r="O215" s="366"/>
      <c r="P215" s="70">
        <v>5000000</v>
      </c>
      <c r="Q215" s="70">
        <v>4000000</v>
      </c>
      <c r="R215" s="70">
        <v>4000000</v>
      </c>
      <c r="S215" s="70">
        <f>P215-M215</f>
        <v>5000000</v>
      </c>
      <c r="T215" s="70">
        <f>P215-N215</f>
        <v>5000000</v>
      </c>
      <c r="U215" s="70">
        <f>Q215-O215</f>
        <v>4000000</v>
      </c>
      <c r="V215" s="506">
        <f t="shared" si="162"/>
        <v>5000000</v>
      </c>
      <c r="W215" s="506">
        <f t="shared" si="163"/>
        <v>0</v>
      </c>
      <c r="X215" s="31"/>
      <c r="Y215" s="486"/>
      <c r="Z215" s="31"/>
      <c r="AA215" s="31"/>
      <c r="AB215" s="31"/>
    </row>
    <row r="216" spans="1:28" x14ac:dyDescent="0.3">
      <c r="A216" s="541">
        <v>323</v>
      </c>
      <c r="B216" s="89" t="s">
        <v>23</v>
      </c>
      <c r="C216" s="90">
        <f>SUM(C234:C243)</f>
        <v>28530000</v>
      </c>
      <c r="D216" s="62"/>
      <c r="E216" s="62">
        <f>SUM(E234:E243)</f>
        <v>37960000</v>
      </c>
      <c r="F216" s="91">
        <f>SUM(F234:F243)</f>
        <v>22826000</v>
      </c>
      <c r="G216" s="91">
        <f>SUM(G234:G243)</f>
        <v>22826000</v>
      </c>
      <c r="H216" s="91">
        <f t="shared" ref="H216:U216" si="172">SUM(H217:H222)</f>
        <v>0</v>
      </c>
      <c r="I216" s="91">
        <f t="shared" si="172"/>
        <v>0</v>
      </c>
      <c r="J216" s="91">
        <f t="shared" si="172"/>
        <v>0</v>
      </c>
      <c r="K216" s="91">
        <f t="shared" si="172"/>
        <v>0</v>
      </c>
      <c r="L216" s="91">
        <f t="shared" si="172"/>
        <v>0</v>
      </c>
      <c r="M216" s="91">
        <f t="shared" si="172"/>
        <v>0</v>
      </c>
      <c r="N216" s="91">
        <f t="shared" si="172"/>
        <v>0</v>
      </c>
      <c r="O216" s="91">
        <f t="shared" si="172"/>
        <v>0</v>
      </c>
      <c r="P216" s="91">
        <f t="shared" si="172"/>
        <v>1360000</v>
      </c>
      <c r="Q216" s="91">
        <f t="shared" si="172"/>
        <v>6350000</v>
      </c>
      <c r="R216" s="91">
        <f t="shared" si="172"/>
        <v>6350000</v>
      </c>
      <c r="S216" s="91">
        <f t="shared" si="172"/>
        <v>1360000</v>
      </c>
      <c r="T216" s="91">
        <f t="shared" si="172"/>
        <v>1360000</v>
      </c>
      <c r="U216" s="91">
        <f t="shared" si="172"/>
        <v>6350000</v>
      </c>
      <c r="V216" s="506">
        <f t="shared" si="162"/>
        <v>1360000</v>
      </c>
      <c r="W216" s="506">
        <f t="shared" si="163"/>
        <v>0</v>
      </c>
      <c r="X216" s="31"/>
      <c r="Y216" s="486"/>
      <c r="Z216" s="31"/>
      <c r="AA216" s="31"/>
      <c r="AB216" s="31"/>
    </row>
    <row r="217" spans="1:28" x14ac:dyDescent="0.3">
      <c r="A217" s="542">
        <v>3232</v>
      </c>
      <c r="B217" s="535" t="s">
        <v>25</v>
      </c>
      <c r="C217" s="94">
        <v>1858000</v>
      </c>
      <c r="D217" s="63"/>
      <c r="E217" s="63">
        <v>2158000</v>
      </c>
      <c r="F217" s="95">
        <v>1858000</v>
      </c>
      <c r="G217" s="95">
        <v>1858000</v>
      </c>
      <c r="H217" s="95"/>
      <c r="I217" s="95"/>
      <c r="J217" s="95"/>
      <c r="K217" s="63"/>
      <c r="L217" s="63"/>
      <c r="M217" s="63"/>
      <c r="N217" s="95"/>
      <c r="O217" s="95"/>
      <c r="P217" s="63">
        <v>480000</v>
      </c>
      <c r="Q217" s="63">
        <v>1760000</v>
      </c>
      <c r="R217" s="63">
        <v>1760000</v>
      </c>
      <c r="S217" s="70">
        <f>P217-M217</f>
        <v>480000</v>
      </c>
      <c r="T217" s="70">
        <f t="shared" ref="T217:U222" si="173">P217-N217</f>
        <v>480000</v>
      </c>
      <c r="U217" s="70">
        <f t="shared" si="173"/>
        <v>1760000</v>
      </c>
      <c r="V217" s="506">
        <f t="shared" si="162"/>
        <v>480000</v>
      </c>
      <c r="W217" s="506">
        <f t="shared" si="163"/>
        <v>0</v>
      </c>
      <c r="X217" s="31"/>
      <c r="Y217" s="486"/>
      <c r="Z217" s="31"/>
      <c r="AA217" s="31"/>
      <c r="AB217" s="31"/>
    </row>
    <row r="218" spans="1:28" x14ac:dyDescent="0.3">
      <c r="A218" s="542">
        <v>3234</v>
      </c>
      <c r="B218" s="535" t="s">
        <v>27</v>
      </c>
      <c r="C218" s="94">
        <v>13000</v>
      </c>
      <c r="D218" s="63"/>
      <c r="E218" s="63">
        <v>13000</v>
      </c>
      <c r="F218" s="95">
        <v>7000</v>
      </c>
      <c r="G218" s="95">
        <v>7000</v>
      </c>
      <c r="H218" s="95"/>
      <c r="I218" s="95"/>
      <c r="J218" s="95"/>
      <c r="K218" s="63"/>
      <c r="L218" s="63"/>
      <c r="M218" s="63"/>
      <c r="N218" s="95"/>
      <c r="O218" s="95"/>
      <c r="P218" s="63">
        <v>10000</v>
      </c>
      <c r="Q218" s="63">
        <v>250000</v>
      </c>
      <c r="R218" s="63">
        <v>250000</v>
      </c>
      <c r="S218" s="70">
        <f>P218-M218</f>
        <v>10000</v>
      </c>
      <c r="T218" s="70">
        <f>P218-N218</f>
        <v>10000</v>
      </c>
      <c r="U218" s="70">
        <f t="shared" si="173"/>
        <v>250000</v>
      </c>
      <c r="V218" s="506">
        <f t="shared" si="162"/>
        <v>10000</v>
      </c>
      <c r="W218" s="506">
        <f t="shared" si="163"/>
        <v>0</v>
      </c>
      <c r="X218" s="31"/>
      <c r="Y218" s="486"/>
      <c r="Z218" s="31"/>
      <c r="AA218" s="31"/>
      <c r="AB218" s="31"/>
    </row>
    <row r="219" spans="1:28" x14ac:dyDescent="0.3">
      <c r="A219" s="542">
        <v>3236</v>
      </c>
      <c r="B219" s="535" t="s">
        <v>29</v>
      </c>
      <c r="C219" s="94">
        <v>2000</v>
      </c>
      <c r="D219" s="63"/>
      <c r="E219" s="63">
        <v>2000</v>
      </c>
      <c r="F219" s="95">
        <v>2000</v>
      </c>
      <c r="G219" s="95">
        <v>2000</v>
      </c>
      <c r="H219" s="95"/>
      <c r="I219" s="95"/>
      <c r="J219" s="95"/>
      <c r="K219" s="63"/>
      <c r="L219" s="63"/>
      <c r="M219" s="63"/>
      <c r="N219" s="95"/>
      <c r="O219" s="95"/>
      <c r="P219" s="63">
        <f>600000-100000</f>
        <v>500000</v>
      </c>
      <c r="Q219" s="63">
        <v>600000</v>
      </c>
      <c r="R219" s="63">
        <v>600000</v>
      </c>
      <c r="S219" s="70">
        <f t="shared" ref="S219:S222" si="174">P219-M219</f>
        <v>500000</v>
      </c>
      <c r="T219" s="70">
        <f t="shared" si="173"/>
        <v>500000</v>
      </c>
      <c r="U219" s="70">
        <f t="shared" si="173"/>
        <v>600000</v>
      </c>
      <c r="V219" s="506">
        <f t="shared" si="162"/>
        <v>500000</v>
      </c>
      <c r="W219" s="506">
        <f t="shared" si="163"/>
        <v>0</v>
      </c>
      <c r="X219" s="31"/>
      <c r="Y219" s="486"/>
      <c r="Z219" s="31"/>
      <c r="AA219" s="31"/>
      <c r="AB219" s="31"/>
    </row>
    <row r="220" spans="1:28" x14ac:dyDescent="0.3">
      <c r="A220" s="542">
        <v>3237</v>
      </c>
      <c r="B220" s="535" t="s">
        <v>30</v>
      </c>
      <c r="C220" s="94">
        <v>191000</v>
      </c>
      <c r="D220" s="63"/>
      <c r="E220" s="63">
        <v>41000</v>
      </c>
      <c r="F220" s="95">
        <v>197000</v>
      </c>
      <c r="G220" s="95">
        <v>157000</v>
      </c>
      <c r="H220" s="95"/>
      <c r="I220" s="95"/>
      <c r="J220" s="95"/>
      <c r="K220" s="63"/>
      <c r="L220" s="63"/>
      <c r="M220" s="63"/>
      <c r="N220" s="95"/>
      <c r="O220" s="95"/>
      <c r="P220" s="63">
        <v>30000</v>
      </c>
      <c r="Q220" s="63">
        <v>700000</v>
      </c>
      <c r="R220" s="63">
        <v>700000</v>
      </c>
      <c r="S220" s="70">
        <f t="shared" si="174"/>
        <v>30000</v>
      </c>
      <c r="T220" s="70">
        <f t="shared" si="173"/>
        <v>30000</v>
      </c>
      <c r="U220" s="70">
        <f t="shared" si="173"/>
        <v>700000</v>
      </c>
      <c r="V220" s="506">
        <f t="shared" si="162"/>
        <v>30000</v>
      </c>
      <c r="W220" s="506">
        <f t="shared" si="163"/>
        <v>0</v>
      </c>
      <c r="X220" s="31"/>
      <c r="Y220" s="486"/>
      <c r="Z220" s="31"/>
      <c r="AA220" s="31"/>
      <c r="AB220" s="31"/>
    </row>
    <row r="221" spans="1:28" x14ac:dyDescent="0.3">
      <c r="A221" s="542">
        <v>3239</v>
      </c>
      <c r="B221" s="535" t="s">
        <v>31</v>
      </c>
      <c r="C221" s="94">
        <v>132000</v>
      </c>
      <c r="D221" s="63"/>
      <c r="E221" s="63">
        <v>132000</v>
      </c>
      <c r="F221" s="95">
        <v>157000</v>
      </c>
      <c r="G221" s="95">
        <v>157000</v>
      </c>
      <c r="H221" s="95"/>
      <c r="I221" s="95"/>
      <c r="J221" s="95"/>
      <c r="K221" s="63"/>
      <c r="L221" s="63"/>
      <c r="M221" s="63"/>
      <c r="N221" s="95"/>
      <c r="O221" s="95"/>
      <c r="P221" s="63">
        <v>300000</v>
      </c>
      <c r="Q221" s="63">
        <v>3000000</v>
      </c>
      <c r="R221" s="63">
        <v>3000000</v>
      </c>
      <c r="S221" s="70">
        <f t="shared" si="174"/>
        <v>300000</v>
      </c>
      <c r="T221" s="70">
        <f t="shared" si="173"/>
        <v>300000</v>
      </c>
      <c r="U221" s="70">
        <f t="shared" si="173"/>
        <v>3000000</v>
      </c>
      <c r="V221" s="506">
        <f t="shared" si="162"/>
        <v>300000</v>
      </c>
      <c r="W221" s="506">
        <f t="shared" si="163"/>
        <v>0</v>
      </c>
      <c r="X221" s="31"/>
      <c r="Y221" s="486"/>
      <c r="Z221" s="31"/>
      <c r="AA221" s="31"/>
      <c r="AB221" s="31"/>
    </row>
    <row r="222" spans="1:28" x14ac:dyDescent="0.3">
      <c r="A222" s="542">
        <v>3292</v>
      </c>
      <c r="B222" s="535" t="s">
        <v>35</v>
      </c>
      <c r="C222" s="94">
        <v>7000</v>
      </c>
      <c r="D222" s="63"/>
      <c r="E222" s="63">
        <v>7000</v>
      </c>
      <c r="F222" s="95">
        <v>7000</v>
      </c>
      <c r="G222" s="95">
        <v>7000</v>
      </c>
      <c r="H222" s="95"/>
      <c r="I222" s="95"/>
      <c r="J222" s="95"/>
      <c r="K222" s="63"/>
      <c r="L222" s="63"/>
      <c r="M222" s="63"/>
      <c r="N222" s="95"/>
      <c r="O222" s="95"/>
      <c r="P222" s="63">
        <v>40000</v>
      </c>
      <c r="Q222" s="63">
        <v>40000</v>
      </c>
      <c r="R222" s="63">
        <v>40000</v>
      </c>
      <c r="S222" s="70">
        <f t="shared" si="174"/>
        <v>40000</v>
      </c>
      <c r="T222" s="70">
        <f t="shared" si="173"/>
        <v>40000</v>
      </c>
      <c r="U222" s="70">
        <f t="shared" si="173"/>
        <v>40000</v>
      </c>
      <c r="V222" s="506">
        <f t="shared" si="162"/>
        <v>40000</v>
      </c>
      <c r="W222" s="506">
        <f t="shared" si="163"/>
        <v>0</v>
      </c>
      <c r="X222" s="31"/>
      <c r="Y222" s="486"/>
      <c r="Z222" s="31"/>
      <c r="AA222" s="31"/>
      <c r="AB222" s="31"/>
    </row>
    <row r="223" spans="1:28" ht="26.4" x14ac:dyDescent="0.3">
      <c r="A223" s="144" t="s">
        <v>321</v>
      </c>
      <c r="B223" s="145" t="s">
        <v>322</v>
      </c>
      <c r="C223" s="531">
        <f t="shared" ref="C223:G223" si="175">SUM(C224)</f>
        <v>15684000</v>
      </c>
      <c r="D223" s="141"/>
      <c r="E223" s="141">
        <f t="shared" si="175"/>
        <v>16711000</v>
      </c>
      <c r="F223" s="364">
        <f t="shared" si="175"/>
        <v>12811000</v>
      </c>
      <c r="G223" s="364">
        <f t="shared" si="175"/>
        <v>12913000</v>
      </c>
      <c r="H223" s="364">
        <f>SUM(H224)</f>
        <v>0</v>
      </c>
      <c r="I223" s="364">
        <f t="shared" ref="I223:U224" si="176">SUM(I224)</f>
        <v>0</v>
      </c>
      <c r="J223" s="364">
        <f t="shared" si="176"/>
        <v>0</v>
      </c>
      <c r="K223" s="364">
        <f t="shared" si="176"/>
        <v>0</v>
      </c>
      <c r="L223" s="364">
        <f t="shared" si="176"/>
        <v>0</v>
      </c>
      <c r="M223" s="364">
        <f t="shared" si="176"/>
        <v>0</v>
      </c>
      <c r="N223" s="364">
        <f t="shared" si="176"/>
        <v>0</v>
      </c>
      <c r="O223" s="364">
        <f t="shared" si="176"/>
        <v>0</v>
      </c>
      <c r="P223" s="364">
        <f t="shared" si="176"/>
        <v>30000</v>
      </c>
      <c r="Q223" s="364">
        <f t="shared" si="176"/>
        <v>1000000</v>
      </c>
      <c r="R223" s="364">
        <f t="shared" si="176"/>
        <v>1000000</v>
      </c>
      <c r="S223" s="364">
        <f t="shared" si="176"/>
        <v>30000</v>
      </c>
      <c r="T223" s="364">
        <f t="shared" si="176"/>
        <v>30000</v>
      </c>
      <c r="U223" s="364">
        <f t="shared" si="176"/>
        <v>1000000</v>
      </c>
      <c r="V223" s="506">
        <f t="shared" si="162"/>
        <v>30000</v>
      </c>
      <c r="W223" s="506">
        <f t="shared" si="163"/>
        <v>0</v>
      </c>
      <c r="X223" s="60"/>
      <c r="Y223" s="490"/>
      <c r="Z223" s="31"/>
      <c r="AA223" s="31"/>
      <c r="AB223" s="31"/>
    </row>
    <row r="224" spans="1:28" ht="26.4" x14ac:dyDescent="0.3">
      <c r="A224" s="550">
        <v>372</v>
      </c>
      <c r="B224" s="89" t="s">
        <v>44</v>
      </c>
      <c r="C224" s="90">
        <f t="shared" ref="C224" si="177">SUM(C225:C234)</f>
        <v>15684000</v>
      </c>
      <c r="D224" s="62"/>
      <c r="E224" s="62">
        <f t="shared" ref="E224:F224" si="178">SUM(E225:E234)</f>
        <v>16711000</v>
      </c>
      <c r="F224" s="91">
        <f t="shared" si="178"/>
        <v>12811000</v>
      </c>
      <c r="G224" s="91">
        <f>SUM(G225:G234)</f>
        <v>12913000</v>
      </c>
      <c r="H224" s="91">
        <f>SUM(H225)</f>
        <v>0</v>
      </c>
      <c r="I224" s="91">
        <f t="shared" si="176"/>
        <v>0</v>
      </c>
      <c r="J224" s="91">
        <f t="shared" si="176"/>
        <v>0</v>
      </c>
      <c r="K224" s="91">
        <f t="shared" si="176"/>
        <v>0</v>
      </c>
      <c r="L224" s="91">
        <f t="shared" si="176"/>
        <v>0</v>
      </c>
      <c r="M224" s="91">
        <f t="shared" si="176"/>
        <v>0</v>
      </c>
      <c r="N224" s="91">
        <f t="shared" si="176"/>
        <v>0</v>
      </c>
      <c r="O224" s="91">
        <f t="shared" si="176"/>
        <v>0</v>
      </c>
      <c r="P224" s="91">
        <f t="shared" si="176"/>
        <v>30000</v>
      </c>
      <c r="Q224" s="91">
        <f t="shared" si="176"/>
        <v>1000000</v>
      </c>
      <c r="R224" s="91">
        <f t="shared" si="176"/>
        <v>1000000</v>
      </c>
      <c r="S224" s="91">
        <f t="shared" si="176"/>
        <v>30000</v>
      </c>
      <c r="T224" s="91">
        <f t="shared" si="176"/>
        <v>30000</v>
      </c>
      <c r="U224" s="91">
        <f t="shared" si="176"/>
        <v>1000000</v>
      </c>
      <c r="V224" s="506">
        <f t="shared" si="162"/>
        <v>30000</v>
      </c>
      <c r="W224" s="506">
        <f t="shared" si="163"/>
        <v>0</v>
      </c>
      <c r="X224" s="31"/>
      <c r="Y224" s="486"/>
      <c r="Z224" s="31"/>
      <c r="AA224" s="31"/>
      <c r="AB224" s="31"/>
    </row>
    <row r="225" spans="1:28" ht="12.75" customHeight="1" x14ac:dyDescent="0.3">
      <c r="A225" s="542">
        <v>3721</v>
      </c>
      <c r="B225" s="535" t="s">
        <v>45</v>
      </c>
      <c r="C225" s="551">
        <v>2256000</v>
      </c>
      <c r="D225" s="71"/>
      <c r="E225" s="71">
        <v>2756000</v>
      </c>
      <c r="F225" s="368">
        <v>2256000</v>
      </c>
      <c r="G225" s="368">
        <v>2256000</v>
      </c>
      <c r="H225" s="368"/>
      <c r="I225" s="368"/>
      <c r="J225" s="368"/>
      <c r="K225" s="71"/>
      <c r="L225" s="71"/>
      <c r="M225" s="63"/>
      <c r="N225" s="368"/>
      <c r="O225" s="368"/>
      <c r="P225" s="71">
        <v>30000</v>
      </c>
      <c r="Q225" s="71">
        <v>1000000</v>
      </c>
      <c r="R225" s="71">
        <v>1000000</v>
      </c>
      <c r="S225" s="70">
        <f t="shared" ref="S225" si="179">P225-M225</f>
        <v>30000</v>
      </c>
      <c r="T225" s="70">
        <f>P225-N225</f>
        <v>30000</v>
      </c>
      <c r="U225" s="70">
        <f>Q225-O225</f>
        <v>1000000</v>
      </c>
      <c r="V225" s="506">
        <f t="shared" si="162"/>
        <v>30000</v>
      </c>
      <c r="W225" s="506">
        <f t="shared" si="163"/>
        <v>0</v>
      </c>
      <c r="X225" s="31"/>
      <c r="Y225" s="486"/>
      <c r="Z225" s="31"/>
      <c r="AA225" s="31"/>
      <c r="AB225" s="31"/>
    </row>
    <row r="226" spans="1:28" ht="25.2" customHeight="1" x14ac:dyDescent="0.3">
      <c r="A226" s="553" t="s">
        <v>323</v>
      </c>
      <c r="B226" s="145" t="s">
        <v>324</v>
      </c>
      <c r="C226" s="531">
        <f t="shared" ref="C226:G226" si="180">SUM(C227)</f>
        <v>490000</v>
      </c>
      <c r="D226" s="141"/>
      <c r="E226" s="141">
        <f t="shared" si="180"/>
        <v>120000</v>
      </c>
      <c r="F226" s="364">
        <f t="shared" si="180"/>
        <v>510000</v>
      </c>
      <c r="G226" s="364">
        <f t="shared" si="180"/>
        <v>544000</v>
      </c>
      <c r="H226" s="364">
        <f>SUM(H227)</f>
        <v>0</v>
      </c>
      <c r="I226" s="364">
        <f t="shared" ref="I226:U226" si="181">SUM(I227)</f>
        <v>0</v>
      </c>
      <c r="J226" s="364">
        <f t="shared" si="181"/>
        <v>0</v>
      </c>
      <c r="K226" s="364">
        <f t="shared" si="181"/>
        <v>0</v>
      </c>
      <c r="L226" s="364">
        <f t="shared" si="181"/>
        <v>0</v>
      </c>
      <c r="M226" s="364">
        <f t="shared" si="181"/>
        <v>0</v>
      </c>
      <c r="N226" s="364">
        <f t="shared" si="181"/>
        <v>0</v>
      </c>
      <c r="O226" s="364">
        <f t="shared" si="181"/>
        <v>0</v>
      </c>
      <c r="P226" s="364">
        <f t="shared" si="181"/>
        <v>500000</v>
      </c>
      <c r="Q226" s="364">
        <f t="shared" si="181"/>
        <v>300000</v>
      </c>
      <c r="R226" s="364">
        <f t="shared" si="181"/>
        <v>300000</v>
      </c>
      <c r="S226" s="364">
        <f t="shared" si="181"/>
        <v>500000</v>
      </c>
      <c r="T226" s="364">
        <f t="shared" si="181"/>
        <v>500000</v>
      </c>
      <c r="U226" s="364">
        <f t="shared" si="181"/>
        <v>300000</v>
      </c>
      <c r="V226" s="506">
        <f t="shared" si="162"/>
        <v>500000</v>
      </c>
      <c r="W226" s="506">
        <f t="shared" si="163"/>
        <v>0</v>
      </c>
      <c r="X226" s="31"/>
      <c r="Y226" s="486"/>
      <c r="Z226" s="31"/>
      <c r="AA226" s="31"/>
      <c r="AB226" s="31"/>
    </row>
    <row r="227" spans="1:28" ht="12" customHeight="1" x14ac:dyDescent="0.3">
      <c r="A227" s="554">
        <v>422</v>
      </c>
      <c r="B227" s="89" t="s">
        <v>129</v>
      </c>
      <c r="C227" s="90">
        <f t="shared" ref="C227" si="182">SUM(C228:C230)</f>
        <v>490000</v>
      </c>
      <c r="D227" s="62"/>
      <c r="E227" s="62">
        <f t="shared" ref="E227:F227" si="183">SUM(E228:E230)</f>
        <v>120000</v>
      </c>
      <c r="F227" s="91">
        <f t="shared" si="183"/>
        <v>510000</v>
      </c>
      <c r="G227" s="91">
        <f>SUM(G228:G230)</f>
        <v>544000</v>
      </c>
      <c r="H227" s="91">
        <f>SUM(H229:H230)</f>
        <v>0</v>
      </c>
      <c r="I227" s="91">
        <f t="shared" ref="I227:U227" si="184">SUM(I229:I230)</f>
        <v>0</v>
      </c>
      <c r="J227" s="91">
        <f t="shared" si="184"/>
        <v>0</v>
      </c>
      <c r="K227" s="91">
        <f t="shared" si="184"/>
        <v>0</v>
      </c>
      <c r="L227" s="91">
        <f t="shared" si="184"/>
        <v>0</v>
      </c>
      <c r="M227" s="91">
        <f t="shared" si="184"/>
        <v>0</v>
      </c>
      <c r="N227" s="91">
        <f t="shared" si="184"/>
        <v>0</v>
      </c>
      <c r="O227" s="91">
        <f t="shared" si="184"/>
        <v>0</v>
      </c>
      <c r="P227" s="91">
        <f t="shared" si="184"/>
        <v>500000</v>
      </c>
      <c r="Q227" s="91">
        <f t="shared" si="184"/>
        <v>300000</v>
      </c>
      <c r="R227" s="91">
        <f t="shared" si="184"/>
        <v>300000</v>
      </c>
      <c r="S227" s="91">
        <f t="shared" si="184"/>
        <v>500000</v>
      </c>
      <c r="T227" s="91">
        <f t="shared" si="184"/>
        <v>500000</v>
      </c>
      <c r="U227" s="91">
        <f t="shared" si="184"/>
        <v>300000</v>
      </c>
      <c r="V227" s="506">
        <f t="shared" si="162"/>
        <v>500000</v>
      </c>
      <c r="W227" s="506">
        <f t="shared" si="163"/>
        <v>0</v>
      </c>
      <c r="X227" s="31"/>
      <c r="Y227" s="486"/>
      <c r="Z227" s="31"/>
      <c r="AA227" s="31"/>
      <c r="AB227" s="31"/>
    </row>
    <row r="228" spans="1:28" ht="13.05" hidden="1" x14ac:dyDescent="0.3">
      <c r="A228" s="92">
        <v>4221</v>
      </c>
      <c r="B228" s="93" t="s">
        <v>54</v>
      </c>
      <c r="C228" s="94"/>
      <c r="D228" s="63"/>
      <c r="E228" s="63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506">
        <f t="shared" si="162"/>
        <v>0</v>
      </c>
      <c r="W228" s="506">
        <f t="shared" si="163"/>
        <v>0</v>
      </c>
      <c r="X228" s="31"/>
      <c r="Y228" s="486"/>
      <c r="Z228" s="31"/>
      <c r="AA228" s="31"/>
      <c r="AB228" s="31"/>
    </row>
    <row r="229" spans="1:28" x14ac:dyDescent="0.3">
      <c r="A229" s="92">
        <v>4221</v>
      </c>
      <c r="B229" s="93" t="s">
        <v>54</v>
      </c>
      <c r="C229" s="551">
        <v>225000</v>
      </c>
      <c r="D229" s="71"/>
      <c r="E229" s="71">
        <v>75000</v>
      </c>
      <c r="F229" s="368">
        <v>245000</v>
      </c>
      <c r="G229" s="368">
        <v>279000</v>
      </c>
      <c r="H229" s="368"/>
      <c r="I229" s="368"/>
      <c r="J229" s="368"/>
      <c r="K229" s="71"/>
      <c r="L229" s="71"/>
      <c r="M229" s="63"/>
      <c r="N229" s="368"/>
      <c r="O229" s="368"/>
      <c r="P229" s="71">
        <v>250000</v>
      </c>
      <c r="Q229" s="71">
        <v>200000</v>
      </c>
      <c r="R229" s="71">
        <v>200000</v>
      </c>
      <c r="S229" s="70">
        <f t="shared" ref="S229:S230" si="185">P229-M229</f>
        <v>250000</v>
      </c>
      <c r="T229" s="70">
        <f>P229-N229</f>
        <v>250000</v>
      </c>
      <c r="U229" s="70">
        <f>Q229-O229</f>
        <v>200000</v>
      </c>
      <c r="V229" s="506">
        <f t="shared" si="162"/>
        <v>250000</v>
      </c>
      <c r="W229" s="506">
        <f t="shared" si="163"/>
        <v>0</v>
      </c>
      <c r="X229" s="31"/>
      <c r="Y229" s="486"/>
      <c r="Z229" s="31"/>
      <c r="AA229" s="31"/>
      <c r="AB229" s="31"/>
    </row>
    <row r="230" spans="1:28" ht="12.75" customHeight="1" x14ac:dyDescent="0.3">
      <c r="A230" s="555">
        <v>4227</v>
      </c>
      <c r="B230" s="535" t="s">
        <v>60</v>
      </c>
      <c r="C230" s="94">
        <v>265000</v>
      </c>
      <c r="D230" s="63"/>
      <c r="E230" s="63">
        <v>45000</v>
      </c>
      <c r="F230" s="95">
        <v>265000</v>
      </c>
      <c r="G230" s="95">
        <v>265000</v>
      </c>
      <c r="H230" s="95"/>
      <c r="I230" s="95"/>
      <c r="J230" s="95"/>
      <c r="K230" s="63"/>
      <c r="L230" s="63"/>
      <c r="M230" s="63"/>
      <c r="N230" s="95"/>
      <c r="O230" s="95"/>
      <c r="P230" s="63">
        <v>250000</v>
      </c>
      <c r="Q230" s="63">
        <v>100000</v>
      </c>
      <c r="R230" s="63">
        <v>100000</v>
      </c>
      <c r="S230" s="70">
        <f t="shared" si="185"/>
        <v>250000</v>
      </c>
      <c r="T230" s="70">
        <f>P230-N230</f>
        <v>250000</v>
      </c>
      <c r="U230" s="70">
        <f>Q230-O230</f>
        <v>100000</v>
      </c>
      <c r="V230" s="506">
        <f t="shared" si="162"/>
        <v>250000</v>
      </c>
      <c r="W230" s="506">
        <f t="shared" si="163"/>
        <v>0</v>
      </c>
      <c r="X230" s="31"/>
      <c r="Y230" s="486"/>
      <c r="Z230" s="31"/>
      <c r="AA230" s="31"/>
      <c r="AB230" s="31"/>
    </row>
    <row r="231" spans="1:28" ht="26.4" x14ac:dyDescent="0.3">
      <c r="A231" s="144">
        <v>45</v>
      </c>
      <c r="B231" s="145" t="s">
        <v>329</v>
      </c>
      <c r="C231" s="531">
        <f t="shared" ref="C231:G231" si="186">SUM(C232)</f>
        <v>27000</v>
      </c>
      <c r="D231" s="141"/>
      <c r="E231" s="141">
        <f t="shared" si="186"/>
        <v>1000</v>
      </c>
      <c r="F231" s="364">
        <f t="shared" si="186"/>
        <v>0</v>
      </c>
      <c r="G231" s="364">
        <f t="shared" si="186"/>
        <v>0</v>
      </c>
      <c r="H231" s="364">
        <f>SUM(H232)</f>
        <v>0</v>
      </c>
      <c r="I231" s="364">
        <f t="shared" ref="I231:U232" si="187">SUM(I232)</f>
        <v>0</v>
      </c>
      <c r="J231" s="364">
        <f t="shared" si="187"/>
        <v>0</v>
      </c>
      <c r="K231" s="364">
        <f t="shared" si="187"/>
        <v>0</v>
      </c>
      <c r="L231" s="364">
        <f t="shared" si="187"/>
        <v>0</v>
      </c>
      <c r="M231" s="364">
        <f t="shared" si="187"/>
        <v>0</v>
      </c>
      <c r="N231" s="364">
        <f t="shared" si="187"/>
        <v>0</v>
      </c>
      <c r="O231" s="364">
        <f t="shared" si="187"/>
        <v>0</v>
      </c>
      <c r="P231" s="364">
        <f t="shared" si="187"/>
        <v>3000000</v>
      </c>
      <c r="Q231" s="364">
        <f t="shared" si="187"/>
        <v>1000000</v>
      </c>
      <c r="R231" s="364">
        <f t="shared" si="187"/>
        <v>1000000</v>
      </c>
      <c r="S231" s="364">
        <f t="shared" si="187"/>
        <v>3000000</v>
      </c>
      <c r="T231" s="364">
        <f t="shared" si="187"/>
        <v>3000000</v>
      </c>
      <c r="U231" s="364">
        <f t="shared" si="187"/>
        <v>1000000</v>
      </c>
      <c r="V231" s="506">
        <f t="shared" si="162"/>
        <v>3000000</v>
      </c>
      <c r="W231" s="506">
        <f t="shared" si="163"/>
        <v>0</v>
      </c>
      <c r="X231" s="31"/>
      <c r="Y231" s="486"/>
      <c r="Z231" s="31"/>
      <c r="AA231" s="31"/>
      <c r="AB231" s="31"/>
    </row>
    <row r="232" spans="1:28" x14ac:dyDescent="0.3">
      <c r="A232" s="88">
        <v>451</v>
      </c>
      <c r="B232" s="556" t="s">
        <v>55</v>
      </c>
      <c r="C232" s="90">
        <f t="shared" ref="C232:G232" si="188">SUM(C233:C233)</f>
        <v>27000</v>
      </c>
      <c r="D232" s="62"/>
      <c r="E232" s="62">
        <f t="shared" si="188"/>
        <v>1000</v>
      </c>
      <c r="F232" s="91">
        <f t="shared" si="188"/>
        <v>0</v>
      </c>
      <c r="G232" s="91">
        <f t="shared" si="188"/>
        <v>0</v>
      </c>
      <c r="H232" s="91">
        <f>SUM(H233)</f>
        <v>0</v>
      </c>
      <c r="I232" s="91">
        <f t="shared" si="187"/>
        <v>0</v>
      </c>
      <c r="J232" s="91">
        <f t="shared" si="187"/>
        <v>0</v>
      </c>
      <c r="K232" s="91">
        <f t="shared" si="187"/>
        <v>0</v>
      </c>
      <c r="L232" s="91">
        <f t="shared" si="187"/>
        <v>0</v>
      </c>
      <c r="M232" s="91">
        <f t="shared" si="187"/>
        <v>0</v>
      </c>
      <c r="N232" s="91">
        <f t="shared" si="187"/>
        <v>0</v>
      </c>
      <c r="O232" s="91">
        <f t="shared" si="187"/>
        <v>0</v>
      </c>
      <c r="P232" s="91">
        <f t="shared" si="187"/>
        <v>3000000</v>
      </c>
      <c r="Q232" s="91">
        <f t="shared" si="187"/>
        <v>1000000</v>
      </c>
      <c r="R232" s="91">
        <f t="shared" si="187"/>
        <v>1000000</v>
      </c>
      <c r="S232" s="91">
        <f t="shared" si="187"/>
        <v>3000000</v>
      </c>
      <c r="T232" s="91">
        <f t="shared" si="187"/>
        <v>3000000</v>
      </c>
      <c r="U232" s="91">
        <f t="shared" si="187"/>
        <v>1000000</v>
      </c>
      <c r="V232" s="506">
        <f t="shared" si="162"/>
        <v>3000000</v>
      </c>
      <c r="W232" s="506">
        <f t="shared" si="163"/>
        <v>0</v>
      </c>
      <c r="X232" s="31"/>
      <c r="Y232" s="486"/>
      <c r="Z232" s="31"/>
      <c r="AA232" s="31"/>
      <c r="AB232" s="31"/>
    </row>
    <row r="233" spans="1:28" x14ac:dyDescent="0.3">
      <c r="A233" s="92">
        <v>4511</v>
      </c>
      <c r="B233" s="93" t="s">
        <v>55</v>
      </c>
      <c r="C233" s="551">
        <v>27000</v>
      </c>
      <c r="D233" s="71"/>
      <c r="E233" s="71">
        <v>1000</v>
      </c>
      <c r="F233" s="368"/>
      <c r="G233" s="368"/>
      <c r="H233" s="368"/>
      <c r="I233" s="368"/>
      <c r="J233" s="368"/>
      <c r="K233" s="368"/>
      <c r="L233" s="368"/>
      <c r="M233" s="368"/>
      <c r="N233" s="368"/>
      <c r="O233" s="368"/>
      <c r="P233" s="71">
        <v>3000000</v>
      </c>
      <c r="Q233" s="71">
        <v>1000000</v>
      </c>
      <c r="R233" s="71">
        <v>1000000</v>
      </c>
      <c r="S233" s="70">
        <f t="shared" ref="S233" si="189">P233-M233</f>
        <v>3000000</v>
      </c>
      <c r="T233" s="70">
        <f>P233-N233</f>
        <v>3000000</v>
      </c>
      <c r="U233" s="70">
        <f>Q233-O233</f>
        <v>1000000</v>
      </c>
      <c r="V233" s="506">
        <f t="shared" si="162"/>
        <v>3000000</v>
      </c>
      <c r="W233" s="506">
        <f t="shared" si="163"/>
        <v>0</v>
      </c>
      <c r="X233" s="31"/>
      <c r="Y233" s="486"/>
      <c r="Z233" s="31"/>
      <c r="AA233" s="31"/>
      <c r="AB233" s="31"/>
    </row>
    <row r="234" spans="1:28" ht="27" customHeight="1" x14ac:dyDescent="0.3">
      <c r="A234" s="72" t="s">
        <v>49</v>
      </c>
      <c r="B234" s="73" t="s">
        <v>50</v>
      </c>
      <c r="C234" s="74">
        <f t="shared" ref="C234:U234" si="190">SUM(C235)</f>
        <v>11877000</v>
      </c>
      <c r="D234" s="75"/>
      <c r="E234" s="76">
        <f t="shared" si="190"/>
        <v>13592000</v>
      </c>
      <c r="F234" s="77">
        <f t="shared" si="190"/>
        <v>9025000</v>
      </c>
      <c r="G234" s="77">
        <f t="shared" si="190"/>
        <v>9025000</v>
      </c>
      <c r="H234" s="77">
        <f t="shared" si="190"/>
        <v>13575000</v>
      </c>
      <c r="I234" s="77">
        <f t="shared" si="190"/>
        <v>0</v>
      </c>
      <c r="J234" s="77">
        <f t="shared" si="190"/>
        <v>0</v>
      </c>
      <c r="K234" s="77">
        <f t="shared" si="190"/>
        <v>1000000</v>
      </c>
      <c r="L234" s="77">
        <f t="shared" si="190"/>
        <v>0</v>
      </c>
      <c r="M234" s="77">
        <f t="shared" si="190"/>
        <v>12575000</v>
      </c>
      <c r="N234" s="77">
        <f t="shared" si="190"/>
        <v>9310000</v>
      </c>
      <c r="O234" s="77">
        <f t="shared" si="190"/>
        <v>9310000</v>
      </c>
      <c r="P234" s="77">
        <f t="shared" si="190"/>
        <v>18000000</v>
      </c>
      <c r="Q234" s="77">
        <f t="shared" si="190"/>
        <v>20000000</v>
      </c>
      <c r="R234" s="77">
        <f t="shared" si="190"/>
        <v>20000000</v>
      </c>
      <c r="S234" s="77">
        <f t="shared" si="190"/>
        <v>5425000</v>
      </c>
      <c r="T234" s="77">
        <f t="shared" si="190"/>
        <v>8690000</v>
      </c>
      <c r="U234" s="77">
        <f t="shared" si="190"/>
        <v>10690000</v>
      </c>
      <c r="V234" s="506">
        <f t="shared" si="162"/>
        <v>5425000</v>
      </c>
      <c r="W234" s="506">
        <f t="shared" si="163"/>
        <v>0</v>
      </c>
      <c r="X234" s="60" t="s">
        <v>403</v>
      </c>
      <c r="Y234" s="490"/>
      <c r="Z234" s="31"/>
      <c r="AA234" s="31"/>
      <c r="AB234" s="31"/>
    </row>
    <row r="235" spans="1:28" ht="18" customHeight="1" x14ac:dyDescent="0.3">
      <c r="A235" s="700" t="s">
        <v>1</v>
      </c>
      <c r="B235" s="700"/>
      <c r="C235" s="85">
        <f>SUM(C236,C239,C249)</f>
        <v>11877000</v>
      </c>
      <c r="D235" s="66"/>
      <c r="E235" s="66">
        <f t="shared" ref="E235:U235" si="191">SUM(E236,E239,E249)</f>
        <v>13592000</v>
      </c>
      <c r="F235" s="86">
        <f t="shared" si="191"/>
        <v>9025000</v>
      </c>
      <c r="G235" s="86">
        <f t="shared" si="191"/>
        <v>9025000</v>
      </c>
      <c r="H235" s="86">
        <f t="shared" si="191"/>
        <v>13575000</v>
      </c>
      <c r="I235" s="86">
        <f t="shared" si="191"/>
        <v>0</v>
      </c>
      <c r="J235" s="86">
        <f t="shared" si="191"/>
        <v>0</v>
      </c>
      <c r="K235" s="86">
        <f t="shared" si="191"/>
        <v>1000000</v>
      </c>
      <c r="L235" s="86">
        <f t="shared" si="191"/>
        <v>0</v>
      </c>
      <c r="M235" s="86">
        <f t="shared" si="191"/>
        <v>12575000</v>
      </c>
      <c r="N235" s="86">
        <f t="shared" si="191"/>
        <v>9310000</v>
      </c>
      <c r="O235" s="86">
        <f t="shared" si="191"/>
        <v>9310000</v>
      </c>
      <c r="P235" s="86">
        <f t="shared" si="191"/>
        <v>18000000</v>
      </c>
      <c r="Q235" s="86">
        <f t="shared" si="191"/>
        <v>20000000</v>
      </c>
      <c r="R235" s="86">
        <f t="shared" si="191"/>
        <v>20000000</v>
      </c>
      <c r="S235" s="86">
        <f t="shared" si="191"/>
        <v>5425000</v>
      </c>
      <c r="T235" s="86">
        <f t="shared" si="191"/>
        <v>8690000</v>
      </c>
      <c r="U235" s="86">
        <f t="shared" si="191"/>
        <v>10690000</v>
      </c>
      <c r="V235" s="506">
        <f t="shared" si="162"/>
        <v>5425000</v>
      </c>
      <c r="W235" s="506">
        <f t="shared" si="163"/>
        <v>0</v>
      </c>
      <c r="X235" s="31"/>
      <c r="Y235" s="486"/>
      <c r="Z235" s="31"/>
      <c r="AA235" s="31"/>
      <c r="AB235" s="31"/>
    </row>
    <row r="236" spans="1:28" ht="17.25" customHeight="1" x14ac:dyDescent="0.3">
      <c r="A236" s="144" t="s">
        <v>317</v>
      </c>
      <c r="B236" s="145" t="s">
        <v>318</v>
      </c>
      <c r="C236" s="531">
        <f>SUM(C237)</f>
        <v>0</v>
      </c>
      <c r="D236" s="141"/>
      <c r="E236" s="141">
        <f t="shared" ref="E236:U237" si="192">SUM(E237)</f>
        <v>0</v>
      </c>
      <c r="F236" s="364">
        <f t="shared" si="192"/>
        <v>0</v>
      </c>
      <c r="G236" s="364">
        <f t="shared" si="192"/>
        <v>0</v>
      </c>
      <c r="H236" s="364">
        <f t="shared" si="192"/>
        <v>2000000</v>
      </c>
      <c r="I236" s="364">
        <f t="shared" si="192"/>
        <v>0</v>
      </c>
      <c r="J236" s="364">
        <f t="shared" si="192"/>
        <v>0</v>
      </c>
      <c r="K236" s="364">
        <f t="shared" si="192"/>
        <v>0</v>
      </c>
      <c r="L236" s="364">
        <f t="shared" si="192"/>
        <v>0</v>
      </c>
      <c r="M236" s="364">
        <f t="shared" si="192"/>
        <v>2000000</v>
      </c>
      <c r="N236" s="364">
        <f t="shared" si="192"/>
        <v>2000000</v>
      </c>
      <c r="O236" s="364">
        <f t="shared" si="192"/>
        <v>2000000</v>
      </c>
      <c r="P236" s="364">
        <f t="shared" si="192"/>
        <v>2000000</v>
      </c>
      <c r="Q236" s="364">
        <f t="shared" si="192"/>
        <v>2000000</v>
      </c>
      <c r="R236" s="364">
        <f t="shared" si="192"/>
        <v>2000000</v>
      </c>
      <c r="S236" s="532">
        <f t="shared" si="192"/>
        <v>0</v>
      </c>
      <c r="T236" s="532">
        <f t="shared" si="192"/>
        <v>0</v>
      </c>
      <c r="U236" s="532">
        <f t="shared" si="192"/>
        <v>0</v>
      </c>
      <c r="V236" s="506">
        <f t="shared" si="162"/>
        <v>0</v>
      </c>
      <c r="W236" s="506">
        <f t="shared" si="163"/>
        <v>0</v>
      </c>
      <c r="X236" s="31"/>
      <c r="Y236" s="486"/>
      <c r="Z236" s="31"/>
      <c r="AA236" s="31"/>
      <c r="AB236" s="31"/>
    </row>
    <row r="237" spans="1:28" ht="15" customHeight="1" x14ac:dyDescent="0.3">
      <c r="A237" s="541">
        <v>323</v>
      </c>
      <c r="B237" s="89" t="s">
        <v>23</v>
      </c>
      <c r="C237" s="90">
        <f>SUM(C238)</f>
        <v>0</v>
      </c>
      <c r="D237" s="62"/>
      <c r="E237" s="62">
        <f t="shared" si="192"/>
        <v>0</v>
      </c>
      <c r="F237" s="91">
        <f t="shared" si="192"/>
        <v>0</v>
      </c>
      <c r="G237" s="91">
        <f t="shared" si="192"/>
        <v>0</v>
      </c>
      <c r="H237" s="91">
        <f t="shared" si="192"/>
        <v>2000000</v>
      </c>
      <c r="I237" s="91">
        <f t="shared" si="192"/>
        <v>0</v>
      </c>
      <c r="J237" s="91">
        <f t="shared" si="192"/>
        <v>0</v>
      </c>
      <c r="K237" s="91">
        <f t="shared" si="192"/>
        <v>0</v>
      </c>
      <c r="L237" s="91">
        <f t="shared" si="192"/>
        <v>0</v>
      </c>
      <c r="M237" s="91">
        <f t="shared" si="192"/>
        <v>2000000</v>
      </c>
      <c r="N237" s="91">
        <f t="shared" si="192"/>
        <v>2000000</v>
      </c>
      <c r="O237" s="91">
        <f t="shared" si="192"/>
        <v>2000000</v>
      </c>
      <c r="P237" s="91">
        <f t="shared" si="192"/>
        <v>2000000</v>
      </c>
      <c r="Q237" s="91">
        <f t="shared" si="192"/>
        <v>2000000</v>
      </c>
      <c r="R237" s="91">
        <f t="shared" si="192"/>
        <v>2000000</v>
      </c>
      <c r="S237" s="91">
        <f t="shared" si="192"/>
        <v>0</v>
      </c>
      <c r="T237" s="91">
        <f t="shared" si="192"/>
        <v>0</v>
      </c>
      <c r="U237" s="91">
        <f t="shared" si="192"/>
        <v>0</v>
      </c>
      <c r="V237" s="506">
        <f t="shared" si="162"/>
        <v>0</v>
      </c>
      <c r="W237" s="506">
        <f t="shared" si="163"/>
        <v>0</v>
      </c>
      <c r="X237" s="31"/>
      <c r="Y237" s="486"/>
      <c r="Z237" s="31"/>
      <c r="AA237" s="31"/>
      <c r="AB237" s="31"/>
    </row>
    <row r="238" spans="1:28" x14ac:dyDescent="0.3">
      <c r="A238" s="542">
        <v>3232</v>
      </c>
      <c r="B238" s="535" t="s">
        <v>25</v>
      </c>
      <c r="C238" s="94"/>
      <c r="D238" s="63"/>
      <c r="E238" s="63"/>
      <c r="F238" s="95"/>
      <c r="G238" s="95"/>
      <c r="H238" s="95">
        <v>2000000</v>
      </c>
      <c r="I238" s="95"/>
      <c r="J238" s="95"/>
      <c r="K238" s="63"/>
      <c r="L238" s="63"/>
      <c r="M238" s="63">
        <f>H238-I238+J238-K238+L238</f>
        <v>2000000</v>
      </c>
      <c r="N238" s="95">
        <v>2000000</v>
      </c>
      <c r="O238" s="95">
        <v>2000000</v>
      </c>
      <c r="P238" s="63">
        <v>2000000</v>
      </c>
      <c r="Q238" s="63">
        <v>2000000</v>
      </c>
      <c r="R238" s="63">
        <v>2000000</v>
      </c>
      <c r="S238" s="70">
        <f>P238-M238</f>
        <v>0</v>
      </c>
      <c r="T238" s="70">
        <f>P238-N238</f>
        <v>0</v>
      </c>
      <c r="U238" s="70">
        <f>Q238-O238</f>
        <v>0</v>
      </c>
      <c r="V238" s="506">
        <f t="shared" si="162"/>
        <v>0</v>
      </c>
      <c r="W238" s="506">
        <f t="shared" si="163"/>
        <v>0</v>
      </c>
      <c r="X238" s="31"/>
      <c r="Y238" s="486"/>
      <c r="Z238" s="31"/>
      <c r="AA238" s="31"/>
      <c r="AB238" s="31"/>
    </row>
    <row r="239" spans="1:28" ht="26.25" customHeight="1" x14ac:dyDescent="0.3">
      <c r="A239" s="540" t="s">
        <v>323</v>
      </c>
      <c r="B239" s="145" t="s">
        <v>324</v>
      </c>
      <c r="C239" s="146">
        <f t="shared" ref="C239:U239" si="193">SUM(C240,C242)</f>
        <v>1592000</v>
      </c>
      <c r="D239" s="142"/>
      <c r="E239" s="142">
        <f t="shared" ref="E239" si="194">SUM(E240,E242)</f>
        <v>3592000</v>
      </c>
      <c r="F239" s="147">
        <f t="shared" si="193"/>
        <v>1592000</v>
      </c>
      <c r="G239" s="147">
        <f t="shared" si="193"/>
        <v>1592000</v>
      </c>
      <c r="H239" s="147">
        <f t="shared" si="193"/>
        <v>2850000</v>
      </c>
      <c r="I239" s="147">
        <f t="shared" si="193"/>
        <v>0</v>
      </c>
      <c r="J239" s="147">
        <f t="shared" si="193"/>
        <v>0</v>
      </c>
      <c r="K239" s="147">
        <f t="shared" si="193"/>
        <v>0</v>
      </c>
      <c r="L239" s="147">
        <f t="shared" si="193"/>
        <v>0</v>
      </c>
      <c r="M239" s="147">
        <f t="shared" si="193"/>
        <v>2850000</v>
      </c>
      <c r="N239" s="147">
        <f t="shared" si="193"/>
        <v>1877000</v>
      </c>
      <c r="O239" s="147">
        <f t="shared" si="193"/>
        <v>1877000</v>
      </c>
      <c r="P239" s="147">
        <f t="shared" si="193"/>
        <v>5000000</v>
      </c>
      <c r="Q239" s="147">
        <f t="shared" si="193"/>
        <v>5000000</v>
      </c>
      <c r="R239" s="147">
        <f t="shared" si="193"/>
        <v>5000000</v>
      </c>
      <c r="S239" s="87">
        <f t="shared" si="193"/>
        <v>2150000</v>
      </c>
      <c r="T239" s="87">
        <f t="shared" si="193"/>
        <v>3123000</v>
      </c>
      <c r="U239" s="87">
        <f t="shared" si="193"/>
        <v>3123000</v>
      </c>
      <c r="V239" s="506">
        <f t="shared" si="162"/>
        <v>2150000</v>
      </c>
      <c r="W239" s="506">
        <f t="shared" si="163"/>
        <v>0</v>
      </c>
      <c r="X239" s="31"/>
      <c r="Y239" s="486"/>
      <c r="Z239" s="31"/>
      <c r="AA239" s="31"/>
      <c r="AB239" s="31"/>
    </row>
    <row r="240" spans="1:28" x14ac:dyDescent="0.3">
      <c r="A240" s="88">
        <v>421</v>
      </c>
      <c r="B240" s="556" t="s">
        <v>51</v>
      </c>
      <c r="C240" s="90">
        <f t="shared" ref="C240:U240" si="195">SUM(C241)</f>
        <v>1327000</v>
      </c>
      <c r="D240" s="62"/>
      <c r="E240" s="62">
        <f t="shared" si="195"/>
        <v>3042000</v>
      </c>
      <c r="F240" s="91">
        <f t="shared" si="195"/>
        <v>1327000</v>
      </c>
      <c r="G240" s="91">
        <f t="shared" si="195"/>
        <v>1327000</v>
      </c>
      <c r="H240" s="91">
        <f t="shared" si="195"/>
        <v>2000000</v>
      </c>
      <c r="I240" s="91">
        <f t="shared" si="195"/>
        <v>0</v>
      </c>
      <c r="J240" s="91">
        <f t="shared" si="195"/>
        <v>0</v>
      </c>
      <c r="K240" s="91">
        <f t="shared" si="195"/>
        <v>0</v>
      </c>
      <c r="L240" s="91">
        <f t="shared" si="195"/>
        <v>0</v>
      </c>
      <c r="M240" s="91">
        <f t="shared" si="195"/>
        <v>2000000</v>
      </c>
      <c r="N240" s="91">
        <f t="shared" si="195"/>
        <v>1327000</v>
      </c>
      <c r="O240" s="91">
        <f t="shared" si="195"/>
        <v>1327000</v>
      </c>
      <c r="P240" s="91">
        <f t="shared" si="195"/>
        <v>4000000</v>
      </c>
      <c r="Q240" s="91">
        <f t="shared" si="195"/>
        <v>4000000</v>
      </c>
      <c r="R240" s="91">
        <f t="shared" si="195"/>
        <v>4000000</v>
      </c>
      <c r="S240" s="91">
        <f t="shared" si="195"/>
        <v>2000000</v>
      </c>
      <c r="T240" s="91">
        <f t="shared" si="195"/>
        <v>2673000</v>
      </c>
      <c r="U240" s="91">
        <f t="shared" si="195"/>
        <v>2673000</v>
      </c>
      <c r="V240" s="506">
        <f t="shared" si="162"/>
        <v>2000000</v>
      </c>
      <c r="W240" s="506">
        <f t="shared" si="163"/>
        <v>0</v>
      </c>
      <c r="X240" s="31"/>
      <c r="Y240" s="486"/>
      <c r="Z240" s="31"/>
      <c r="AA240" s="31"/>
      <c r="AB240" s="31"/>
    </row>
    <row r="241" spans="1:30" x14ac:dyDescent="0.3">
      <c r="A241" s="92">
        <v>4212</v>
      </c>
      <c r="B241" s="93" t="s">
        <v>52</v>
      </c>
      <c r="C241" s="94">
        <v>1327000</v>
      </c>
      <c r="D241" s="63"/>
      <c r="E241" s="63">
        <v>3042000</v>
      </c>
      <c r="F241" s="95">
        <v>1327000</v>
      </c>
      <c r="G241" s="95">
        <v>1327000</v>
      </c>
      <c r="H241" s="95">
        <v>2000000</v>
      </c>
      <c r="I241" s="95"/>
      <c r="J241" s="95"/>
      <c r="K241" s="63"/>
      <c r="L241" s="63"/>
      <c r="M241" s="63">
        <f>H241-I241+J241-K241+L241</f>
        <v>2000000</v>
      </c>
      <c r="N241" s="95">
        <v>1327000</v>
      </c>
      <c r="O241" s="95">
        <v>1327000</v>
      </c>
      <c r="P241" s="63">
        <v>4000000</v>
      </c>
      <c r="Q241" s="63">
        <v>4000000</v>
      </c>
      <c r="R241" s="63">
        <v>4000000</v>
      </c>
      <c r="S241" s="70">
        <f>P241-M241</f>
        <v>2000000</v>
      </c>
      <c r="T241" s="70">
        <f>P241-N241</f>
        <v>2673000</v>
      </c>
      <c r="U241" s="70">
        <f>Q241-O241</f>
        <v>2673000</v>
      </c>
      <c r="V241" s="506">
        <f t="shared" si="162"/>
        <v>2000000</v>
      </c>
      <c r="W241" s="506">
        <f t="shared" si="163"/>
        <v>0</v>
      </c>
      <c r="X241" s="31" t="s">
        <v>381</v>
      </c>
      <c r="Y241" s="486"/>
      <c r="Z241" s="31"/>
      <c r="AA241" s="31"/>
      <c r="AB241" s="31"/>
    </row>
    <row r="242" spans="1:30" x14ac:dyDescent="0.3">
      <c r="A242" s="88">
        <v>422</v>
      </c>
      <c r="B242" s="556" t="s">
        <v>53</v>
      </c>
      <c r="C242" s="90">
        <f t="shared" ref="C242:F242" si="196">SUM(C243:C246)</f>
        <v>265000</v>
      </c>
      <c r="D242" s="62"/>
      <c r="E242" s="62">
        <f t="shared" ref="E242" si="197">SUM(E243:E246)</f>
        <v>550000</v>
      </c>
      <c r="F242" s="91">
        <f t="shared" si="196"/>
        <v>265000</v>
      </c>
      <c r="G242" s="91">
        <f t="shared" ref="G242:U242" si="198">SUM(G243:G246)</f>
        <v>265000</v>
      </c>
      <c r="H242" s="91">
        <f t="shared" si="198"/>
        <v>850000</v>
      </c>
      <c r="I242" s="91">
        <f t="shared" si="198"/>
        <v>0</v>
      </c>
      <c r="J242" s="91">
        <f t="shared" si="198"/>
        <v>0</v>
      </c>
      <c r="K242" s="91">
        <f t="shared" si="198"/>
        <v>0</v>
      </c>
      <c r="L242" s="91">
        <f t="shared" si="198"/>
        <v>0</v>
      </c>
      <c r="M242" s="91">
        <f t="shared" si="198"/>
        <v>850000</v>
      </c>
      <c r="N242" s="91">
        <f t="shared" si="198"/>
        <v>550000</v>
      </c>
      <c r="O242" s="91">
        <f t="shared" si="198"/>
        <v>550000</v>
      </c>
      <c r="P242" s="91">
        <f t="shared" si="198"/>
        <v>1000000</v>
      </c>
      <c r="Q242" s="91">
        <f t="shared" si="198"/>
        <v>1000000</v>
      </c>
      <c r="R242" s="91">
        <f t="shared" si="198"/>
        <v>1000000</v>
      </c>
      <c r="S242" s="91">
        <f t="shared" si="198"/>
        <v>150000</v>
      </c>
      <c r="T242" s="91">
        <f t="shared" si="198"/>
        <v>450000</v>
      </c>
      <c r="U242" s="91">
        <f t="shared" si="198"/>
        <v>450000</v>
      </c>
      <c r="V242" s="506">
        <f t="shared" si="162"/>
        <v>150000</v>
      </c>
      <c r="W242" s="506">
        <f t="shared" si="163"/>
        <v>0</v>
      </c>
      <c r="X242" s="31"/>
      <c r="Y242" s="486"/>
      <c r="Z242" s="31"/>
      <c r="AA242" s="31"/>
      <c r="AB242" s="31"/>
    </row>
    <row r="243" spans="1:30" ht="12" customHeight="1" x14ac:dyDescent="0.3">
      <c r="A243" s="92">
        <v>4221</v>
      </c>
      <c r="B243" s="93" t="s">
        <v>54</v>
      </c>
      <c r="C243" s="94">
        <f>265000</f>
        <v>265000</v>
      </c>
      <c r="D243" s="63"/>
      <c r="E243" s="63">
        <v>550000</v>
      </c>
      <c r="F243" s="95">
        <f>265000</f>
        <v>265000</v>
      </c>
      <c r="G243" s="95">
        <f>265000</f>
        <v>265000</v>
      </c>
      <c r="H243" s="366">
        <f>550000+300000</f>
        <v>850000</v>
      </c>
      <c r="I243" s="366"/>
      <c r="J243" s="366"/>
      <c r="K243" s="70"/>
      <c r="L243" s="70"/>
      <c r="M243" s="63">
        <f>H243-I243+J243-K243+L243</f>
        <v>850000</v>
      </c>
      <c r="N243" s="95">
        <v>550000</v>
      </c>
      <c r="O243" s="95">
        <v>550000</v>
      </c>
      <c r="P243" s="63">
        <v>1000000</v>
      </c>
      <c r="Q243" s="63">
        <v>1000000</v>
      </c>
      <c r="R243" s="63">
        <v>1000000</v>
      </c>
      <c r="S243" s="70">
        <f>P243-M243</f>
        <v>150000</v>
      </c>
      <c r="T243" s="70">
        <f>P243-N243</f>
        <v>450000</v>
      </c>
      <c r="U243" s="70">
        <f>Q243-O243</f>
        <v>450000</v>
      </c>
      <c r="V243" s="506">
        <f t="shared" si="162"/>
        <v>150000</v>
      </c>
      <c r="W243" s="506">
        <f t="shared" si="163"/>
        <v>0</v>
      </c>
      <c r="X243" s="68" t="s">
        <v>413</v>
      </c>
      <c r="Y243" s="491"/>
      <c r="Z243" s="31"/>
      <c r="AA243" s="31"/>
      <c r="AB243" s="31"/>
    </row>
    <row r="244" spans="1:30" ht="13.05" hidden="1" x14ac:dyDescent="0.3">
      <c r="A244" s="92">
        <v>4223</v>
      </c>
      <c r="B244" s="93" t="s">
        <v>59</v>
      </c>
      <c r="C244" s="94"/>
      <c r="D244" s="63"/>
      <c r="E244" s="63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506">
        <f t="shared" si="162"/>
        <v>0</v>
      </c>
      <c r="W244" s="506">
        <f t="shared" si="163"/>
        <v>0</v>
      </c>
      <c r="X244" s="31"/>
      <c r="Y244" s="486"/>
      <c r="Z244" s="31"/>
      <c r="AA244" s="31"/>
      <c r="AB244" s="31"/>
    </row>
    <row r="245" spans="1:30" ht="13.05" hidden="1" x14ac:dyDescent="0.3">
      <c r="A245" s="92">
        <v>4225</v>
      </c>
      <c r="B245" s="93" t="s">
        <v>105</v>
      </c>
      <c r="C245" s="94"/>
      <c r="D245" s="63"/>
      <c r="E245" s="63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506">
        <f t="shared" si="162"/>
        <v>0</v>
      </c>
      <c r="W245" s="506">
        <f t="shared" si="163"/>
        <v>0</v>
      </c>
      <c r="X245" s="31"/>
      <c r="Y245" s="486"/>
      <c r="Z245" s="31"/>
      <c r="AA245" s="31"/>
      <c r="AB245" s="31"/>
    </row>
    <row r="246" spans="1:30" ht="13.05" hidden="1" x14ac:dyDescent="0.3">
      <c r="A246" s="92">
        <v>4227</v>
      </c>
      <c r="B246" s="93" t="s">
        <v>60</v>
      </c>
      <c r="C246" s="94"/>
      <c r="D246" s="63"/>
      <c r="E246" s="63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506">
        <f t="shared" si="162"/>
        <v>0</v>
      </c>
      <c r="W246" s="506">
        <f t="shared" si="163"/>
        <v>0</v>
      </c>
      <c r="X246" s="31"/>
      <c r="Y246" s="486"/>
      <c r="Z246" s="31"/>
      <c r="AA246" s="31"/>
      <c r="AB246" s="31"/>
    </row>
    <row r="247" spans="1:30" ht="13.05" hidden="1" x14ac:dyDescent="0.3">
      <c r="A247" s="88">
        <v>423</v>
      </c>
      <c r="B247" s="556" t="s">
        <v>61</v>
      </c>
      <c r="C247" s="90">
        <f t="shared" ref="C247:U247" si="199">SUM(C248)</f>
        <v>0</v>
      </c>
      <c r="D247" s="62"/>
      <c r="E247" s="62">
        <f t="shared" si="199"/>
        <v>0</v>
      </c>
      <c r="F247" s="91">
        <f t="shared" si="199"/>
        <v>0</v>
      </c>
      <c r="G247" s="91">
        <f t="shared" si="199"/>
        <v>0</v>
      </c>
      <c r="H247" s="91">
        <f t="shared" si="199"/>
        <v>0</v>
      </c>
      <c r="I247" s="91"/>
      <c r="J247" s="91"/>
      <c r="K247" s="91"/>
      <c r="L247" s="91"/>
      <c r="M247" s="91"/>
      <c r="N247" s="91">
        <f t="shared" si="199"/>
        <v>0</v>
      </c>
      <c r="O247" s="91">
        <f t="shared" si="199"/>
        <v>0</v>
      </c>
      <c r="P247" s="91"/>
      <c r="Q247" s="91"/>
      <c r="R247" s="91"/>
      <c r="S247" s="91">
        <f t="shared" si="199"/>
        <v>0</v>
      </c>
      <c r="T247" s="91"/>
      <c r="U247" s="91">
        <f t="shared" si="199"/>
        <v>0</v>
      </c>
      <c r="V247" s="506">
        <f t="shared" si="162"/>
        <v>0</v>
      </c>
      <c r="W247" s="506">
        <f t="shared" si="163"/>
        <v>0</v>
      </c>
      <c r="X247" s="31"/>
      <c r="Y247" s="486"/>
      <c r="Z247" s="31"/>
      <c r="AA247" s="31"/>
      <c r="AB247" s="31"/>
    </row>
    <row r="248" spans="1:30" ht="13.05" hidden="1" x14ac:dyDescent="0.3">
      <c r="A248" s="92">
        <v>4231</v>
      </c>
      <c r="B248" s="93" t="s">
        <v>62</v>
      </c>
      <c r="C248" s="551"/>
      <c r="D248" s="71"/>
      <c r="E248" s="71"/>
      <c r="F248" s="368"/>
      <c r="G248" s="368"/>
      <c r="H248" s="368"/>
      <c r="I248" s="368"/>
      <c r="J248" s="368"/>
      <c r="K248" s="368"/>
      <c r="L248" s="368"/>
      <c r="M248" s="368"/>
      <c r="N248" s="368"/>
      <c r="O248" s="368"/>
      <c r="P248" s="368"/>
      <c r="Q248" s="368"/>
      <c r="R248" s="368"/>
      <c r="S248" s="368"/>
      <c r="T248" s="368"/>
      <c r="U248" s="368"/>
      <c r="V248" s="506">
        <f t="shared" si="162"/>
        <v>0</v>
      </c>
      <c r="W248" s="506">
        <f t="shared" si="163"/>
        <v>0</v>
      </c>
      <c r="X248" s="31"/>
      <c r="Y248" s="486"/>
      <c r="Z248" s="31"/>
      <c r="AA248" s="31"/>
      <c r="AB248" s="31"/>
    </row>
    <row r="249" spans="1:30" ht="26.4" x14ac:dyDescent="0.3">
      <c r="A249" s="570" t="s">
        <v>325</v>
      </c>
      <c r="B249" s="571" t="s">
        <v>326</v>
      </c>
      <c r="C249" s="531">
        <f t="shared" ref="C249:U250" si="200">SUM(C250)</f>
        <v>10285000</v>
      </c>
      <c r="D249" s="141"/>
      <c r="E249" s="141">
        <f t="shared" si="200"/>
        <v>10000000</v>
      </c>
      <c r="F249" s="364">
        <f t="shared" si="200"/>
        <v>7433000</v>
      </c>
      <c r="G249" s="364">
        <f t="shared" si="200"/>
        <v>7433000</v>
      </c>
      <c r="H249" s="364">
        <f t="shared" si="200"/>
        <v>8725000</v>
      </c>
      <c r="I249" s="364">
        <f t="shared" si="200"/>
        <v>0</v>
      </c>
      <c r="J249" s="364">
        <f t="shared" si="200"/>
        <v>0</v>
      </c>
      <c r="K249" s="364">
        <f t="shared" si="200"/>
        <v>1000000</v>
      </c>
      <c r="L249" s="364">
        <f t="shared" si="200"/>
        <v>0</v>
      </c>
      <c r="M249" s="364">
        <f t="shared" si="200"/>
        <v>7725000</v>
      </c>
      <c r="N249" s="364">
        <f t="shared" si="200"/>
        <v>5433000</v>
      </c>
      <c r="O249" s="364">
        <f t="shared" si="200"/>
        <v>5433000</v>
      </c>
      <c r="P249" s="364">
        <f t="shared" si="200"/>
        <v>11000000</v>
      </c>
      <c r="Q249" s="364">
        <f t="shared" si="200"/>
        <v>13000000</v>
      </c>
      <c r="R249" s="364">
        <f t="shared" si="200"/>
        <v>13000000</v>
      </c>
      <c r="S249" s="532">
        <f t="shared" si="200"/>
        <v>3275000</v>
      </c>
      <c r="T249" s="532">
        <f t="shared" si="200"/>
        <v>5567000</v>
      </c>
      <c r="U249" s="532">
        <f t="shared" si="200"/>
        <v>7567000</v>
      </c>
      <c r="V249" s="506">
        <f t="shared" si="162"/>
        <v>3275000</v>
      </c>
      <c r="W249" s="506">
        <f t="shared" si="163"/>
        <v>0</v>
      </c>
      <c r="X249" s="31"/>
      <c r="Y249" s="486"/>
      <c r="Z249" s="31"/>
      <c r="AA249" s="31"/>
      <c r="AB249" s="31"/>
    </row>
    <row r="250" spans="1:30" x14ac:dyDescent="0.3">
      <c r="A250" s="88">
        <v>451</v>
      </c>
      <c r="B250" s="556" t="s">
        <v>55</v>
      </c>
      <c r="C250" s="90">
        <f t="shared" si="200"/>
        <v>10285000</v>
      </c>
      <c r="D250" s="62"/>
      <c r="E250" s="62">
        <f t="shared" si="200"/>
        <v>10000000</v>
      </c>
      <c r="F250" s="91">
        <f t="shared" si="200"/>
        <v>7433000</v>
      </c>
      <c r="G250" s="91">
        <f t="shared" si="200"/>
        <v>7433000</v>
      </c>
      <c r="H250" s="91">
        <f t="shared" si="200"/>
        <v>8725000</v>
      </c>
      <c r="I250" s="91">
        <f t="shared" si="200"/>
        <v>0</v>
      </c>
      <c r="J250" s="91">
        <f t="shared" si="200"/>
        <v>0</v>
      </c>
      <c r="K250" s="91">
        <f t="shared" si="200"/>
        <v>1000000</v>
      </c>
      <c r="L250" s="91">
        <f t="shared" si="200"/>
        <v>0</v>
      </c>
      <c r="M250" s="91">
        <f t="shared" si="200"/>
        <v>7725000</v>
      </c>
      <c r="N250" s="91">
        <f t="shared" si="200"/>
        <v>5433000</v>
      </c>
      <c r="O250" s="91">
        <f t="shared" si="200"/>
        <v>5433000</v>
      </c>
      <c r="P250" s="91">
        <f t="shared" si="200"/>
        <v>11000000</v>
      </c>
      <c r="Q250" s="91">
        <f t="shared" si="200"/>
        <v>13000000</v>
      </c>
      <c r="R250" s="91">
        <f t="shared" si="200"/>
        <v>13000000</v>
      </c>
      <c r="S250" s="91">
        <f t="shared" si="200"/>
        <v>3275000</v>
      </c>
      <c r="T250" s="91">
        <f t="shared" si="200"/>
        <v>5567000</v>
      </c>
      <c r="U250" s="91">
        <f t="shared" si="200"/>
        <v>7567000</v>
      </c>
      <c r="V250" s="506">
        <f t="shared" si="162"/>
        <v>3275000</v>
      </c>
      <c r="W250" s="506">
        <f t="shared" si="163"/>
        <v>0</v>
      </c>
      <c r="X250" s="31"/>
      <c r="Y250" s="486"/>
      <c r="Z250" s="31"/>
      <c r="AA250" s="31"/>
      <c r="AB250" s="31"/>
    </row>
    <row r="251" spans="1:30" x14ac:dyDescent="0.3">
      <c r="A251" s="92">
        <v>4511</v>
      </c>
      <c r="B251" s="93" t="s">
        <v>55</v>
      </c>
      <c r="C251" s="572">
        <f>3808000+5044000+1433000</f>
        <v>10285000</v>
      </c>
      <c r="D251" s="96"/>
      <c r="E251" s="96">
        <v>10000000</v>
      </c>
      <c r="F251" s="367">
        <f>2389000+5044000</f>
        <v>7433000</v>
      </c>
      <c r="G251" s="367">
        <f>2389000+5044000</f>
        <v>7433000</v>
      </c>
      <c r="H251" s="367">
        <v>8725000</v>
      </c>
      <c r="I251" s="367"/>
      <c r="J251" s="367"/>
      <c r="K251" s="367">
        <v>1000000</v>
      </c>
      <c r="L251" s="96"/>
      <c r="M251" s="63">
        <f>H251-I251+J251-K251+L251</f>
        <v>7725000</v>
      </c>
      <c r="N251" s="367">
        <f>2389000+5044000-2000000</f>
        <v>5433000</v>
      </c>
      <c r="O251" s="367">
        <f>2389000+5044000-2000000</f>
        <v>5433000</v>
      </c>
      <c r="P251" s="96">
        <f>13000000-2000000</f>
        <v>11000000</v>
      </c>
      <c r="Q251" s="96">
        <v>13000000</v>
      </c>
      <c r="R251" s="96">
        <v>13000000</v>
      </c>
      <c r="S251" s="70">
        <f>P251-M251</f>
        <v>3275000</v>
      </c>
      <c r="T251" s="70">
        <f>P251-N251</f>
        <v>5567000</v>
      </c>
      <c r="U251" s="70">
        <f>Q251-O251</f>
        <v>7567000</v>
      </c>
      <c r="V251" s="506">
        <f t="shared" si="162"/>
        <v>3275000</v>
      </c>
      <c r="W251" s="506">
        <f t="shared" si="163"/>
        <v>0</v>
      </c>
      <c r="X251" s="31" t="s">
        <v>460</v>
      </c>
      <c r="Y251" s="495" t="s">
        <v>461</v>
      </c>
      <c r="Z251" s="31"/>
      <c r="AA251" s="31"/>
      <c r="AB251" s="31"/>
      <c r="AD251" s="24"/>
    </row>
    <row r="252" spans="1:30" ht="21" customHeight="1" x14ac:dyDescent="0.3">
      <c r="A252" s="573" t="s">
        <v>56</v>
      </c>
      <c r="B252" s="538" t="s">
        <v>57</v>
      </c>
      <c r="C252" s="539">
        <f t="shared" ref="C252:U252" si="201">SUM(C253)</f>
        <v>22380000</v>
      </c>
      <c r="D252" s="65"/>
      <c r="E252" s="65">
        <f t="shared" si="201"/>
        <v>20966000</v>
      </c>
      <c r="F252" s="365">
        <f t="shared" si="201"/>
        <v>20492000</v>
      </c>
      <c r="G252" s="365">
        <f t="shared" si="201"/>
        <v>20492000</v>
      </c>
      <c r="H252" s="365">
        <f t="shared" si="201"/>
        <v>22048000</v>
      </c>
      <c r="I252" s="365">
        <f t="shared" si="201"/>
        <v>0</v>
      </c>
      <c r="J252" s="365">
        <f t="shared" si="201"/>
        <v>119000</v>
      </c>
      <c r="K252" s="365">
        <f t="shared" si="201"/>
        <v>0</v>
      </c>
      <c r="L252" s="365">
        <f t="shared" si="201"/>
        <v>0</v>
      </c>
      <c r="M252" s="365">
        <f t="shared" si="201"/>
        <v>22167000</v>
      </c>
      <c r="N252" s="365">
        <f t="shared" si="201"/>
        <v>19158000</v>
      </c>
      <c r="O252" s="365">
        <f t="shared" si="201"/>
        <v>21348000</v>
      </c>
      <c r="P252" s="365">
        <f t="shared" si="201"/>
        <v>32265000</v>
      </c>
      <c r="Q252" s="365">
        <f t="shared" si="201"/>
        <v>28665000</v>
      </c>
      <c r="R252" s="365">
        <f t="shared" si="201"/>
        <v>28675000</v>
      </c>
      <c r="S252" s="365">
        <f t="shared" si="201"/>
        <v>10098000</v>
      </c>
      <c r="T252" s="365">
        <f t="shared" si="201"/>
        <v>13107000</v>
      </c>
      <c r="U252" s="365">
        <f t="shared" si="201"/>
        <v>7317000</v>
      </c>
      <c r="V252" s="506">
        <f t="shared" si="162"/>
        <v>10098000</v>
      </c>
      <c r="W252" s="506">
        <f t="shared" si="163"/>
        <v>0</v>
      </c>
      <c r="X252" s="60" t="s">
        <v>397</v>
      </c>
      <c r="Y252" s="490"/>
      <c r="Z252" s="31"/>
      <c r="AA252" s="31"/>
      <c r="AB252" s="31"/>
    </row>
    <row r="253" spans="1:30" ht="18" customHeight="1" x14ac:dyDescent="0.3">
      <c r="A253" s="693" t="s">
        <v>1</v>
      </c>
      <c r="B253" s="694"/>
      <c r="C253" s="85">
        <f t="shared" ref="C253:U253" si="202">SUM(C254,C266,C271)</f>
        <v>22380000</v>
      </c>
      <c r="D253" s="66"/>
      <c r="E253" s="66">
        <f t="shared" ref="E253" si="203">SUM(E254,E266,E271)</f>
        <v>20966000</v>
      </c>
      <c r="F253" s="86">
        <f t="shared" si="202"/>
        <v>20492000</v>
      </c>
      <c r="G253" s="86">
        <f t="shared" si="202"/>
        <v>20492000</v>
      </c>
      <c r="H253" s="86">
        <f t="shared" si="202"/>
        <v>22048000</v>
      </c>
      <c r="I253" s="86">
        <f t="shared" si="202"/>
        <v>0</v>
      </c>
      <c r="J253" s="86">
        <f t="shared" si="202"/>
        <v>119000</v>
      </c>
      <c r="K253" s="86">
        <f t="shared" si="202"/>
        <v>0</v>
      </c>
      <c r="L253" s="86">
        <f t="shared" si="202"/>
        <v>0</v>
      </c>
      <c r="M253" s="86">
        <f t="shared" si="202"/>
        <v>22167000</v>
      </c>
      <c r="N253" s="86">
        <f t="shared" si="202"/>
        <v>19158000</v>
      </c>
      <c r="O253" s="86">
        <f t="shared" si="202"/>
        <v>21348000</v>
      </c>
      <c r="P253" s="86">
        <f t="shared" si="202"/>
        <v>32265000</v>
      </c>
      <c r="Q253" s="86">
        <f t="shared" si="202"/>
        <v>28665000</v>
      </c>
      <c r="R253" s="86">
        <f t="shared" si="202"/>
        <v>28675000</v>
      </c>
      <c r="S253" s="86">
        <f t="shared" si="202"/>
        <v>10098000</v>
      </c>
      <c r="T253" s="86">
        <f t="shared" si="202"/>
        <v>13107000</v>
      </c>
      <c r="U253" s="86">
        <f t="shared" si="202"/>
        <v>7317000</v>
      </c>
      <c r="V253" s="506">
        <f t="shared" si="162"/>
        <v>10098000</v>
      </c>
      <c r="W253" s="506">
        <f t="shared" si="163"/>
        <v>0</v>
      </c>
      <c r="X253" s="31"/>
      <c r="Y253" s="486"/>
      <c r="Z253" s="31"/>
      <c r="AA253" s="31"/>
      <c r="AB253" s="31"/>
    </row>
    <row r="254" spans="1:30" ht="18" customHeight="1" x14ac:dyDescent="0.3">
      <c r="A254" s="530" t="s">
        <v>317</v>
      </c>
      <c r="B254" s="574" t="s">
        <v>318</v>
      </c>
      <c r="C254" s="146">
        <f>SUM(C255,C261,C264)</f>
        <v>15263000</v>
      </c>
      <c r="D254" s="142"/>
      <c r="E254" s="142">
        <f>SUM(E255,E261,E264)</f>
        <v>14763000</v>
      </c>
      <c r="F254" s="147">
        <f t="shared" ref="F254:U254" si="204">SUM(F255,F261,F264)</f>
        <v>15661000</v>
      </c>
      <c r="G254" s="147">
        <f t="shared" si="204"/>
        <v>15661000</v>
      </c>
      <c r="H254" s="147">
        <f t="shared" si="204"/>
        <v>16389000</v>
      </c>
      <c r="I254" s="147">
        <f t="shared" si="204"/>
        <v>0</v>
      </c>
      <c r="J254" s="147">
        <f t="shared" si="204"/>
        <v>0</v>
      </c>
      <c r="K254" s="147">
        <f t="shared" si="204"/>
        <v>0</v>
      </c>
      <c r="L254" s="147">
        <f t="shared" si="204"/>
        <v>0</v>
      </c>
      <c r="M254" s="147">
        <f t="shared" si="204"/>
        <v>16389000</v>
      </c>
      <c r="N254" s="147">
        <f t="shared" si="204"/>
        <v>14389000</v>
      </c>
      <c r="O254" s="147">
        <f t="shared" si="204"/>
        <v>16389000</v>
      </c>
      <c r="P254" s="147">
        <f t="shared" si="204"/>
        <v>17595000</v>
      </c>
      <c r="Q254" s="147">
        <f t="shared" si="204"/>
        <v>17595000</v>
      </c>
      <c r="R254" s="147">
        <f t="shared" si="204"/>
        <v>17595000</v>
      </c>
      <c r="S254" s="87">
        <f t="shared" si="204"/>
        <v>1206000</v>
      </c>
      <c r="T254" s="87">
        <f t="shared" si="204"/>
        <v>3206000</v>
      </c>
      <c r="U254" s="87">
        <f t="shared" si="204"/>
        <v>1206000</v>
      </c>
      <c r="V254" s="506">
        <f t="shared" si="162"/>
        <v>1206000</v>
      </c>
      <c r="W254" s="506">
        <f t="shared" si="163"/>
        <v>0</v>
      </c>
      <c r="X254" s="31"/>
      <c r="Y254" s="486"/>
      <c r="Z254" s="31"/>
      <c r="AA254" s="31"/>
      <c r="AB254" s="31"/>
    </row>
    <row r="255" spans="1:30" x14ac:dyDescent="0.3">
      <c r="A255" s="88">
        <v>322</v>
      </c>
      <c r="B255" s="89" t="s">
        <v>16</v>
      </c>
      <c r="C255" s="90">
        <f t="shared" ref="C255:U255" si="205">SUM(C256:C260)</f>
        <v>13803000</v>
      </c>
      <c r="D255" s="62"/>
      <c r="E255" s="62">
        <f t="shared" ref="E255" si="206">SUM(E256:E260)</f>
        <v>13303000</v>
      </c>
      <c r="F255" s="91">
        <f t="shared" si="205"/>
        <v>14467000</v>
      </c>
      <c r="G255" s="91">
        <f t="shared" si="205"/>
        <v>14467000</v>
      </c>
      <c r="H255" s="91">
        <f t="shared" si="205"/>
        <v>15195000</v>
      </c>
      <c r="I255" s="91">
        <f t="shared" si="205"/>
        <v>0</v>
      </c>
      <c r="J255" s="91">
        <f t="shared" si="205"/>
        <v>0</v>
      </c>
      <c r="K255" s="91">
        <f t="shared" si="205"/>
        <v>0</v>
      </c>
      <c r="L255" s="91">
        <f t="shared" si="205"/>
        <v>0</v>
      </c>
      <c r="M255" s="91">
        <f t="shared" si="205"/>
        <v>15195000</v>
      </c>
      <c r="N255" s="91">
        <f t="shared" si="205"/>
        <v>13195000</v>
      </c>
      <c r="O255" s="91">
        <f t="shared" si="205"/>
        <v>15195000</v>
      </c>
      <c r="P255" s="91">
        <f t="shared" si="205"/>
        <v>16195000</v>
      </c>
      <c r="Q255" s="91">
        <f t="shared" si="205"/>
        <v>16195000</v>
      </c>
      <c r="R255" s="91">
        <f t="shared" si="205"/>
        <v>16195000</v>
      </c>
      <c r="S255" s="91">
        <f t="shared" si="205"/>
        <v>1000000</v>
      </c>
      <c r="T255" s="91">
        <f t="shared" si="205"/>
        <v>3000000</v>
      </c>
      <c r="U255" s="91">
        <f t="shared" si="205"/>
        <v>1000000</v>
      </c>
      <c r="V255" s="506">
        <f t="shared" si="162"/>
        <v>1000000</v>
      </c>
      <c r="W255" s="506">
        <f t="shared" si="163"/>
        <v>0</v>
      </c>
      <c r="X255" s="31"/>
      <c r="Y255" s="486"/>
      <c r="Z255" s="31"/>
      <c r="AA255" s="31"/>
      <c r="AB255" s="31"/>
    </row>
    <row r="256" spans="1:30" ht="13.05" hidden="1" x14ac:dyDescent="0.3">
      <c r="A256" s="92">
        <v>3221</v>
      </c>
      <c r="B256" s="93" t="s">
        <v>291</v>
      </c>
      <c r="C256" s="551"/>
      <c r="D256" s="71"/>
      <c r="E256" s="71"/>
      <c r="F256" s="368"/>
      <c r="G256" s="368"/>
      <c r="H256" s="368"/>
      <c r="I256" s="368"/>
      <c r="J256" s="368"/>
      <c r="K256" s="368"/>
      <c r="L256" s="368"/>
      <c r="M256" s="368"/>
      <c r="N256" s="368"/>
      <c r="O256" s="368"/>
      <c r="P256" s="368"/>
      <c r="Q256" s="368"/>
      <c r="R256" s="368"/>
      <c r="S256" s="368"/>
      <c r="T256" s="368"/>
      <c r="U256" s="368"/>
      <c r="V256" s="506">
        <f t="shared" si="162"/>
        <v>0</v>
      </c>
      <c r="W256" s="506">
        <f t="shared" si="163"/>
        <v>0</v>
      </c>
      <c r="X256" s="31"/>
      <c r="Y256" s="486"/>
      <c r="Z256" s="31"/>
      <c r="AA256" s="31"/>
      <c r="AB256" s="31"/>
    </row>
    <row r="257" spans="1:38" ht="12.75" customHeight="1" x14ac:dyDescent="0.3">
      <c r="A257" s="92">
        <v>3222</v>
      </c>
      <c r="B257" s="93" t="s">
        <v>18</v>
      </c>
      <c r="C257" s="551">
        <v>1062000</v>
      </c>
      <c r="D257" s="71"/>
      <c r="E257" s="71">
        <v>562000</v>
      </c>
      <c r="F257" s="71">
        <v>1062000</v>
      </c>
      <c r="G257" s="71">
        <v>1062000</v>
      </c>
      <c r="H257" s="71">
        <v>1062000</v>
      </c>
      <c r="I257" s="71"/>
      <c r="J257" s="71"/>
      <c r="K257" s="71"/>
      <c r="L257" s="71"/>
      <c r="M257" s="63">
        <f>H257-I257+J257-K257+L257</f>
        <v>1062000</v>
      </c>
      <c r="N257" s="71">
        <f>1062000-500000</f>
        <v>562000</v>
      </c>
      <c r="O257" s="71">
        <v>1062000</v>
      </c>
      <c r="P257" s="71">
        <v>1062000</v>
      </c>
      <c r="Q257" s="71">
        <v>1062000</v>
      </c>
      <c r="R257" s="71">
        <v>1062000</v>
      </c>
      <c r="S257" s="70">
        <f>P257-M257</f>
        <v>0</v>
      </c>
      <c r="T257" s="70">
        <f>P257-N257</f>
        <v>500000</v>
      </c>
      <c r="U257" s="70">
        <f>Q257-O257</f>
        <v>0</v>
      </c>
      <c r="V257" s="506">
        <f t="shared" si="162"/>
        <v>0</v>
      </c>
      <c r="W257" s="506">
        <f t="shared" si="163"/>
        <v>0</v>
      </c>
      <c r="X257" s="31"/>
      <c r="Y257" s="486"/>
      <c r="Z257" s="31"/>
      <c r="AA257" s="31"/>
      <c r="AB257" s="31"/>
    </row>
    <row r="258" spans="1:38" ht="13.05" hidden="1" x14ac:dyDescent="0.3">
      <c r="A258" s="92">
        <v>3224</v>
      </c>
      <c r="B258" s="93" t="s">
        <v>112</v>
      </c>
      <c r="C258" s="551"/>
      <c r="D258" s="71"/>
      <c r="E258" s="71"/>
      <c r="F258" s="368"/>
      <c r="G258" s="368"/>
      <c r="H258" s="368"/>
      <c r="I258" s="368"/>
      <c r="J258" s="368"/>
      <c r="K258" s="368"/>
      <c r="L258" s="368"/>
      <c r="M258" s="368"/>
      <c r="N258" s="368"/>
      <c r="O258" s="368"/>
      <c r="P258" s="71"/>
      <c r="Q258" s="71"/>
      <c r="R258" s="71"/>
      <c r="S258" s="63">
        <f>H258-E258</f>
        <v>0</v>
      </c>
      <c r="T258" s="63"/>
      <c r="U258" s="63">
        <f>N258-G258</f>
        <v>0</v>
      </c>
      <c r="V258" s="506">
        <f t="shared" si="162"/>
        <v>0</v>
      </c>
      <c r="W258" s="506">
        <f t="shared" si="163"/>
        <v>0</v>
      </c>
      <c r="X258" s="31"/>
      <c r="Y258" s="486"/>
      <c r="Z258" s="31"/>
      <c r="AA258" s="31"/>
      <c r="AB258" s="31"/>
    </row>
    <row r="259" spans="1:38" x14ac:dyDescent="0.3">
      <c r="A259" s="542">
        <v>3225</v>
      </c>
      <c r="B259" s="535" t="s">
        <v>21</v>
      </c>
      <c r="C259" s="94">
        <v>133000</v>
      </c>
      <c r="D259" s="63"/>
      <c r="E259" s="63">
        <v>133000</v>
      </c>
      <c r="F259" s="95">
        <v>133000</v>
      </c>
      <c r="G259" s="95">
        <v>133000</v>
      </c>
      <c r="H259" s="95">
        <v>133000</v>
      </c>
      <c r="I259" s="95"/>
      <c r="J259" s="95"/>
      <c r="K259" s="63"/>
      <c r="L259" s="63"/>
      <c r="M259" s="63">
        <f>H259-I259+J259-K259+L259</f>
        <v>133000</v>
      </c>
      <c r="N259" s="95">
        <v>133000</v>
      </c>
      <c r="O259" s="95">
        <v>133000</v>
      </c>
      <c r="P259" s="63">
        <v>133000</v>
      </c>
      <c r="Q259" s="63">
        <v>133000</v>
      </c>
      <c r="R259" s="63">
        <v>133000</v>
      </c>
      <c r="S259" s="70">
        <f>P259-M259</f>
        <v>0</v>
      </c>
      <c r="T259" s="70">
        <f>P259-N259</f>
        <v>0</v>
      </c>
      <c r="U259" s="70">
        <f>Q259-O259</f>
        <v>0</v>
      </c>
      <c r="V259" s="506">
        <f t="shared" si="162"/>
        <v>0</v>
      </c>
      <c r="W259" s="506">
        <f t="shared" si="163"/>
        <v>0</v>
      </c>
      <c r="X259" s="31"/>
      <c r="Y259" s="486"/>
      <c r="Z259" s="31"/>
      <c r="AA259" s="31"/>
      <c r="AB259" s="31"/>
    </row>
    <row r="260" spans="1:38" x14ac:dyDescent="0.3">
      <c r="A260" s="92">
        <v>3227</v>
      </c>
      <c r="B260" s="93" t="s">
        <v>22</v>
      </c>
      <c r="C260" s="94">
        <v>12608000</v>
      </c>
      <c r="D260" s="63"/>
      <c r="E260" s="63">
        <v>12608000</v>
      </c>
      <c r="F260" s="95">
        <v>13272000</v>
      </c>
      <c r="G260" s="95">
        <v>13272000</v>
      </c>
      <c r="H260" s="95">
        <v>14000000</v>
      </c>
      <c r="I260" s="95"/>
      <c r="J260" s="95"/>
      <c r="K260" s="63"/>
      <c r="L260" s="63"/>
      <c r="M260" s="63">
        <f>H260-I260+J260-K260+L260</f>
        <v>14000000</v>
      </c>
      <c r="N260" s="95">
        <f>14000000-1500000</f>
        <v>12500000</v>
      </c>
      <c r="O260" s="95">
        <v>14000000</v>
      </c>
      <c r="P260" s="63">
        <f>14000000+1000000</f>
        <v>15000000</v>
      </c>
      <c r="Q260" s="63">
        <f t="shared" ref="Q260:R260" si="207">14000000+1000000</f>
        <v>15000000</v>
      </c>
      <c r="R260" s="63">
        <f t="shared" si="207"/>
        <v>15000000</v>
      </c>
      <c r="S260" s="70">
        <f>P260-M260</f>
        <v>1000000</v>
      </c>
      <c r="T260" s="70">
        <f>P260-N260</f>
        <v>2500000</v>
      </c>
      <c r="U260" s="70">
        <f>Q260-O260</f>
        <v>1000000</v>
      </c>
      <c r="V260" s="506">
        <f t="shared" si="162"/>
        <v>1000000</v>
      </c>
      <c r="W260" s="506">
        <f t="shared" si="163"/>
        <v>0</v>
      </c>
      <c r="X260" s="31"/>
      <c r="Y260" s="486"/>
      <c r="Z260" s="31"/>
      <c r="AA260" s="31"/>
      <c r="AB260" s="31"/>
    </row>
    <row r="261" spans="1:38" s="6" customFormat="1" ht="14.4" x14ac:dyDescent="0.3">
      <c r="A261" s="557" t="s">
        <v>159</v>
      </c>
      <c r="B261" s="558" t="s">
        <v>123</v>
      </c>
      <c r="C261" s="559">
        <f t="shared" ref="C261:F261" si="208">SUM(C262+C263)</f>
        <v>796000</v>
      </c>
      <c r="D261" s="79"/>
      <c r="E261" s="79">
        <f t="shared" ref="E261" si="209">SUM(E262+E263)</f>
        <v>796000</v>
      </c>
      <c r="F261" s="369">
        <f t="shared" si="208"/>
        <v>796000</v>
      </c>
      <c r="G261" s="369">
        <f t="shared" ref="G261:U261" si="210">SUM(G262+G263)</f>
        <v>796000</v>
      </c>
      <c r="H261" s="369">
        <f t="shared" si="210"/>
        <v>796000</v>
      </c>
      <c r="I261" s="369">
        <f t="shared" si="210"/>
        <v>0</v>
      </c>
      <c r="J261" s="369">
        <f t="shared" si="210"/>
        <v>0</v>
      </c>
      <c r="K261" s="369">
        <f t="shared" si="210"/>
        <v>0</v>
      </c>
      <c r="L261" s="369">
        <f t="shared" si="210"/>
        <v>0</v>
      </c>
      <c r="M261" s="369">
        <f t="shared" si="210"/>
        <v>796000</v>
      </c>
      <c r="N261" s="369">
        <f t="shared" si="210"/>
        <v>796000</v>
      </c>
      <c r="O261" s="369">
        <f t="shared" si="210"/>
        <v>796000</v>
      </c>
      <c r="P261" s="369">
        <f t="shared" si="210"/>
        <v>1000000</v>
      </c>
      <c r="Q261" s="369">
        <f t="shared" si="210"/>
        <v>1000000</v>
      </c>
      <c r="R261" s="369">
        <f t="shared" si="210"/>
        <v>1000000</v>
      </c>
      <c r="S261" s="369">
        <f t="shared" si="210"/>
        <v>204000</v>
      </c>
      <c r="T261" s="369">
        <f t="shared" si="210"/>
        <v>204000</v>
      </c>
      <c r="U261" s="369">
        <f t="shared" si="210"/>
        <v>204000</v>
      </c>
      <c r="V261" s="506">
        <f t="shared" si="162"/>
        <v>204000</v>
      </c>
      <c r="W261" s="506">
        <f t="shared" si="163"/>
        <v>0</v>
      </c>
      <c r="X261" s="97"/>
      <c r="Y261" s="496"/>
      <c r="Z261" s="97"/>
      <c r="AA261" s="97"/>
      <c r="AB261" s="97"/>
      <c r="AH261" s="575"/>
      <c r="AI261" s="575"/>
      <c r="AJ261" s="575"/>
      <c r="AK261" s="575"/>
      <c r="AL261" s="575"/>
    </row>
    <row r="262" spans="1:38" customFormat="1" ht="14.4" x14ac:dyDescent="0.3">
      <c r="A262" s="130">
        <v>3235</v>
      </c>
      <c r="B262" s="107" t="s">
        <v>28</v>
      </c>
      <c r="C262" s="560">
        <v>796000</v>
      </c>
      <c r="D262" s="81"/>
      <c r="E262" s="81">
        <v>796000</v>
      </c>
      <c r="F262" s="370">
        <v>796000</v>
      </c>
      <c r="G262" s="370">
        <v>796000</v>
      </c>
      <c r="H262" s="370">
        <v>796000</v>
      </c>
      <c r="I262" s="370"/>
      <c r="J262" s="370"/>
      <c r="K262" s="81"/>
      <c r="L262" s="81"/>
      <c r="M262" s="63">
        <f>H262-I262+J262-K262+L262</f>
        <v>796000</v>
      </c>
      <c r="N262" s="370">
        <v>796000</v>
      </c>
      <c r="O262" s="370">
        <v>796000</v>
      </c>
      <c r="P262" s="81">
        <v>1000000</v>
      </c>
      <c r="Q262" s="81">
        <v>1000000</v>
      </c>
      <c r="R262" s="81">
        <v>1000000</v>
      </c>
      <c r="S262" s="70">
        <f>P262-M262</f>
        <v>204000</v>
      </c>
      <c r="T262" s="70">
        <f>P262-N262</f>
        <v>204000</v>
      </c>
      <c r="U262" s="70">
        <f>Q262-O262</f>
        <v>204000</v>
      </c>
      <c r="V262" s="506">
        <f t="shared" si="162"/>
        <v>204000</v>
      </c>
      <c r="W262" s="506">
        <f t="shared" si="163"/>
        <v>0</v>
      </c>
      <c r="X262" s="98"/>
      <c r="Y262" s="497"/>
      <c r="Z262" s="98"/>
      <c r="AA262" s="98"/>
      <c r="AB262" s="98"/>
      <c r="AH262" s="485"/>
      <c r="AI262" s="485"/>
      <c r="AJ262" s="485"/>
      <c r="AK262" s="485"/>
      <c r="AL262" s="485"/>
    </row>
    <row r="263" spans="1:38" customFormat="1" ht="14.55" hidden="1" x14ac:dyDescent="0.35">
      <c r="A263" s="130">
        <v>3238</v>
      </c>
      <c r="B263" s="107" t="s">
        <v>70</v>
      </c>
      <c r="C263" s="560"/>
      <c r="D263" s="81"/>
      <c r="E263" s="81"/>
      <c r="F263" s="370"/>
      <c r="G263" s="370"/>
      <c r="H263" s="370"/>
      <c r="I263" s="370"/>
      <c r="J263" s="370"/>
      <c r="K263" s="370"/>
      <c r="L263" s="370"/>
      <c r="M263" s="370"/>
      <c r="N263" s="370"/>
      <c r="O263" s="370"/>
      <c r="P263" s="370"/>
      <c r="Q263" s="370"/>
      <c r="R263" s="370"/>
      <c r="S263" s="370"/>
      <c r="T263" s="370"/>
      <c r="U263" s="370"/>
      <c r="V263" s="506">
        <f t="shared" si="162"/>
        <v>0</v>
      </c>
      <c r="W263" s="506">
        <f t="shared" si="163"/>
        <v>0</v>
      </c>
      <c r="X263" s="98"/>
      <c r="Y263" s="497"/>
      <c r="Z263" s="98"/>
      <c r="AA263" s="98"/>
      <c r="AB263" s="98"/>
      <c r="AH263" s="485"/>
      <c r="AI263" s="485"/>
      <c r="AJ263" s="485"/>
      <c r="AK263" s="485"/>
      <c r="AL263" s="485"/>
    </row>
    <row r="264" spans="1:38" x14ac:dyDescent="0.3">
      <c r="A264" s="88">
        <v>329</v>
      </c>
      <c r="B264" s="89" t="s">
        <v>33</v>
      </c>
      <c r="C264" s="90">
        <f t="shared" ref="C264:U264" si="211">SUM(C265)</f>
        <v>664000</v>
      </c>
      <c r="D264" s="62"/>
      <c r="E264" s="62">
        <f t="shared" si="211"/>
        <v>664000</v>
      </c>
      <c r="F264" s="91">
        <f t="shared" si="211"/>
        <v>398000</v>
      </c>
      <c r="G264" s="91">
        <f t="shared" si="211"/>
        <v>398000</v>
      </c>
      <c r="H264" s="91">
        <f t="shared" si="211"/>
        <v>398000</v>
      </c>
      <c r="I264" s="91">
        <f t="shared" si="211"/>
        <v>0</v>
      </c>
      <c r="J264" s="91">
        <f t="shared" si="211"/>
        <v>0</v>
      </c>
      <c r="K264" s="91">
        <f t="shared" si="211"/>
        <v>0</v>
      </c>
      <c r="L264" s="91">
        <f t="shared" si="211"/>
        <v>0</v>
      </c>
      <c r="M264" s="91">
        <f t="shared" si="211"/>
        <v>398000</v>
      </c>
      <c r="N264" s="91">
        <f t="shared" si="211"/>
        <v>398000</v>
      </c>
      <c r="O264" s="91">
        <f t="shared" si="211"/>
        <v>398000</v>
      </c>
      <c r="P264" s="91">
        <f t="shared" si="211"/>
        <v>400000</v>
      </c>
      <c r="Q264" s="91">
        <f t="shared" si="211"/>
        <v>400000</v>
      </c>
      <c r="R264" s="91">
        <f t="shared" si="211"/>
        <v>400000</v>
      </c>
      <c r="S264" s="91">
        <f t="shared" si="211"/>
        <v>2000</v>
      </c>
      <c r="T264" s="91">
        <f t="shared" si="211"/>
        <v>2000</v>
      </c>
      <c r="U264" s="91">
        <f t="shared" si="211"/>
        <v>2000</v>
      </c>
      <c r="V264" s="506">
        <f t="shared" si="162"/>
        <v>2000</v>
      </c>
      <c r="W264" s="506">
        <f t="shared" si="163"/>
        <v>0</v>
      </c>
      <c r="X264" s="31"/>
      <c r="Y264" s="486"/>
      <c r="Z264" s="31"/>
      <c r="AA264" s="31"/>
      <c r="AB264" s="31"/>
    </row>
    <row r="265" spans="1:38" x14ac:dyDescent="0.3">
      <c r="A265" s="92">
        <v>3299</v>
      </c>
      <c r="B265" s="93" t="s">
        <v>33</v>
      </c>
      <c r="C265" s="94">
        <v>664000</v>
      </c>
      <c r="D265" s="63"/>
      <c r="E265" s="63">
        <v>664000</v>
      </c>
      <c r="F265" s="95">
        <v>398000</v>
      </c>
      <c r="G265" s="95">
        <v>398000</v>
      </c>
      <c r="H265" s="95">
        <v>398000</v>
      </c>
      <c r="I265" s="95"/>
      <c r="J265" s="95"/>
      <c r="K265" s="63"/>
      <c r="L265" s="63"/>
      <c r="M265" s="63">
        <f>H265-I265+J265-K265+L265</f>
        <v>398000</v>
      </c>
      <c r="N265" s="95">
        <v>398000</v>
      </c>
      <c r="O265" s="95">
        <v>398000</v>
      </c>
      <c r="P265" s="63">
        <v>400000</v>
      </c>
      <c r="Q265" s="63">
        <v>400000</v>
      </c>
      <c r="R265" s="63">
        <v>400000</v>
      </c>
      <c r="S265" s="70">
        <f>P265-M265</f>
        <v>2000</v>
      </c>
      <c r="T265" s="70">
        <f>P265-N265</f>
        <v>2000</v>
      </c>
      <c r="U265" s="70">
        <f>Q265-O265</f>
        <v>2000</v>
      </c>
      <c r="V265" s="506">
        <f t="shared" si="162"/>
        <v>2000</v>
      </c>
      <c r="W265" s="506">
        <f t="shared" si="163"/>
        <v>0</v>
      </c>
      <c r="X265" s="31"/>
      <c r="Y265" s="486"/>
      <c r="Z265" s="31"/>
      <c r="AA265" s="31"/>
      <c r="AB265" s="31"/>
      <c r="AI265" s="498">
        <v>59710</v>
      </c>
    </row>
    <row r="266" spans="1:38" x14ac:dyDescent="0.3">
      <c r="A266" s="144" t="s">
        <v>319</v>
      </c>
      <c r="B266" s="145" t="s">
        <v>320</v>
      </c>
      <c r="C266" s="531">
        <f t="shared" ref="C266:U267" si="212">SUM(C267)</f>
        <v>176000</v>
      </c>
      <c r="D266" s="141"/>
      <c r="E266" s="141">
        <f t="shared" si="212"/>
        <v>82000</v>
      </c>
      <c r="F266" s="364">
        <f t="shared" si="212"/>
        <v>133000</v>
      </c>
      <c r="G266" s="364">
        <f t="shared" si="212"/>
        <v>133000</v>
      </c>
      <c r="H266" s="364">
        <f t="shared" si="212"/>
        <v>176000</v>
      </c>
      <c r="I266" s="364">
        <f t="shared" si="212"/>
        <v>0</v>
      </c>
      <c r="J266" s="364">
        <f t="shared" si="212"/>
        <v>119000</v>
      </c>
      <c r="K266" s="364">
        <f t="shared" si="212"/>
        <v>0</v>
      </c>
      <c r="L266" s="364">
        <f t="shared" si="212"/>
        <v>0</v>
      </c>
      <c r="M266" s="364">
        <f t="shared" si="212"/>
        <v>295000</v>
      </c>
      <c r="N266" s="364">
        <f t="shared" si="212"/>
        <v>86000</v>
      </c>
      <c r="O266" s="364">
        <f t="shared" si="212"/>
        <v>176000</v>
      </c>
      <c r="P266" s="364">
        <f t="shared" si="212"/>
        <v>420000</v>
      </c>
      <c r="Q266" s="364">
        <f t="shared" si="212"/>
        <v>320000</v>
      </c>
      <c r="R266" s="364">
        <f t="shared" si="212"/>
        <v>230000</v>
      </c>
      <c r="S266" s="532">
        <f t="shared" si="212"/>
        <v>125000</v>
      </c>
      <c r="T266" s="532">
        <f t="shared" si="212"/>
        <v>334000</v>
      </c>
      <c r="U266" s="532">
        <f t="shared" si="212"/>
        <v>144000</v>
      </c>
      <c r="V266" s="506">
        <f t="shared" si="162"/>
        <v>125000</v>
      </c>
      <c r="W266" s="506">
        <f t="shared" si="163"/>
        <v>0</v>
      </c>
      <c r="X266" s="31"/>
      <c r="Y266" s="486"/>
      <c r="Z266" s="31"/>
      <c r="AA266" s="31"/>
      <c r="AB266" s="31"/>
      <c r="AI266" s="498">
        <f>AI265*12</f>
        <v>716520</v>
      </c>
    </row>
    <row r="267" spans="1:38" s="2" customFormat="1" x14ac:dyDescent="0.3">
      <c r="A267" s="88">
        <v>342</v>
      </c>
      <c r="B267" s="556" t="s">
        <v>216</v>
      </c>
      <c r="C267" s="90">
        <f t="shared" si="212"/>
        <v>176000</v>
      </c>
      <c r="D267" s="62"/>
      <c r="E267" s="62">
        <f t="shared" si="212"/>
        <v>82000</v>
      </c>
      <c r="F267" s="91">
        <f t="shared" si="212"/>
        <v>133000</v>
      </c>
      <c r="G267" s="91">
        <f t="shared" si="212"/>
        <v>133000</v>
      </c>
      <c r="H267" s="91">
        <f t="shared" si="212"/>
        <v>176000</v>
      </c>
      <c r="I267" s="91">
        <f t="shared" si="212"/>
        <v>0</v>
      </c>
      <c r="J267" s="91">
        <f t="shared" si="212"/>
        <v>119000</v>
      </c>
      <c r="K267" s="91">
        <f t="shared" si="212"/>
        <v>0</v>
      </c>
      <c r="L267" s="91">
        <f t="shared" si="212"/>
        <v>0</v>
      </c>
      <c r="M267" s="91">
        <f t="shared" si="212"/>
        <v>295000</v>
      </c>
      <c r="N267" s="91">
        <f t="shared" si="212"/>
        <v>86000</v>
      </c>
      <c r="O267" s="91">
        <f t="shared" si="212"/>
        <v>176000</v>
      </c>
      <c r="P267" s="91">
        <f t="shared" si="212"/>
        <v>420000</v>
      </c>
      <c r="Q267" s="91">
        <f t="shared" si="212"/>
        <v>320000</v>
      </c>
      <c r="R267" s="91">
        <f t="shared" si="212"/>
        <v>230000</v>
      </c>
      <c r="S267" s="91">
        <f t="shared" si="212"/>
        <v>125000</v>
      </c>
      <c r="T267" s="91">
        <f t="shared" si="212"/>
        <v>334000</v>
      </c>
      <c r="U267" s="91">
        <f t="shared" si="212"/>
        <v>144000</v>
      </c>
      <c r="V267" s="506">
        <f t="shared" ref="V267:V330" si="213">P267-M267</f>
        <v>125000</v>
      </c>
      <c r="W267" s="506">
        <f t="shared" ref="W267:W330" si="214">S267-V267</f>
        <v>0</v>
      </c>
      <c r="X267" s="34"/>
      <c r="Y267" s="490"/>
      <c r="Z267" s="34"/>
      <c r="AA267" s="34"/>
      <c r="AB267" s="34"/>
      <c r="AH267" s="525"/>
      <c r="AI267" s="525">
        <v>796000</v>
      </c>
      <c r="AJ267" s="525"/>
      <c r="AK267" s="525"/>
      <c r="AL267" s="525"/>
    </row>
    <row r="268" spans="1:38" ht="24.75" customHeight="1" x14ac:dyDescent="0.3">
      <c r="A268" s="657">
        <v>3427</v>
      </c>
      <c r="B268" s="658" t="s">
        <v>217</v>
      </c>
      <c r="C268" s="546">
        <v>176000</v>
      </c>
      <c r="D268" s="480"/>
      <c r="E268" s="480">
        <v>82000</v>
      </c>
      <c r="F268" s="481">
        <v>133000</v>
      </c>
      <c r="G268" s="481">
        <v>133000</v>
      </c>
      <c r="H268" s="480">
        <v>176000</v>
      </c>
      <c r="I268" s="480"/>
      <c r="J268" s="480">
        <v>119000</v>
      </c>
      <c r="K268" s="480"/>
      <c r="L268" s="480"/>
      <c r="M268" s="480">
        <f>H268-I268+J268-K268+L268</f>
        <v>295000</v>
      </c>
      <c r="N268" s="63">
        <f>176000-90000</f>
        <v>86000</v>
      </c>
      <c r="O268" s="63">
        <v>176000</v>
      </c>
      <c r="P268" s="63">
        <v>420000</v>
      </c>
      <c r="Q268" s="63">
        <v>320000</v>
      </c>
      <c r="R268" s="63">
        <v>230000</v>
      </c>
      <c r="S268" s="70">
        <f>P268-M268</f>
        <v>125000</v>
      </c>
      <c r="T268" s="70">
        <f>P268-N268</f>
        <v>334000</v>
      </c>
      <c r="U268" s="70">
        <f>Q268-O268</f>
        <v>144000</v>
      </c>
      <c r="V268" s="506">
        <f t="shared" si="213"/>
        <v>125000</v>
      </c>
      <c r="W268" s="506">
        <f t="shared" si="214"/>
        <v>0</v>
      </c>
      <c r="X268" s="31"/>
      <c r="Y268" s="486"/>
      <c r="Z268" s="31"/>
      <c r="AA268" s="31"/>
      <c r="AB268" s="31"/>
      <c r="AI268" s="498">
        <f>AI267-AI266</f>
        <v>79480</v>
      </c>
    </row>
    <row r="269" spans="1:38" ht="13.05" hidden="1" x14ac:dyDescent="0.3">
      <c r="A269" s="88">
        <v>412</v>
      </c>
      <c r="B269" s="556" t="s">
        <v>67</v>
      </c>
      <c r="C269" s="90">
        <f t="shared" ref="C269:U269" si="215">SUM(C270)</f>
        <v>0</v>
      </c>
      <c r="D269" s="62"/>
      <c r="E269" s="62">
        <f t="shared" si="215"/>
        <v>0</v>
      </c>
      <c r="F269" s="91">
        <f t="shared" si="215"/>
        <v>0</v>
      </c>
      <c r="G269" s="91">
        <f t="shared" si="215"/>
        <v>0</v>
      </c>
      <c r="H269" s="91">
        <f t="shared" si="215"/>
        <v>0</v>
      </c>
      <c r="I269" s="91"/>
      <c r="J269" s="91"/>
      <c r="K269" s="91"/>
      <c r="L269" s="91"/>
      <c r="M269" s="91"/>
      <c r="N269" s="91">
        <f t="shared" si="215"/>
        <v>0</v>
      </c>
      <c r="O269" s="91">
        <f t="shared" si="215"/>
        <v>0</v>
      </c>
      <c r="P269" s="91"/>
      <c r="Q269" s="91"/>
      <c r="R269" s="91"/>
      <c r="S269" s="91">
        <f t="shared" si="215"/>
        <v>0</v>
      </c>
      <c r="T269" s="91"/>
      <c r="U269" s="91">
        <f t="shared" si="215"/>
        <v>0</v>
      </c>
      <c r="V269" s="506">
        <f t="shared" si="213"/>
        <v>0</v>
      </c>
      <c r="W269" s="506">
        <f t="shared" si="214"/>
        <v>0</v>
      </c>
      <c r="X269" s="31"/>
      <c r="Y269" s="486"/>
      <c r="Z269" s="31"/>
      <c r="AA269" s="31"/>
      <c r="AB269" s="31"/>
    </row>
    <row r="270" spans="1:38" ht="13.05" hidden="1" x14ac:dyDescent="0.3">
      <c r="A270" s="92">
        <v>4124</v>
      </c>
      <c r="B270" s="93" t="s">
        <v>125</v>
      </c>
      <c r="C270" s="94"/>
      <c r="D270" s="63"/>
      <c r="E270" s="63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506">
        <f t="shared" si="213"/>
        <v>0</v>
      </c>
      <c r="W270" s="506">
        <f t="shared" si="214"/>
        <v>0</v>
      </c>
      <c r="X270" s="31"/>
      <c r="Y270" s="486"/>
      <c r="Z270" s="31"/>
      <c r="AA270" s="31"/>
      <c r="AB270" s="31"/>
    </row>
    <row r="271" spans="1:38" ht="24" customHeight="1" x14ac:dyDescent="0.3">
      <c r="A271" s="570" t="s">
        <v>323</v>
      </c>
      <c r="B271" s="571" t="s">
        <v>324</v>
      </c>
      <c r="C271" s="531">
        <f t="shared" ref="C271:G271" si="216">SUM(C272,C278,C280)</f>
        <v>6941000</v>
      </c>
      <c r="D271" s="141"/>
      <c r="E271" s="141">
        <f t="shared" ref="E271" si="217">SUM(E272,E278,E280)</f>
        <v>6121000</v>
      </c>
      <c r="F271" s="364">
        <f t="shared" si="216"/>
        <v>4698000</v>
      </c>
      <c r="G271" s="364">
        <f t="shared" si="216"/>
        <v>4698000</v>
      </c>
      <c r="H271" s="364">
        <f>SUM(H272+H278+H280)</f>
        <v>5483000</v>
      </c>
      <c r="I271" s="364">
        <f t="shared" ref="I271:L271" si="218">SUM(I272+I278+I280)</f>
        <v>0</v>
      </c>
      <c r="J271" s="364">
        <f t="shared" si="218"/>
        <v>0</v>
      </c>
      <c r="K271" s="364">
        <f t="shared" si="218"/>
        <v>0</v>
      </c>
      <c r="L271" s="364">
        <f t="shared" si="218"/>
        <v>0</v>
      </c>
      <c r="M271" s="364">
        <f>SUM(M272+M278+M280)</f>
        <v>5483000</v>
      </c>
      <c r="N271" s="364">
        <f t="shared" ref="N271:U271" si="219">SUM(N272,N278,N280)</f>
        <v>4683000</v>
      </c>
      <c r="O271" s="364">
        <f t="shared" si="219"/>
        <v>4783000</v>
      </c>
      <c r="P271" s="364">
        <f t="shared" si="219"/>
        <v>14250000</v>
      </c>
      <c r="Q271" s="364">
        <f t="shared" si="219"/>
        <v>10750000</v>
      </c>
      <c r="R271" s="364">
        <f t="shared" si="219"/>
        <v>10850000</v>
      </c>
      <c r="S271" s="532">
        <f t="shared" si="219"/>
        <v>8767000</v>
      </c>
      <c r="T271" s="532">
        <f t="shared" si="219"/>
        <v>9567000</v>
      </c>
      <c r="U271" s="532">
        <f t="shared" si="219"/>
        <v>5967000</v>
      </c>
      <c r="V271" s="506">
        <f t="shared" si="213"/>
        <v>8767000</v>
      </c>
      <c r="W271" s="506">
        <f t="shared" si="214"/>
        <v>0</v>
      </c>
      <c r="X271" s="31"/>
      <c r="Y271" s="486"/>
      <c r="Z271" s="31"/>
      <c r="AA271" s="31"/>
      <c r="AB271" s="31"/>
    </row>
    <row r="272" spans="1:38" x14ac:dyDescent="0.3">
      <c r="A272" s="88">
        <v>422</v>
      </c>
      <c r="B272" s="556" t="s">
        <v>53</v>
      </c>
      <c r="C272" s="90">
        <f t="shared" ref="C272:U272" si="220">SUM(C273:C277)</f>
        <v>4141000</v>
      </c>
      <c r="D272" s="62"/>
      <c r="E272" s="62">
        <f t="shared" ref="E272" si="221">SUM(E273:E277)</f>
        <v>4141000</v>
      </c>
      <c r="F272" s="91">
        <f t="shared" si="220"/>
        <v>3185000</v>
      </c>
      <c r="G272" s="91">
        <f t="shared" si="220"/>
        <v>3185000</v>
      </c>
      <c r="H272" s="91">
        <f t="shared" si="220"/>
        <v>3970000</v>
      </c>
      <c r="I272" s="91">
        <f t="shared" si="220"/>
        <v>0</v>
      </c>
      <c r="J272" s="91">
        <f t="shared" si="220"/>
        <v>0</v>
      </c>
      <c r="K272" s="91">
        <f t="shared" si="220"/>
        <v>0</v>
      </c>
      <c r="L272" s="91">
        <f t="shared" si="220"/>
        <v>0</v>
      </c>
      <c r="M272" s="91">
        <f t="shared" si="220"/>
        <v>3970000</v>
      </c>
      <c r="N272" s="91">
        <f t="shared" si="220"/>
        <v>3170000</v>
      </c>
      <c r="O272" s="91">
        <f t="shared" si="220"/>
        <v>3270000</v>
      </c>
      <c r="P272" s="91">
        <f t="shared" si="220"/>
        <v>11100000</v>
      </c>
      <c r="Q272" s="91">
        <f t="shared" si="220"/>
        <v>7600000</v>
      </c>
      <c r="R272" s="91">
        <f t="shared" si="220"/>
        <v>7600000</v>
      </c>
      <c r="S272" s="91">
        <f t="shared" si="220"/>
        <v>7130000</v>
      </c>
      <c r="T272" s="91">
        <f t="shared" si="220"/>
        <v>7930000</v>
      </c>
      <c r="U272" s="91">
        <f t="shared" si="220"/>
        <v>4330000</v>
      </c>
      <c r="V272" s="506">
        <f t="shared" si="213"/>
        <v>7130000</v>
      </c>
      <c r="W272" s="506">
        <f t="shared" si="214"/>
        <v>0</v>
      </c>
      <c r="X272" s="31"/>
      <c r="Y272" s="486"/>
      <c r="Z272" s="31"/>
      <c r="AA272" s="31"/>
      <c r="AB272" s="31"/>
    </row>
    <row r="273" spans="1:30" ht="14.55" customHeight="1" x14ac:dyDescent="0.3">
      <c r="A273" s="92">
        <v>4221</v>
      </c>
      <c r="B273" s="93" t="s">
        <v>54</v>
      </c>
      <c r="C273" s="94">
        <v>265000</v>
      </c>
      <c r="D273" s="63"/>
      <c r="E273" s="63">
        <v>265000</v>
      </c>
      <c r="F273" s="95">
        <v>265000</v>
      </c>
      <c r="G273" s="95">
        <v>265000</v>
      </c>
      <c r="H273" s="366">
        <f>350000+200000+500000</f>
        <v>1050000</v>
      </c>
      <c r="I273" s="366"/>
      <c r="J273" s="366"/>
      <c r="K273" s="70"/>
      <c r="L273" s="70"/>
      <c r="M273" s="63">
        <f>H273-I273+J273-K273+L273</f>
        <v>1050000</v>
      </c>
      <c r="N273" s="95">
        <f>350000-100000</f>
        <v>250000</v>
      </c>
      <c r="O273" s="95">
        <v>350000</v>
      </c>
      <c r="P273" s="63">
        <v>1600000</v>
      </c>
      <c r="Q273" s="63">
        <v>1600000</v>
      </c>
      <c r="R273" s="63">
        <v>1600000</v>
      </c>
      <c r="S273" s="70">
        <f>P273-M273</f>
        <v>550000</v>
      </c>
      <c r="T273" s="70">
        <f t="shared" ref="T273:U275" si="222">P273-N273</f>
        <v>1350000</v>
      </c>
      <c r="U273" s="70">
        <f t="shared" si="222"/>
        <v>1250000</v>
      </c>
      <c r="V273" s="506">
        <f t="shared" si="213"/>
        <v>550000</v>
      </c>
      <c r="W273" s="506">
        <f t="shared" si="214"/>
        <v>0</v>
      </c>
      <c r="X273" s="68" t="s">
        <v>414</v>
      </c>
      <c r="Y273" s="493"/>
      <c r="Z273" s="31"/>
      <c r="AA273" s="31"/>
      <c r="AB273" s="31"/>
      <c r="AD273" s="24"/>
    </row>
    <row r="274" spans="1:30" ht="13.05" hidden="1" x14ac:dyDescent="0.3">
      <c r="A274" s="92">
        <v>4222</v>
      </c>
      <c r="B274" s="93" t="s">
        <v>58</v>
      </c>
      <c r="C274" s="94"/>
      <c r="D274" s="63"/>
      <c r="E274" s="63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63"/>
      <c r="Q274" s="63"/>
      <c r="R274" s="63"/>
      <c r="S274" s="70">
        <f>P274-M274</f>
        <v>0</v>
      </c>
      <c r="T274" s="70">
        <f t="shared" si="222"/>
        <v>0</v>
      </c>
      <c r="U274" s="70">
        <f t="shared" si="222"/>
        <v>0</v>
      </c>
      <c r="V274" s="506">
        <f t="shared" si="213"/>
        <v>0</v>
      </c>
      <c r="W274" s="506">
        <f t="shared" si="214"/>
        <v>0</v>
      </c>
      <c r="X274" s="31"/>
      <c r="Y274" s="493"/>
      <c r="Z274" s="31"/>
      <c r="AA274" s="31"/>
      <c r="AB274" s="31"/>
    </row>
    <row r="275" spans="1:30" x14ac:dyDescent="0.3">
      <c r="A275" s="92">
        <v>4223</v>
      </c>
      <c r="B275" s="93" t="s">
        <v>59</v>
      </c>
      <c r="C275" s="94">
        <v>2124000</v>
      </c>
      <c r="D275" s="63"/>
      <c r="E275" s="63">
        <v>2124000</v>
      </c>
      <c r="F275" s="95">
        <v>2124000</v>
      </c>
      <c r="G275" s="95">
        <v>2124000</v>
      </c>
      <c r="H275" s="366">
        <v>1970000</v>
      </c>
      <c r="I275" s="366"/>
      <c r="J275" s="366"/>
      <c r="K275" s="70"/>
      <c r="L275" s="70"/>
      <c r="M275" s="63">
        <f>H275-I275+J275-K275+L275</f>
        <v>1970000</v>
      </c>
      <c r="N275" s="95">
        <v>2124000</v>
      </c>
      <c r="O275" s="95">
        <v>2124000</v>
      </c>
      <c r="P275" s="63">
        <f>6500000+1000000</f>
        <v>7500000</v>
      </c>
      <c r="Q275" s="63">
        <v>4000000</v>
      </c>
      <c r="R275" s="63">
        <v>4000000</v>
      </c>
      <c r="S275" s="70">
        <f>P275-M275</f>
        <v>5530000</v>
      </c>
      <c r="T275" s="70">
        <f t="shared" si="222"/>
        <v>5376000</v>
      </c>
      <c r="U275" s="70">
        <f t="shared" si="222"/>
        <v>1876000</v>
      </c>
      <c r="V275" s="506">
        <f t="shared" si="213"/>
        <v>5530000</v>
      </c>
      <c r="W275" s="506">
        <f t="shared" si="214"/>
        <v>0</v>
      </c>
      <c r="X275" s="68" t="s">
        <v>416</v>
      </c>
      <c r="Y275" s="493"/>
      <c r="Z275" s="31"/>
      <c r="AA275" s="31"/>
      <c r="AB275" s="31"/>
    </row>
    <row r="276" spans="1:30" ht="13.05" hidden="1" x14ac:dyDescent="0.3">
      <c r="A276" s="92">
        <v>4225</v>
      </c>
      <c r="B276" s="93" t="s">
        <v>105</v>
      </c>
      <c r="C276" s="94"/>
      <c r="D276" s="63"/>
      <c r="E276" s="63"/>
      <c r="F276" s="95"/>
      <c r="G276" s="95"/>
      <c r="H276" s="366"/>
      <c r="I276" s="366"/>
      <c r="J276" s="366"/>
      <c r="K276" s="366"/>
      <c r="L276" s="366"/>
      <c r="M276" s="366"/>
      <c r="N276" s="95"/>
      <c r="O276" s="95"/>
      <c r="P276" s="63"/>
      <c r="Q276" s="63"/>
      <c r="R276" s="63"/>
      <c r="S276" s="63">
        <f>H276-E276</f>
        <v>0</v>
      </c>
      <c r="T276" s="63"/>
      <c r="U276" s="63">
        <f>N276-G276</f>
        <v>0</v>
      </c>
      <c r="V276" s="506">
        <f t="shared" si="213"/>
        <v>0</v>
      </c>
      <c r="W276" s="506">
        <f t="shared" si="214"/>
        <v>0</v>
      </c>
      <c r="X276" s="68"/>
      <c r="Y276" s="493"/>
      <c r="Z276" s="31"/>
      <c r="AA276" s="31"/>
      <c r="AB276" s="31"/>
    </row>
    <row r="277" spans="1:30" x14ac:dyDescent="0.3">
      <c r="A277" s="92">
        <v>4227</v>
      </c>
      <c r="B277" s="93" t="s">
        <v>60</v>
      </c>
      <c r="C277" s="94">
        <v>1752000</v>
      </c>
      <c r="D277" s="63"/>
      <c r="E277" s="63">
        <v>1752000</v>
      </c>
      <c r="F277" s="95">
        <v>796000</v>
      </c>
      <c r="G277" s="95">
        <v>796000</v>
      </c>
      <c r="H277" s="366">
        <v>950000</v>
      </c>
      <c r="I277" s="366"/>
      <c r="J277" s="366"/>
      <c r="K277" s="70"/>
      <c r="L277" s="70"/>
      <c r="M277" s="63">
        <f>H277-I277+J277-K277+L277</f>
        <v>950000</v>
      </c>
      <c r="N277" s="95">
        <v>796000</v>
      </c>
      <c r="O277" s="95">
        <v>796000</v>
      </c>
      <c r="P277" s="63">
        <v>2000000</v>
      </c>
      <c r="Q277" s="63">
        <v>2000000</v>
      </c>
      <c r="R277" s="63">
        <v>2000000</v>
      </c>
      <c r="S277" s="70">
        <f>P277-M277</f>
        <v>1050000</v>
      </c>
      <c r="T277" s="70">
        <f>P277-N277</f>
        <v>1204000</v>
      </c>
      <c r="U277" s="70">
        <f>Q277-O277</f>
        <v>1204000</v>
      </c>
      <c r="V277" s="506">
        <f t="shared" si="213"/>
        <v>1050000</v>
      </c>
      <c r="W277" s="506">
        <f t="shared" si="214"/>
        <v>0</v>
      </c>
      <c r="X277" s="68" t="s">
        <v>415</v>
      </c>
      <c r="Y277" s="493"/>
      <c r="Z277" s="31"/>
      <c r="AA277" s="31"/>
      <c r="AB277" s="31"/>
    </row>
    <row r="278" spans="1:30" x14ac:dyDescent="0.3">
      <c r="A278" s="88">
        <v>423</v>
      </c>
      <c r="B278" s="556" t="s">
        <v>61</v>
      </c>
      <c r="C278" s="90">
        <f t="shared" ref="C278:U278" si="223">SUM(C279)</f>
        <v>2747000</v>
      </c>
      <c r="D278" s="62"/>
      <c r="E278" s="62">
        <f t="shared" si="223"/>
        <v>1947000</v>
      </c>
      <c r="F278" s="91">
        <f t="shared" si="223"/>
        <v>1460000</v>
      </c>
      <c r="G278" s="91">
        <f t="shared" si="223"/>
        <v>1460000</v>
      </c>
      <c r="H278" s="91">
        <f t="shared" si="223"/>
        <v>1460000</v>
      </c>
      <c r="I278" s="91">
        <f t="shared" si="223"/>
        <v>0</v>
      </c>
      <c r="J278" s="91">
        <f t="shared" si="223"/>
        <v>0</v>
      </c>
      <c r="K278" s="91">
        <f t="shared" si="223"/>
        <v>0</v>
      </c>
      <c r="L278" s="91">
        <f t="shared" si="223"/>
        <v>0</v>
      </c>
      <c r="M278" s="91">
        <f t="shared" si="223"/>
        <v>1460000</v>
      </c>
      <c r="N278" s="91">
        <f t="shared" si="223"/>
        <v>1460000</v>
      </c>
      <c r="O278" s="91">
        <f t="shared" si="223"/>
        <v>1460000</v>
      </c>
      <c r="P278" s="91">
        <f t="shared" si="223"/>
        <v>3000000</v>
      </c>
      <c r="Q278" s="91">
        <f t="shared" si="223"/>
        <v>3000000</v>
      </c>
      <c r="R278" s="91">
        <f t="shared" si="223"/>
        <v>3100000</v>
      </c>
      <c r="S278" s="91">
        <f t="shared" si="223"/>
        <v>1540000</v>
      </c>
      <c r="T278" s="91">
        <f t="shared" si="223"/>
        <v>1540000</v>
      </c>
      <c r="U278" s="91">
        <f t="shared" si="223"/>
        <v>1540000</v>
      </c>
      <c r="V278" s="506">
        <f t="shared" si="213"/>
        <v>1540000</v>
      </c>
      <c r="W278" s="506">
        <f t="shared" si="214"/>
        <v>0</v>
      </c>
      <c r="X278" s="31"/>
      <c r="Y278" s="486"/>
      <c r="Z278" s="31"/>
      <c r="AA278" s="31"/>
      <c r="AB278" s="31"/>
    </row>
    <row r="279" spans="1:30" x14ac:dyDescent="0.3">
      <c r="A279" s="92">
        <v>4231</v>
      </c>
      <c r="B279" s="93" t="s">
        <v>62</v>
      </c>
      <c r="C279" s="94">
        <f>2084000+663000</f>
        <v>2747000</v>
      </c>
      <c r="D279" s="63"/>
      <c r="E279" s="63">
        <v>1947000</v>
      </c>
      <c r="F279" s="368">
        <v>1460000</v>
      </c>
      <c r="G279" s="368">
        <v>1460000</v>
      </c>
      <c r="H279" s="368">
        <v>1460000</v>
      </c>
      <c r="I279" s="368"/>
      <c r="J279" s="368"/>
      <c r="K279" s="71"/>
      <c r="L279" s="71"/>
      <c r="M279" s="63">
        <f>H279-I279+J279-K279+L279</f>
        <v>1460000</v>
      </c>
      <c r="N279" s="368">
        <v>1460000</v>
      </c>
      <c r="O279" s="368">
        <v>1460000</v>
      </c>
      <c r="P279" s="71">
        <v>3000000</v>
      </c>
      <c r="Q279" s="71">
        <v>3000000</v>
      </c>
      <c r="R279" s="71">
        <v>3100000</v>
      </c>
      <c r="S279" s="70">
        <f>P279-M279</f>
        <v>1540000</v>
      </c>
      <c r="T279" s="70">
        <f>P279-N279</f>
        <v>1540000</v>
      </c>
      <c r="U279" s="70">
        <f>Q279-O279</f>
        <v>1540000</v>
      </c>
      <c r="V279" s="506">
        <f t="shared" si="213"/>
        <v>1540000</v>
      </c>
      <c r="W279" s="506">
        <f t="shared" si="214"/>
        <v>0</v>
      </c>
      <c r="X279" s="31"/>
      <c r="Y279" s="486"/>
      <c r="Z279" s="31"/>
      <c r="AA279" s="31"/>
      <c r="AB279" s="31"/>
    </row>
    <row r="280" spans="1:30" x14ac:dyDescent="0.3">
      <c r="A280" s="88">
        <v>425</v>
      </c>
      <c r="B280" s="556" t="s">
        <v>63</v>
      </c>
      <c r="C280" s="90">
        <f t="shared" ref="C280:U280" si="224">SUM(C281)</f>
        <v>53000</v>
      </c>
      <c r="D280" s="62"/>
      <c r="E280" s="62">
        <f t="shared" si="224"/>
        <v>33000</v>
      </c>
      <c r="F280" s="91">
        <f t="shared" si="224"/>
        <v>53000</v>
      </c>
      <c r="G280" s="91">
        <f t="shared" si="224"/>
        <v>53000</v>
      </c>
      <c r="H280" s="91">
        <f t="shared" si="224"/>
        <v>53000</v>
      </c>
      <c r="I280" s="91">
        <f t="shared" si="224"/>
        <v>0</v>
      </c>
      <c r="J280" s="91">
        <f t="shared" si="224"/>
        <v>0</v>
      </c>
      <c r="K280" s="91">
        <f t="shared" si="224"/>
        <v>0</v>
      </c>
      <c r="L280" s="91">
        <f t="shared" si="224"/>
        <v>0</v>
      </c>
      <c r="M280" s="91">
        <f t="shared" si="224"/>
        <v>53000</v>
      </c>
      <c r="N280" s="91">
        <f t="shared" si="224"/>
        <v>53000</v>
      </c>
      <c r="O280" s="91">
        <f t="shared" si="224"/>
        <v>53000</v>
      </c>
      <c r="P280" s="91">
        <f t="shared" si="224"/>
        <v>150000</v>
      </c>
      <c r="Q280" s="91">
        <f t="shared" si="224"/>
        <v>150000</v>
      </c>
      <c r="R280" s="91">
        <f t="shared" si="224"/>
        <v>150000</v>
      </c>
      <c r="S280" s="91">
        <f t="shared" si="224"/>
        <v>97000</v>
      </c>
      <c r="T280" s="91">
        <f t="shared" si="224"/>
        <v>97000</v>
      </c>
      <c r="U280" s="91">
        <f t="shared" si="224"/>
        <v>97000</v>
      </c>
      <c r="V280" s="506">
        <f t="shared" si="213"/>
        <v>97000</v>
      </c>
      <c r="W280" s="506">
        <f t="shared" si="214"/>
        <v>0</v>
      </c>
      <c r="X280" s="31"/>
      <c r="Y280" s="486"/>
      <c r="Z280" s="31"/>
      <c r="AA280" s="31"/>
      <c r="AB280" s="31"/>
    </row>
    <row r="281" spans="1:30" x14ac:dyDescent="0.3">
      <c r="A281" s="92">
        <v>4252</v>
      </c>
      <c r="B281" s="93" t="s">
        <v>64</v>
      </c>
      <c r="C281" s="551">
        <v>53000</v>
      </c>
      <c r="D281" s="71"/>
      <c r="E281" s="71">
        <v>33000</v>
      </c>
      <c r="F281" s="368">
        <v>53000</v>
      </c>
      <c r="G281" s="368">
        <v>53000</v>
      </c>
      <c r="H281" s="368">
        <v>53000</v>
      </c>
      <c r="I281" s="368"/>
      <c r="J281" s="368"/>
      <c r="K281" s="71"/>
      <c r="L281" s="71"/>
      <c r="M281" s="63">
        <f>H281-I281+J281-K281+L281</f>
        <v>53000</v>
      </c>
      <c r="N281" s="368">
        <v>53000</v>
      </c>
      <c r="O281" s="368">
        <v>53000</v>
      </c>
      <c r="P281" s="71">
        <v>150000</v>
      </c>
      <c r="Q281" s="71">
        <v>150000</v>
      </c>
      <c r="R281" s="71">
        <v>150000</v>
      </c>
      <c r="S281" s="70">
        <f>P281-M281</f>
        <v>97000</v>
      </c>
      <c r="T281" s="70">
        <f>P281-N281</f>
        <v>97000</v>
      </c>
      <c r="U281" s="70">
        <f>Q281-O281</f>
        <v>97000</v>
      </c>
      <c r="V281" s="506">
        <f t="shared" si="213"/>
        <v>97000</v>
      </c>
      <c r="W281" s="506">
        <f t="shared" si="214"/>
        <v>0</v>
      </c>
      <c r="X281" s="31"/>
      <c r="Y281" s="486"/>
      <c r="Z281" s="31"/>
      <c r="AA281" s="31"/>
      <c r="AB281" s="31"/>
    </row>
    <row r="282" spans="1:30" ht="25.05" customHeight="1" x14ac:dyDescent="0.3">
      <c r="A282" s="573" t="s">
        <v>65</v>
      </c>
      <c r="B282" s="538" t="s">
        <v>66</v>
      </c>
      <c r="C282" s="539">
        <f t="shared" ref="C282:U282" si="225">SUM(C283)</f>
        <v>1951000</v>
      </c>
      <c r="D282" s="65"/>
      <c r="E282" s="65">
        <f t="shared" si="225"/>
        <v>3301000</v>
      </c>
      <c r="F282" s="365">
        <f t="shared" si="225"/>
        <v>1951000</v>
      </c>
      <c r="G282" s="365">
        <f t="shared" si="225"/>
        <v>1951000</v>
      </c>
      <c r="H282" s="552">
        <f t="shared" si="225"/>
        <v>3301000</v>
      </c>
      <c r="I282" s="552">
        <f t="shared" si="225"/>
        <v>0</v>
      </c>
      <c r="J282" s="552">
        <f t="shared" si="225"/>
        <v>29000</v>
      </c>
      <c r="K282" s="552">
        <f t="shared" si="225"/>
        <v>0</v>
      </c>
      <c r="L282" s="552">
        <f t="shared" si="225"/>
        <v>0</v>
      </c>
      <c r="M282" s="552">
        <f t="shared" si="225"/>
        <v>3330000</v>
      </c>
      <c r="N282" s="365">
        <f t="shared" si="225"/>
        <v>2503000</v>
      </c>
      <c r="O282" s="365">
        <f t="shared" si="225"/>
        <v>2503000</v>
      </c>
      <c r="P282" s="365">
        <f t="shared" si="225"/>
        <v>3330000</v>
      </c>
      <c r="Q282" s="365">
        <f t="shared" si="225"/>
        <v>3330000</v>
      </c>
      <c r="R282" s="365">
        <f t="shared" si="225"/>
        <v>3330000</v>
      </c>
      <c r="S282" s="365">
        <f t="shared" si="225"/>
        <v>0</v>
      </c>
      <c r="T282" s="365">
        <f t="shared" si="225"/>
        <v>827000</v>
      </c>
      <c r="U282" s="365">
        <f t="shared" si="225"/>
        <v>827000</v>
      </c>
      <c r="V282" s="506">
        <f t="shared" si="213"/>
        <v>0</v>
      </c>
      <c r="W282" s="506">
        <f t="shared" si="214"/>
        <v>0</v>
      </c>
      <c r="X282" s="69" t="s">
        <v>398</v>
      </c>
      <c r="Y282" s="492"/>
      <c r="Z282" s="31"/>
      <c r="AA282" s="31"/>
      <c r="AB282" s="31"/>
    </row>
    <row r="283" spans="1:30" ht="18" customHeight="1" x14ac:dyDescent="0.3">
      <c r="A283" s="700" t="s">
        <v>1</v>
      </c>
      <c r="B283" s="700"/>
      <c r="C283" s="85">
        <f t="shared" ref="C283:U283" si="226">SUM(C288,C292)</f>
        <v>1951000</v>
      </c>
      <c r="D283" s="66"/>
      <c r="E283" s="66">
        <f t="shared" ref="E283" si="227">SUM(E288,E292)</f>
        <v>3301000</v>
      </c>
      <c r="F283" s="86">
        <f t="shared" si="226"/>
        <v>1951000</v>
      </c>
      <c r="G283" s="86">
        <f t="shared" si="226"/>
        <v>1951000</v>
      </c>
      <c r="H283" s="86">
        <f t="shared" si="226"/>
        <v>3301000</v>
      </c>
      <c r="I283" s="86">
        <f t="shared" si="226"/>
        <v>0</v>
      </c>
      <c r="J283" s="86">
        <f t="shared" si="226"/>
        <v>29000</v>
      </c>
      <c r="K283" s="86">
        <f t="shared" si="226"/>
        <v>0</v>
      </c>
      <c r="L283" s="86">
        <f t="shared" si="226"/>
        <v>0</v>
      </c>
      <c r="M283" s="86">
        <f t="shared" si="226"/>
        <v>3330000</v>
      </c>
      <c r="N283" s="86">
        <f t="shared" si="226"/>
        <v>2503000</v>
      </c>
      <c r="O283" s="86">
        <f t="shared" si="226"/>
        <v>2503000</v>
      </c>
      <c r="P283" s="86">
        <f t="shared" si="226"/>
        <v>3330000</v>
      </c>
      <c r="Q283" s="86">
        <f t="shared" si="226"/>
        <v>3330000</v>
      </c>
      <c r="R283" s="86">
        <f t="shared" si="226"/>
        <v>3330000</v>
      </c>
      <c r="S283" s="86">
        <f t="shared" si="226"/>
        <v>0</v>
      </c>
      <c r="T283" s="86">
        <f t="shared" si="226"/>
        <v>827000</v>
      </c>
      <c r="U283" s="86">
        <f t="shared" si="226"/>
        <v>827000</v>
      </c>
      <c r="V283" s="506">
        <f t="shared" si="213"/>
        <v>0</v>
      </c>
      <c r="W283" s="506">
        <f t="shared" si="214"/>
        <v>0</v>
      </c>
      <c r="X283" s="31"/>
      <c r="Y283" s="486"/>
      <c r="Z283" s="31"/>
      <c r="AA283" s="31"/>
      <c r="AB283" s="31"/>
    </row>
    <row r="284" spans="1:30" ht="13.05" hidden="1" x14ac:dyDescent="0.3">
      <c r="A284" s="88">
        <v>322</v>
      </c>
      <c r="B284" s="89" t="s">
        <v>16</v>
      </c>
      <c r="C284" s="90">
        <f t="shared" ref="C284:F284" si="228">SUM(C285:C287)</f>
        <v>0</v>
      </c>
      <c r="D284" s="62"/>
      <c r="E284" s="62">
        <f t="shared" ref="E284" si="229">SUM(E285:E287)</f>
        <v>0</v>
      </c>
      <c r="F284" s="91">
        <f t="shared" si="228"/>
        <v>0</v>
      </c>
      <c r="G284" s="91">
        <f t="shared" ref="G284:H284" si="230">SUM(G285:G287)</f>
        <v>0</v>
      </c>
      <c r="H284" s="91">
        <f t="shared" si="230"/>
        <v>0</v>
      </c>
      <c r="I284" s="91"/>
      <c r="J284" s="91"/>
      <c r="K284" s="91"/>
      <c r="L284" s="91"/>
      <c r="M284" s="91"/>
      <c r="N284" s="91">
        <f t="shared" ref="N284:O284" si="231">SUM(N285:N287)</f>
        <v>0</v>
      </c>
      <c r="O284" s="91">
        <f t="shared" si="231"/>
        <v>0</v>
      </c>
      <c r="P284" s="91"/>
      <c r="Q284" s="91"/>
      <c r="R284" s="91"/>
      <c r="S284" s="91">
        <f t="shared" ref="S284" si="232">SUM(S285:S287)</f>
        <v>0</v>
      </c>
      <c r="T284" s="91"/>
      <c r="U284" s="91">
        <f t="shared" ref="U284" si="233">SUM(U285:U287)</f>
        <v>0</v>
      </c>
      <c r="V284" s="506">
        <f t="shared" si="213"/>
        <v>0</v>
      </c>
      <c r="W284" s="506">
        <f t="shared" si="214"/>
        <v>0</v>
      </c>
      <c r="X284" s="31"/>
      <c r="Y284" s="486"/>
      <c r="Z284" s="31"/>
      <c r="AA284" s="31"/>
      <c r="AB284" s="31"/>
    </row>
    <row r="285" spans="1:30" ht="13.05" hidden="1" x14ac:dyDescent="0.3">
      <c r="A285" s="92">
        <v>3221</v>
      </c>
      <c r="B285" s="93" t="s">
        <v>17</v>
      </c>
      <c r="C285" s="94"/>
      <c r="D285" s="63"/>
      <c r="E285" s="63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506">
        <f t="shared" si="213"/>
        <v>0</v>
      </c>
      <c r="W285" s="506">
        <f t="shared" si="214"/>
        <v>0</v>
      </c>
      <c r="X285" s="31"/>
      <c r="Y285" s="486"/>
      <c r="Z285" s="31"/>
      <c r="AA285" s="31"/>
      <c r="AB285" s="31"/>
    </row>
    <row r="286" spans="1:30" ht="13.05" hidden="1" x14ac:dyDescent="0.3">
      <c r="A286" s="92">
        <v>3225</v>
      </c>
      <c r="B286" s="93" t="s">
        <v>21</v>
      </c>
      <c r="C286" s="94"/>
      <c r="D286" s="63"/>
      <c r="E286" s="63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506">
        <f t="shared" si="213"/>
        <v>0</v>
      </c>
      <c r="W286" s="506">
        <f t="shared" si="214"/>
        <v>0</v>
      </c>
      <c r="X286" s="31"/>
      <c r="Y286" s="486"/>
      <c r="Z286" s="31"/>
      <c r="AA286" s="31"/>
      <c r="AB286" s="31"/>
    </row>
    <row r="287" spans="1:30" ht="13.05" hidden="1" x14ac:dyDescent="0.3">
      <c r="A287" s="92">
        <v>3227</v>
      </c>
      <c r="B287" s="93" t="s">
        <v>22</v>
      </c>
      <c r="C287" s="94"/>
      <c r="D287" s="63"/>
      <c r="E287" s="63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506">
        <f t="shared" si="213"/>
        <v>0</v>
      </c>
      <c r="W287" s="506">
        <f t="shared" si="214"/>
        <v>0</v>
      </c>
      <c r="X287" s="31"/>
      <c r="Y287" s="486"/>
      <c r="Z287" s="31"/>
      <c r="AA287" s="31"/>
      <c r="AB287" s="31"/>
    </row>
    <row r="288" spans="1:30" ht="13.5" customHeight="1" x14ac:dyDescent="0.3">
      <c r="A288" s="570" t="s">
        <v>317</v>
      </c>
      <c r="B288" s="571" t="s">
        <v>318</v>
      </c>
      <c r="C288" s="531">
        <f t="shared" ref="C288:U288" si="234">SUM(C289)</f>
        <v>1898000</v>
      </c>
      <c r="D288" s="141"/>
      <c r="E288" s="141">
        <f t="shared" si="234"/>
        <v>3248000</v>
      </c>
      <c r="F288" s="364">
        <f t="shared" si="234"/>
        <v>1898000</v>
      </c>
      <c r="G288" s="364">
        <f t="shared" si="234"/>
        <v>1898000</v>
      </c>
      <c r="H288" s="364">
        <f t="shared" si="234"/>
        <v>3248000</v>
      </c>
      <c r="I288" s="364">
        <f t="shared" si="234"/>
        <v>0</v>
      </c>
      <c r="J288" s="364">
        <f t="shared" si="234"/>
        <v>0</v>
      </c>
      <c r="K288" s="364">
        <f t="shared" si="234"/>
        <v>0</v>
      </c>
      <c r="L288" s="364">
        <f t="shared" si="234"/>
        <v>0</v>
      </c>
      <c r="M288" s="364">
        <f t="shared" si="234"/>
        <v>3248000</v>
      </c>
      <c r="N288" s="364">
        <f t="shared" si="234"/>
        <v>2450000</v>
      </c>
      <c r="O288" s="364">
        <f t="shared" si="234"/>
        <v>2450000</v>
      </c>
      <c r="P288" s="364">
        <f t="shared" si="234"/>
        <v>3248000</v>
      </c>
      <c r="Q288" s="364">
        <f t="shared" si="234"/>
        <v>3248000</v>
      </c>
      <c r="R288" s="364">
        <f t="shared" si="234"/>
        <v>3248000</v>
      </c>
      <c r="S288" s="532">
        <f t="shared" si="234"/>
        <v>0</v>
      </c>
      <c r="T288" s="532">
        <f t="shared" si="234"/>
        <v>798000</v>
      </c>
      <c r="U288" s="532">
        <f t="shared" si="234"/>
        <v>798000</v>
      </c>
      <c r="V288" s="506">
        <f t="shared" si="213"/>
        <v>0</v>
      </c>
      <c r="W288" s="506">
        <f t="shared" si="214"/>
        <v>0</v>
      </c>
      <c r="X288" s="31"/>
      <c r="Y288" s="486"/>
      <c r="Z288" s="31"/>
      <c r="AA288" s="31"/>
      <c r="AB288" s="31"/>
    </row>
    <row r="289" spans="1:30" x14ac:dyDescent="0.3">
      <c r="A289" s="88">
        <v>323</v>
      </c>
      <c r="B289" s="89" t="s">
        <v>23</v>
      </c>
      <c r="C289" s="90">
        <f t="shared" ref="C289:U289" si="235">SUM(C290:C291)</f>
        <v>1898000</v>
      </c>
      <c r="D289" s="62"/>
      <c r="E289" s="62">
        <f t="shared" ref="E289" si="236">SUM(E290:E291)</f>
        <v>3248000</v>
      </c>
      <c r="F289" s="91">
        <f t="shared" si="235"/>
        <v>1898000</v>
      </c>
      <c r="G289" s="91">
        <f t="shared" si="235"/>
        <v>1898000</v>
      </c>
      <c r="H289" s="91">
        <f t="shared" si="235"/>
        <v>3248000</v>
      </c>
      <c r="I289" s="91">
        <f t="shared" si="235"/>
        <v>0</v>
      </c>
      <c r="J289" s="91">
        <f t="shared" si="235"/>
        <v>0</v>
      </c>
      <c r="K289" s="91">
        <f t="shared" si="235"/>
        <v>0</v>
      </c>
      <c r="L289" s="91">
        <f t="shared" si="235"/>
        <v>0</v>
      </c>
      <c r="M289" s="91">
        <f t="shared" si="235"/>
        <v>3248000</v>
      </c>
      <c r="N289" s="91">
        <f t="shared" si="235"/>
        <v>2450000</v>
      </c>
      <c r="O289" s="91">
        <f t="shared" si="235"/>
        <v>2450000</v>
      </c>
      <c r="P289" s="91">
        <f t="shared" si="235"/>
        <v>3248000</v>
      </c>
      <c r="Q289" s="91">
        <f t="shared" si="235"/>
        <v>3248000</v>
      </c>
      <c r="R289" s="91">
        <f t="shared" si="235"/>
        <v>3248000</v>
      </c>
      <c r="S289" s="91">
        <f t="shared" si="235"/>
        <v>0</v>
      </c>
      <c r="T289" s="91">
        <f t="shared" si="235"/>
        <v>798000</v>
      </c>
      <c r="U289" s="91">
        <f t="shared" si="235"/>
        <v>798000</v>
      </c>
      <c r="V289" s="506">
        <f t="shared" si="213"/>
        <v>0</v>
      </c>
      <c r="W289" s="506">
        <f t="shared" si="214"/>
        <v>0</v>
      </c>
      <c r="X289" s="31"/>
      <c r="Y289" s="486"/>
      <c r="Z289" s="31"/>
      <c r="AA289" s="31"/>
      <c r="AB289" s="31"/>
    </row>
    <row r="290" spans="1:30" x14ac:dyDescent="0.3">
      <c r="A290" s="92">
        <v>3237</v>
      </c>
      <c r="B290" s="93" t="s">
        <v>30</v>
      </c>
      <c r="C290" s="94">
        <v>200000</v>
      </c>
      <c r="D290" s="63"/>
      <c r="E290" s="63">
        <v>200000</v>
      </c>
      <c r="F290" s="95">
        <v>200000</v>
      </c>
      <c r="G290" s="95">
        <v>200000</v>
      </c>
      <c r="H290" s="95">
        <v>200000</v>
      </c>
      <c r="I290" s="95"/>
      <c r="J290" s="95"/>
      <c r="K290" s="63"/>
      <c r="L290" s="63"/>
      <c r="M290" s="63">
        <f>H290-I290+J290-K290+L290</f>
        <v>200000</v>
      </c>
      <c r="N290" s="95">
        <v>250000</v>
      </c>
      <c r="O290" s="95">
        <v>250000</v>
      </c>
      <c r="P290" s="63">
        <v>200000</v>
      </c>
      <c r="Q290" s="63">
        <v>200000</v>
      </c>
      <c r="R290" s="63">
        <v>200000</v>
      </c>
      <c r="S290" s="70">
        <f>P290-M290</f>
        <v>0</v>
      </c>
      <c r="T290" s="70">
        <f>P290-N290</f>
        <v>-50000</v>
      </c>
      <c r="U290" s="70">
        <f>Q290-O290</f>
        <v>-50000</v>
      </c>
      <c r="V290" s="506">
        <f t="shared" si="213"/>
        <v>0</v>
      </c>
      <c r="W290" s="506">
        <f t="shared" si="214"/>
        <v>0</v>
      </c>
      <c r="X290" s="31"/>
      <c r="Y290" s="486"/>
      <c r="Z290" s="31"/>
      <c r="AA290" s="31"/>
      <c r="AB290" s="31"/>
    </row>
    <row r="291" spans="1:30" x14ac:dyDescent="0.3">
      <c r="A291" s="92">
        <v>3239</v>
      </c>
      <c r="B291" s="93" t="s">
        <v>31</v>
      </c>
      <c r="C291" s="94">
        <v>1698000</v>
      </c>
      <c r="D291" s="63"/>
      <c r="E291" s="63">
        <v>3048000</v>
      </c>
      <c r="F291" s="95">
        <v>1698000</v>
      </c>
      <c r="G291" s="95">
        <v>1698000</v>
      </c>
      <c r="H291" s="95">
        <v>3048000</v>
      </c>
      <c r="I291" s="95"/>
      <c r="J291" s="95"/>
      <c r="K291" s="63"/>
      <c r="L291" s="63"/>
      <c r="M291" s="63">
        <f>H291-I291+J291-K291+L291</f>
        <v>3048000</v>
      </c>
      <c r="N291" s="95">
        <v>2200000</v>
      </c>
      <c r="O291" s="95">
        <v>2200000</v>
      </c>
      <c r="P291" s="63">
        <v>3048000</v>
      </c>
      <c r="Q291" s="63">
        <v>3048000</v>
      </c>
      <c r="R291" s="63">
        <v>3048000</v>
      </c>
      <c r="S291" s="70">
        <f>P291-M291</f>
        <v>0</v>
      </c>
      <c r="T291" s="70">
        <f>P291-N291</f>
        <v>848000</v>
      </c>
      <c r="U291" s="70">
        <f>Q291-O291</f>
        <v>848000</v>
      </c>
      <c r="V291" s="506">
        <f t="shared" si="213"/>
        <v>0</v>
      </c>
      <c r="W291" s="506">
        <f t="shared" si="214"/>
        <v>0</v>
      </c>
      <c r="X291" s="31"/>
      <c r="Y291" s="486"/>
      <c r="Z291" s="31"/>
      <c r="AA291" s="31"/>
      <c r="AB291" s="31"/>
    </row>
    <row r="292" spans="1:30" ht="26.4" x14ac:dyDescent="0.3">
      <c r="A292" s="570" t="s">
        <v>321</v>
      </c>
      <c r="B292" s="571" t="s">
        <v>322</v>
      </c>
      <c r="C292" s="531">
        <f t="shared" ref="C292:U293" si="237">SUM(C293)</f>
        <v>53000</v>
      </c>
      <c r="D292" s="141"/>
      <c r="E292" s="141">
        <f t="shared" si="237"/>
        <v>53000</v>
      </c>
      <c r="F292" s="364">
        <f t="shared" si="237"/>
        <v>53000</v>
      </c>
      <c r="G292" s="364">
        <f t="shared" si="237"/>
        <v>53000</v>
      </c>
      <c r="H292" s="364">
        <f t="shared" si="237"/>
        <v>53000</v>
      </c>
      <c r="I292" s="364">
        <f t="shared" si="237"/>
        <v>0</v>
      </c>
      <c r="J292" s="364">
        <f t="shared" si="237"/>
        <v>29000</v>
      </c>
      <c r="K292" s="364">
        <f t="shared" si="237"/>
        <v>0</v>
      </c>
      <c r="L292" s="364">
        <f t="shared" si="237"/>
        <v>0</v>
      </c>
      <c r="M292" s="364">
        <f t="shared" si="237"/>
        <v>82000</v>
      </c>
      <c r="N292" s="364">
        <f t="shared" si="237"/>
        <v>53000</v>
      </c>
      <c r="O292" s="364">
        <f t="shared" si="237"/>
        <v>53000</v>
      </c>
      <c r="P292" s="364">
        <f t="shared" si="237"/>
        <v>82000</v>
      </c>
      <c r="Q292" s="364">
        <f t="shared" si="237"/>
        <v>82000</v>
      </c>
      <c r="R292" s="364">
        <f t="shared" si="237"/>
        <v>82000</v>
      </c>
      <c r="S292" s="532">
        <f t="shared" si="237"/>
        <v>0</v>
      </c>
      <c r="T292" s="532">
        <f t="shared" si="237"/>
        <v>29000</v>
      </c>
      <c r="U292" s="532">
        <f t="shared" si="237"/>
        <v>29000</v>
      </c>
      <c r="V292" s="506">
        <f t="shared" si="213"/>
        <v>0</v>
      </c>
      <c r="W292" s="506">
        <f t="shared" si="214"/>
        <v>0</v>
      </c>
      <c r="X292" s="31"/>
      <c r="Y292" s="486"/>
      <c r="Z292" s="31"/>
      <c r="AA292" s="31"/>
      <c r="AB292" s="31"/>
    </row>
    <row r="293" spans="1:30" ht="28.5" customHeight="1" x14ac:dyDescent="0.3">
      <c r="A293" s="550">
        <v>372</v>
      </c>
      <c r="B293" s="89" t="s">
        <v>44</v>
      </c>
      <c r="C293" s="90">
        <f t="shared" si="237"/>
        <v>53000</v>
      </c>
      <c r="D293" s="62"/>
      <c r="E293" s="62">
        <f t="shared" si="237"/>
        <v>53000</v>
      </c>
      <c r="F293" s="91">
        <f t="shared" si="237"/>
        <v>53000</v>
      </c>
      <c r="G293" s="91">
        <f t="shared" si="237"/>
        <v>53000</v>
      </c>
      <c r="H293" s="91">
        <f t="shared" si="237"/>
        <v>53000</v>
      </c>
      <c r="I293" s="91">
        <f t="shared" si="237"/>
        <v>0</v>
      </c>
      <c r="J293" s="91">
        <f t="shared" si="237"/>
        <v>29000</v>
      </c>
      <c r="K293" s="91">
        <f t="shared" si="237"/>
        <v>0</v>
      </c>
      <c r="L293" s="91">
        <f t="shared" si="237"/>
        <v>0</v>
      </c>
      <c r="M293" s="91">
        <f t="shared" si="237"/>
        <v>82000</v>
      </c>
      <c r="N293" s="91">
        <f t="shared" si="237"/>
        <v>53000</v>
      </c>
      <c r="O293" s="91">
        <f t="shared" si="237"/>
        <v>53000</v>
      </c>
      <c r="P293" s="91">
        <f t="shared" si="237"/>
        <v>82000</v>
      </c>
      <c r="Q293" s="91">
        <f t="shared" si="237"/>
        <v>82000</v>
      </c>
      <c r="R293" s="91">
        <f t="shared" si="237"/>
        <v>82000</v>
      </c>
      <c r="S293" s="91">
        <f t="shared" si="237"/>
        <v>0</v>
      </c>
      <c r="T293" s="91">
        <f t="shared" si="237"/>
        <v>29000</v>
      </c>
      <c r="U293" s="91">
        <f t="shared" si="237"/>
        <v>29000</v>
      </c>
      <c r="V293" s="506">
        <f t="shared" si="213"/>
        <v>0</v>
      </c>
      <c r="W293" s="506">
        <f t="shared" si="214"/>
        <v>0</v>
      </c>
      <c r="X293" s="31"/>
      <c r="Z293" s="31"/>
      <c r="AA293" s="31"/>
      <c r="AB293" s="31"/>
    </row>
    <row r="294" spans="1:30" ht="12.75" customHeight="1" x14ac:dyDescent="0.3">
      <c r="A294" s="542">
        <v>3721</v>
      </c>
      <c r="B294" s="535" t="s">
        <v>45</v>
      </c>
      <c r="C294" s="94">
        <v>53000</v>
      </c>
      <c r="D294" s="63"/>
      <c r="E294" s="63">
        <v>53000</v>
      </c>
      <c r="F294" s="95">
        <v>53000</v>
      </c>
      <c r="G294" s="95">
        <v>53000</v>
      </c>
      <c r="H294" s="95">
        <v>53000</v>
      </c>
      <c r="I294" s="95"/>
      <c r="J294" s="95">
        <v>29000</v>
      </c>
      <c r="K294" s="63"/>
      <c r="L294" s="63"/>
      <c r="M294" s="63">
        <f>H294-I294+J294-K294+L294</f>
        <v>82000</v>
      </c>
      <c r="N294" s="95">
        <v>53000</v>
      </c>
      <c r="O294" s="95">
        <v>53000</v>
      </c>
      <c r="P294" s="63">
        <v>82000</v>
      </c>
      <c r="Q294" s="63">
        <v>82000</v>
      </c>
      <c r="R294" s="63">
        <v>82000</v>
      </c>
      <c r="S294" s="70">
        <f>P294-M294</f>
        <v>0</v>
      </c>
      <c r="T294" s="70">
        <f>P294-N294</f>
        <v>29000</v>
      </c>
      <c r="U294" s="70">
        <f>Q294-O294</f>
        <v>29000</v>
      </c>
      <c r="V294" s="506">
        <f t="shared" si="213"/>
        <v>0</v>
      </c>
      <c r="W294" s="506">
        <f t="shared" si="214"/>
        <v>0</v>
      </c>
      <c r="X294" s="31"/>
      <c r="Y294" s="486" t="s">
        <v>463</v>
      </c>
      <c r="Z294" s="31"/>
      <c r="AA294" s="31"/>
      <c r="AB294" s="31"/>
      <c r="AD294" s="24"/>
    </row>
    <row r="295" spans="1:30" ht="13.05" hidden="1" x14ac:dyDescent="0.3">
      <c r="A295" s="88">
        <v>422</v>
      </c>
      <c r="B295" s="556" t="s">
        <v>53</v>
      </c>
      <c r="C295" s="90">
        <f t="shared" ref="C295:F295" si="238">SUM(C296:C297)</f>
        <v>0</v>
      </c>
      <c r="D295" s="62"/>
      <c r="E295" s="62">
        <f t="shared" ref="E295" si="239">SUM(E296:E297)</f>
        <v>0</v>
      </c>
      <c r="F295" s="91">
        <f t="shared" si="238"/>
        <v>0</v>
      </c>
      <c r="G295" s="91">
        <f t="shared" ref="G295:H295" si="240">SUM(G296:G297)</f>
        <v>0</v>
      </c>
      <c r="H295" s="91">
        <f t="shared" si="240"/>
        <v>0</v>
      </c>
      <c r="I295" s="91"/>
      <c r="J295" s="91"/>
      <c r="K295" s="91"/>
      <c r="L295" s="91"/>
      <c r="M295" s="91"/>
      <c r="N295" s="91">
        <f t="shared" ref="N295:O295" si="241">SUM(N296:N297)</f>
        <v>0</v>
      </c>
      <c r="O295" s="91">
        <f t="shared" si="241"/>
        <v>0</v>
      </c>
      <c r="P295" s="91"/>
      <c r="Q295" s="91"/>
      <c r="R295" s="91"/>
      <c r="S295" s="91">
        <f t="shared" ref="S295" si="242">SUM(S296:S297)</f>
        <v>0</v>
      </c>
      <c r="T295" s="91"/>
      <c r="U295" s="91">
        <f t="shared" ref="U295" si="243">SUM(U296:U297)</f>
        <v>0</v>
      </c>
      <c r="V295" s="506">
        <f t="shared" si="213"/>
        <v>0</v>
      </c>
      <c r="W295" s="506">
        <f t="shared" si="214"/>
        <v>0</v>
      </c>
      <c r="X295" s="31"/>
      <c r="Y295" s="486"/>
      <c r="Z295" s="31"/>
      <c r="AA295" s="31"/>
      <c r="AB295" s="31"/>
      <c r="AD295" s="24"/>
    </row>
    <row r="296" spans="1:30" ht="13.05" hidden="1" x14ac:dyDescent="0.3">
      <c r="A296" s="92">
        <v>4221</v>
      </c>
      <c r="B296" s="93" t="s">
        <v>54</v>
      </c>
      <c r="C296" s="94"/>
      <c r="D296" s="63"/>
      <c r="E296" s="63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506">
        <f t="shared" si="213"/>
        <v>0</v>
      </c>
      <c r="W296" s="506">
        <f t="shared" si="214"/>
        <v>0</v>
      </c>
      <c r="X296" s="31"/>
      <c r="Y296" s="486"/>
      <c r="Z296" s="31"/>
      <c r="AA296" s="31"/>
      <c r="AB296" s="31"/>
      <c r="AD296" s="24"/>
    </row>
    <row r="297" spans="1:30" ht="12.75" hidden="1" customHeight="1" x14ac:dyDescent="0.3">
      <c r="A297" s="92">
        <v>4227</v>
      </c>
      <c r="B297" s="93" t="s">
        <v>60</v>
      </c>
      <c r="C297" s="94"/>
      <c r="D297" s="63"/>
      <c r="E297" s="63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506">
        <f t="shared" si="213"/>
        <v>0</v>
      </c>
      <c r="W297" s="506">
        <f t="shared" si="214"/>
        <v>0</v>
      </c>
      <c r="X297" s="31"/>
      <c r="Y297" s="486"/>
      <c r="Z297" s="31"/>
      <c r="AA297" s="31"/>
      <c r="AB297" s="31"/>
      <c r="AD297" s="24"/>
    </row>
    <row r="298" spans="1:30" ht="0.75" hidden="1" customHeight="1" x14ac:dyDescent="0.3">
      <c r="A298" s="573" t="s">
        <v>69</v>
      </c>
      <c r="B298" s="538" t="s">
        <v>58</v>
      </c>
      <c r="C298" s="539">
        <f t="shared" ref="C298:U298" si="244">SUM(C299)</f>
        <v>0</v>
      </c>
      <c r="D298" s="65"/>
      <c r="E298" s="65">
        <f t="shared" si="244"/>
        <v>0</v>
      </c>
      <c r="F298" s="365">
        <f t="shared" si="244"/>
        <v>0</v>
      </c>
      <c r="G298" s="365">
        <f t="shared" si="244"/>
        <v>0</v>
      </c>
      <c r="H298" s="365">
        <f t="shared" si="244"/>
        <v>0</v>
      </c>
      <c r="I298" s="365"/>
      <c r="J298" s="365"/>
      <c r="K298" s="365"/>
      <c r="L298" s="365"/>
      <c r="M298" s="365"/>
      <c r="N298" s="365">
        <f t="shared" si="244"/>
        <v>0</v>
      </c>
      <c r="O298" s="365">
        <f t="shared" si="244"/>
        <v>0</v>
      </c>
      <c r="P298" s="365"/>
      <c r="Q298" s="365"/>
      <c r="R298" s="365"/>
      <c r="S298" s="365">
        <f t="shared" si="244"/>
        <v>0</v>
      </c>
      <c r="T298" s="365"/>
      <c r="U298" s="365">
        <f t="shared" si="244"/>
        <v>0</v>
      </c>
      <c r="V298" s="506">
        <f t="shared" si="213"/>
        <v>0</v>
      </c>
      <c r="W298" s="506">
        <f t="shared" si="214"/>
        <v>0</v>
      </c>
      <c r="X298" s="31"/>
      <c r="Y298" s="486"/>
      <c r="Z298" s="31"/>
      <c r="AA298" s="31"/>
      <c r="AB298" s="31"/>
      <c r="AD298" s="24"/>
    </row>
    <row r="299" spans="1:30" ht="18" hidden="1" customHeight="1" x14ac:dyDescent="0.3">
      <c r="A299" s="700" t="s">
        <v>1</v>
      </c>
      <c r="B299" s="700"/>
      <c r="C299" s="85">
        <f t="shared" ref="C299:H299" si="245">SUM(C300,C303,C306,C308)</f>
        <v>0</v>
      </c>
      <c r="D299" s="66"/>
      <c r="E299" s="66">
        <f t="shared" ref="E299" si="246">SUM(E300,E303,E306,E308)</f>
        <v>0</v>
      </c>
      <c r="F299" s="86">
        <f t="shared" si="245"/>
        <v>0</v>
      </c>
      <c r="G299" s="86">
        <f t="shared" si="245"/>
        <v>0</v>
      </c>
      <c r="H299" s="86">
        <f t="shared" si="245"/>
        <v>0</v>
      </c>
      <c r="I299" s="86"/>
      <c r="J299" s="86"/>
      <c r="K299" s="86"/>
      <c r="L299" s="86"/>
      <c r="M299" s="86"/>
      <c r="N299" s="86">
        <f t="shared" ref="N299:O299" si="247">SUM(N300,N303,N306,N308)</f>
        <v>0</v>
      </c>
      <c r="O299" s="86">
        <f t="shared" si="247"/>
        <v>0</v>
      </c>
      <c r="P299" s="86"/>
      <c r="Q299" s="86"/>
      <c r="R299" s="86"/>
      <c r="S299" s="86">
        <f t="shared" ref="S299" si="248">SUM(S300,S303,S306,S308)</f>
        <v>0</v>
      </c>
      <c r="T299" s="86"/>
      <c r="U299" s="86">
        <f t="shared" ref="U299" si="249">SUM(U300,U303,U306,U308)</f>
        <v>0</v>
      </c>
      <c r="V299" s="506">
        <f t="shared" si="213"/>
        <v>0</v>
      </c>
      <c r="W299" s="506">
        <f t="shared" si="214"/>
        <v>0</v>
      </c>
      <c r="X299" s="31"/>
      <c r="Y299" s="486"/>
      <c r="Z299" s="31"/>
      <c r="AA299" s="31"/>
      <c r="AB299" s="31"/>
      <c r="AD299" s="24"/>
    </row>
    <row r="300" spans="1:30" ht="12.75" hidden="1" customHeight="1" x14ac:dyDescent="0.3">
      <c r="A300" s="88">
        <v>322</v>
      </c>
      <c r="B300" s="89" t="s">
        <v>16</v>
      </c>
      <c r="C300" s="90">
        <f t="shared" ref="C300:H300" si="250">SUM(C301:C302)</f>
        <v>0</v>
      </c>
      <c r="D300" s="62"/>
      <c r="E300" s="62">
        <f t="shared" ref="E300" si="251">SUM(E301:E302)</f>
        <v>0</v>
      </c>
      <c r="F300" s="91">
        <f t="shared" si="250"/>
        <v>0</v>
      </c>
      <c r="G300" s="91">
        <f t="shared" si="250"/>
        <v>0</v>
      </c>
      <c r="H300" s="91">
        <f t="shared" si="250"/>
        <v>0</v>
      </c>
      <c r="I300" s="91"/>
      <c r="J300" s="91"/>
      <c r="K300" s="91"/>
      <c r="L300" s="91"/>
      <c r="M300" s="91"/>
      <c r="N300" s="91">
        <f t="shared" ref="N300:O300" si="252">SUM(N301:N302)</f>
        <v>0</v>
      </c>
      <c r="O300" s="91">
        <f t="shared" si="252"/>
        <v>0</v>
      </c>
      <c r="P300" s="91"/>
      <c r="Q300" s="91"/>
      <c r="R300" s="91"/>
      <c r="S300" s="91">
        <f t="shared" ref="S300" si="253">SUM(S301:S302)</f>
        <v>0</v>
      </c>
      <c r="T300" s="91"/>
      <c r="U300" s="91">
        <f t="shared" ref="U300" si="254">SUM(U301:U302)</f>
        <v>0</v>
      </c>
      <c r="V300" s="506">
        <f t="shared" si="213"/>
        <v>0</v>
      </c>
      <c r="W300" s="506">
        <f t="shared" si="214"/>
        <v>0</v>
      </c>
      <c r="X300" s="31"/>
      <c r="Y300" s="486"/>
      <c r="Z300" s="31"/>
      <c r="AA300" s="31"/>
      <c r="AB300" s="31"/>
      <c r="AD300" s="24"/>
    </row>
    <row r="301" spans="1:30" ht="25.5" hidden="1" customHeight="1" x14ac:dyDescent="0.3">
      <c r="A301" s="542">
        <v>3224</v>
      </c>
      <c r="B301" s="535" t="s">
        <v>20</v>
      </c>
      <c r="C301" s="94"/>
      <c r="D301" s="63"/>
      <c r="E301" s="63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506">
        <f t="shared" si="213"/>
        <v>0</v>
      </c>
      <c r="W301" s="506">
        <f t="shared" si="214"/>
        <v>0</v>
      </c>
      <c r="X301" s="31"/>
      <c r="Y301" s="486"/>
      <c r="Z301" s="31"/>
      <c r="AA301" s="31"/>
      <c r="AB301" s="31"/>
      <c r="AD301" s="24"/>
    </row>
    <row r="302" spans="1:30" ht="12.75" hidden="1" customHeight="1" x14ac:dyDescent="0.3">
      <c r="A302" s="542">
        <v>3225</v>
      </c>
      <c r="B302" s="535" t="s">
        <v>21</v>
      </c>
      <c r="C302" s="94"/>
      <c r="D302" s="63"/>
      <c r="E302" s="63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506">
        <f t="shared" si="213"/>
        <v>0</v>
      </c>
      <c r="W302" s="506">
        <f t="shared" si="214"/>
        <v>0</v>
      </c>
      <c r="X302" s="31"/>
      <c r="Y302" s="486"/>
      <c r="Z302" s="31"/>
      <c r="AA302" s="31"/>
      <c r="AB302" s="31"/>
      <c r="AD302" s="24"/>
    </row>
    <row r="303" spans="1:30" ht="12.75" hidden="1" customHeight="1" x14ac:dyDescent="0.3">
      <c r="A303" s="541">
        <v>323</v>
      </c>
      <c r="B303" s="89" t="s">
        <v>23</v>
      </c>
      <c r="C303" s="90">
        <f t="shared" ref="C303:H303" si="255">SUM(C304:C305)</f>
        <v>0</v>
      </c>
      <c r="D303" s="62"/>
      <c r="E303" s="62">
        <f t="shared" ref="E303" si="256">SUM(E304:E305)</f>
        <v>0</v>
      </c>
      <c r="F303" s="91">
        <f t="shared" si="255"/>
        <v>0</v>
      </c>
      <c r="G303" s="91">
        <f t="shared" si="255"/>
        <v>0</v>
      </c>
      <c r="H303" s="91">
        <f t="shared" si="255"/>
        <v>0</v>
      </c>
      <c r="I303" s="91"/>
      <c r="J303" s="91"/>
      <c r="K303" s="91"/>
      <c r="L303" s="91"/>
      <c r="M303" s="91"/>
      <c r="N303" s="91">
        <f t="shared" ref="N303:O303" si="257">SUM(N304:N305)</f>
        <v>0</v>
      </c>
      <c r="O303" s="91">
        <f t="shared" si="257"/>
        <v>0</v>
      </c>
      <c r="P303" s="91"/>
      <c r="Q303" s="91"/>
      <c r="R303" s="91"/>
      <c r="S303" s="91">
        <f t="shared" ref="S303" si="258">SUM(S304:S305)</f>
        <v>0</v>
      </c>
      <c r="T303" s="91"/>
      <c r="U303" s="91">
        <f t="shared" ref="U303" si="259">SUM(U304:U305)</f>
        <v>0</v>
      </c>
      <c r="V303" s="506">
        <f t="shared" si="213"/>
        <v>0</v>
      </c>
      <c r="W303" s="506">
        <f t="shared" si="214"/>
        <v>0</v>
      </c>
      <c r="X303" s="31"/>
      <c r="Y303" s="486"/>
      <c r="Z303" s="31"/>
      <c r="AA303" s="31"/>
      <c r="AB303" s="31"/>
      <c r="AD303" s="24"/>
    </row>
    <row r="304" spans="1:30" ht="12.75" hidden="1" customHeight="1" x14ac:dyDescent="0.3">
      <c r="A304" s="542">
        <v>3235</v>
      </c>
      <c r="B304" s="107" t="s">
        <v>28</v>
      </c>
      <c r="C304" s="94"/>
      <c r="D304" s="63"/>
      <c r="E304" s="63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506">
        <f t="shared" si="213"/>
        <v>0</v>
      </c>
      <c r="W304" s="506">
        <f t="shared" si="214"/>
        <v>0</v>
      </c>
      <c r="X304" s="31"/>
      <c r="Y304" s="486"/>
      <c r="Z304" s="31"/>
      <c r="AA304" s="31"/>
      <c r="AB304" s="31"/>
      <c r="AD304" s="24"/>
    </row>
    <row r="305" spans="1:38" ht="12.75" hidden="1" customHeight="1" x14ac:dyDescent="0.3">
      <c r="A305" s="576">
        <v>3238</v>
      </c>
      <c r="B305" s="577" t="s">
        <v>70</v>
      </c>
      <c r="C305" s="551"/>
      <c r="D305" s="71"/>
      <c r="E305" s="71"/>
      <c r="F305" s="368"/>
      <c r="G305" s="368"/>
      <c r="H305" s="368"/>
      <c r="I305" s="368"/>
      <c r="J305" s="368"/>
      <c r="K305" s="368"/>
      <c r="L305" s="368"/>
      <c r="M305" s="368"/>
      <c r="N305" s="368"/>
      <c r="O305" s="368"/>
      <c r="P305" s="368"/>
      <c r="Q305" s="368"/>
      <c r="R305" s="368"/>
      <c r="S305" s="368"/>
      <c r="T305" s="368"/>
      <c r="U305" s="368"/>
      <c r="V305" s="506">
        <f t="shared" si="213"/>
        <v>0</v>
      </c>
      <c r="W305" s="506">
        <f t="shared" si="214"/>
        <v>0</v>
      </c>
      <c r="X305" s="31"/>
      <c r="Y305" s="486"/>
      <c r="Z305" s="31"/>
      <c r="AA305" s="31"/>
      <c r="AB305" s="31"/>
      <c r="AD305" s="24"/>
    </row>
    <row r="306" spans="1:38" s="2" customFormat="1" ht="12.75" hidden="1" customHeight="1" x14ac:dyDescent="0.3">
      <c r="A306" s="88">
        <v>412</v>
      </c>
      <c r="B306" s="556" t="s">
        <v>67</v>
      </c>
      <c r="C306" s="90">
        <f t="shared" ref="C306:U306" si="260">SUM(C307)</f>
        <v>0</v>
      </c>
      <c r="D306" s="62"/>
      <c r="E306" s="62">
        <f t="shared" si="260"/>
        <v>0</v>
      </c>
      <c r="F306" s="91">
        <f t="shared" si="260"/>
        <v>0</v>
      </c>
      <c r="G306" s="91">
        <f t="shared" si="260"/>
        <v>0</v>
      </c>
      <c r="H306" s="91">
        <f t="shared" si="260"/>
        <v>0</v>
      </c>
      <c r="I306" s="91"/>
      <c r="J306" s="91"/>
      <c r="K306" s="91"/>
      <c r="L306" s="91"/>
      <c r="M306" s="91"/>
      <c r="N306" s="91">
        <f t="shared" si="260"/>
        <v>0</v>
      </c>
      <c r="O306" s="91">
        <f t="shared" si="260"/>
        <v>0</v>
      </c>
      <c r="P306" s="91"/>
      <c r="Q306" s="91"/>
      <c r="R306" s="91"/>
      <c r="S306" s="91">
        <f t="shared" si="260"/>
        <v>0</v>
      </c>
      <c r="T306" s="91"/>
      <c r="U306" s="91">
        <f t="shared" si="260"/>
        <v>0</v>
      </c>
      <c r="V306" s="506">
        <f t="shared" si="213"/>
        <v>0</v>
      </c>
      <c r="W306" s="506">
        <f t="shared" si="214"/>
        <v>0</v>
      </c>
      <c r="X306" s="34"/>
      <c r="Y306" s="490"/>
      <c r="Z306" s="34"/>
      <c r="AA306" s="34"/>
      <c r="AB306" s="34"/>
      <c r="AD306" s="430"/>
      <c r="AH306" s="525"/>
      <c r="AI306" s="525"/>
      <c r="AJ306" s="525"/>
      <c r="AK306" s="525"/>
      <c r="AL306" s="525"/>
    </row>
    <row r="307" spans="1:38" ht="12.75" hidden="1" customHeight="1" x14ac:dyDescent="0.3">
      <c r="A307" s="542">
        <v>4123</v>
      </c>
      <c r="B307" s="535" t="s">
        <v>68</v>
      </c>
      <c r="C307" s="94"/>
      <c r="D307" s="63"/>
      <c r="E307" s="63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506">
        <f t="shared" si="213"/>
        <v>0</v>
      </c>
      <c r="W307" s="506">
        <f t="shared" si="214"/>
        <v>0</v>
      </c>
      <c r="X307" s="31"/>
      <c r="Y307" s="486"/>
      <c r="Z307" s="31"/>
      <c r="AA307" s="31"/>
      <c r="AB307" s="31"/>
      <c r="AD307" s="24"/>
    </row>
    <row r="308" spans="1:38" ht="12.75" hidden="1" customHeight="1" x14ac:dyDescent="0.3">
      <c r="A308" s="578">
        <v>422</v>
      </c>
      <c r="B308" s="556" t="s">
        <v>53</v>
      </c>
      <c r="C308" s="90">
        <f t="shared" ref="C308:H308" si="261">SUM(C309:C310)</f>
        <v>0</v>
      </c>
      <c r="D308" s="62"/>
      <c r="E308" s="62">
        <f t="shared" ref="E308" si="262">SUM(E309:E310)</f>
        <v>0</v>
      </c>
      <c r="F308" s="91">
        <f t="shared" si="261"/>
        <v>0</v>
      </c>
      <c r="G308" s="91">
        <f t="shared" si="261"/>
        <v>0</v>
      </c>
      <c r="H308" s="91">
        <f t="shared" si="261"/>
        <v>0</v>
      </c>
      <c r="I308" s="91"/>
      <c r="J308" s="91"/>
      <c r="K308" s="91"/>
      <c r="L308" s="91"/>
      <c r="M308" s="91"/>
      <c r="N308" s="91">
        <f t="shared" ref="N308:O308" si="263">SUM(N309:N310)</f>
        <v>0</v>
      </c>
      <c r="O308" s="91">
        <f t="shared" si="263"/>
        <v>0</v>
      </c>
      <c r="P308" s="91"/>
      <c r="Q308" s="91"/>
      <c r="R308" s="91"/>
      <c r="S308" s="91">
        <f t="shared" ref="S308" si="264">SUM(S309:S310)</f>
        <v>0</v>
      </c>
      <c r="T308" s="91"/>
      <c r="U308" s="91">
        <f t="shared" ref="U308" si="265">SUM(U309:U310)</f>
        <v>0</v>
      </c>
      <c r="V308" s="506">
        <f t="shared" si="213"/>
        <v>0</v>
      </c>
      <c r="W308" s="506">
        <f t="shared" si="214"/>
        <v>0</v>
      </c>
      <c r="X308" s="31"/>
      <c r="Y308" s="486"/>
      <c r="Z308" s="31"/>
      <c r="AA308" s="31"/>
      <c r="AB308" s="31"/>
      <c r="AD308" s="24"/>
    </row>
    <row r="309" spans="1:38" ht="12.75" hidden="1" customHeight="1" x14ac:dyDescent="0.3">
      <c r="A309" s="92">
        <v>4221</v>
      </c>
      <c r="B309" s="93" t="s">
        <v>54</v>
      </c>
      <c r="C309" s="551"/>
      <c r="D309" s="71"/>
      <c r="E309" s="71"/>
      <c r="F309" s="368"/>
      <c r="G309" s="368"/>
      <c r="H309" s="368"/>
      <c r="I309" s="368"/>
      <c r="J309" s="368"/>
      <c r="K309" s="368"/>
      <c r="L309" s="368"/>
      <c r="M309" s="368"/>
      <c r="N309" s="368"/>
      <c r="O309" s="368"/>
      <c r="P309" s="368"/>
      <c r="Q309" s="368"/>
      <c r="R309" s="368"/>
      <c r="S309" s="368"/>
      <c r="T309" s="368"/>
      <c r="U309" s="368"/>
      <c r="V309" s="506">
        <f t="shared" si="213"/>
        <v>0</v>
      </c>
      <c r="W309" s="506">
        <f t="shared" si="214"/>
        <v>0</v>
      </c>
      <c r="X309" s="31"/>
      <c r="Y309" s="486"/>
      <c r="Z309" s="31"/>
      <c r="AA309" s="31"/>
      <c r="AB309" s="31"/>
      <c r="AD309" s="24"/>
    </row>
    <row r="310" spans="1:38" ht="12.75" hidden="1" customHeight="1" x14ac:dyDescent="0.3">
      <c r="A310" s="92">
        <v>4222</v>
      </c>
      <c r="B310" s="93" t="s">
        <v>58</v>
      </c>
      <c r="C310" s="551"/>
      <c r="D310" s="71"/>
      <c r="E310" s="71"/>
      <c r="F310" s="368"/>
      <c r="G310" s="368"/>
      <c r="H310" s="368"/>
      <c r="I310" s="368"/>
      <c r="J310" s="368"/>
      <c r="K310" s="368"/>
      <c r="L310" s="368"/>
      <c r="M310" s="368"/>
      <c r="N310" s="368"/>
      <c r="O310" s="368"/>
      <c r="P310" s="368"/>
      <c r="Q310" s="368"/>
      <c r="R310" s="368"/>
      <c r="S310" s="368"/>
      <c r="T310" s="368"/>
      <c r="U310" s="368"/>
      <c r="V310" s="506">
        <f t="shared" si="213"/>
        <v>0</v>
      </c>
      <c r="W310" s="506">
        <f t="shared" si="214"/>
        <v>0</v>
      </c>
      <c r="X310" s="31"/>
      <c r="Y310" s="486"/>
      <c r="Z310" s="31"/>
      <c r="AA310" s="31"/>
      <c r="AB310" s="31"/>
      <c r="AD310" s="24"/>
    </row>
    <row r="311" spans="1:38" s="2" customFormat="1" ht="0.75" hidden="1" customHeight="1" x14ac:dyDescent="0.3">
      <c r="A311" s="579" t="s">
        <v>187</v>
      </c>
      <c r="B311" s="580" t="s">
        <v>188</v>
      </c>
      <c r="C311" s="581">
        <f t="shared" ref="C311:U311" si="266">C312</f>
        <v>0</v>
      </c>
      <c r="D311" s="99"/>
      <c r="E311" s="99">
        <f t="shared" si="266"/>
        <v>0</v>
      </c>
      <c r="F311" s="373">
        <f t="shared" si="266"/>
        <v>0</v>
      </c>
      <c r="G311" s="373">
        <f t="shared" si="266"/>
        <v>0</v>
      </c>
      <c r="H311" s="373">
        <f t="shared" si="266"/>
        <v>0</v>
      </c>
      <c r="I311" s="373"/>
      <c r="J311" s="373"/>
      <c r="K311" s="373"/>
      <c r="L311" s="373"/>
      <c r="M311" s="373"/>
      <c r="N311" s="373">
        <f t="shared" si="266"/>
        <v>0</v>
      </c>
      <c r="O311" s="373">
        <f t="shared" si="266"/>
        <v>0</v>
      </c>
      <c r="P311" s="373"/>
      <c r="Q311" s="373"/>
      <c r="R311" s="373"/>
      <c r="S311" s="373">
        <f t="shared" si="266"/>
        <v>0</v>
      </c>
      <c r="T311" s="373"/>
      <c r="U311" s="373">
        <f t="shared" si="266"/>
        <v>0</v>
      </c>
      <c r="V311" s="506">
        <f t="shared" si="213"/>
        <v>0</v>
      </c>
      <c r="W311" s="506">
        <f t="shared" si="214"/>
        <v>0</v>
      </c>
      <c r="X311" s="34"/>
      <c r="Y311" s="490"/>
      <c r="Z311" s="34"/>
      <c r="AA311" s="34"/>
      <c r="AB311" s="34"/>
      <c r="AD311" s="430"/>
      <c r="AH311" s="525"/>
      <c r="AI311" s="525"/>
      <c r="AJ311" s="525"/>
      <c r="AK311" s="525"/>
      <c r="AL311" s="525"/>
    </row>
    <row r="312" spans="1:38" ht="18" hidden="1" customHeight="1" x14ac:dyDescent="0.3">
      <c r="A312" s="700" t="s">
        <v>1</v>
      </c>
      <c r="B312" s="700"/>
      <c r="C312" s="582">
        <f t="shared" ref="C312:H312" si="267">SUM(C313,C316,C319,C325,C328,C330,C333)</f>
        <v>0</v>
      </c>
      <c r="D312" s="100"/>
      <c r="E312" s="100">
        <f t="shared" ref="E312" si="268">SUM(E313,E316,E319,E325,E328,E330,E333)</f>
        <v>0</v>
      </c>
      <c r="F312" s="374">
        <f t="shared" si="267"/>
        <v>0</v>
      </c>
      <c r="G312" s="374">
        <f t="shared" si="267"/>
        <v>0</v>
      </c>
      <c r="H312" s="374">
        <f t="shared" si="267"/>
        <v>0</v>
      </c>
      <c r="I312" s="374"/>
      <c r="J312" s="374"/>
      <c r="K312" s="374"/>
      <c r="L312" s="374"/>
      <c r="M312" s="374"/>
      <c r="N312" s="374">
        <f t="shared" ref="N312:O312" si="269">SUM(N313,N316,N319,N325,N328,N330,N333)</f>
        <v>0</v>
      </c>
      <c r="O312" s="374">
        <f t="shared" si="269"/>
        <v>0</v>
      </c>
      <c r="P312" s="374"/>
      <c r="Q312" s="374"/>
      <c r="R312" s="374"/>
      <c r="S312" s="374">
        <f t="shared" ref="S312" si="270">SUM(S313,S316,S319,S325,S328,S330,S333)</f>
        <v>0</v>
      </c>
      <c r="T312" s="374"/>
      <c r="U312" s="374">
        <f t="shared" ref="U312" si="271">SUM(U313,U316,U319,U325,U328,U330,U333)</f>
        <v>0</v>
      </c>
      <c r="V312" s="506">
        <f t="shared" si="213"/>
        <v>0</v>
      </c>
      <c r="W312" s="506">
        <f t="shared" si="214"/>
        <v>0</v>
      </c>
      <c r="X312" s="31"/>
      <c r="Y312" s="486"/>
      <c r="Z312" s="31"/>
      <c r="AA312" s="31"/>
      <c r="AB312" s="31"/>
      <c r="AD312" s="24"/>
    </row>
    <row r="313" spans="1:38" s="2" customFormat="1" ht="13.05" hidden="1" x14ac:dyDescent="0.3">
      <c r="A313" s="557" t="s">
        <v>149</v>
      </c>
      <c r="B313" s="558" t="s">
        <v>12</v>
      </c>
      <c r="C313" s="559">
        <f t="shared" ref="C313:H313" si="272">SUM(C314:C315)</f>
        <v>0</v>
      </c>
      <c r="D313" s="79"/>
      <c r="E313" s="79">
        <f t="shared" ref="E313" si="273">SUM(E314:E315)</f>
        <v>0</v>
      </c>
      <c r="F313" s="369">
        <f t="shared" si="272"/>
        <v>0</v>
      </c>
      <c r="G313" s="369">
        <f t="shared" si="272"/>
        <v>0</v>
      </c>
      <c r="H313" s="369">
        <f t="shared" si="272"/>
        <v>0</v>
      </c>
      <c r="I313" s="369"/>
      <c r="J313" s="369"/>
      <c r="K313" s="369"/>
      <c r="L313" s="369"/>
      <c r="M313" s="369"/>
      <c r="N313" s="369">
        <f t="shared" ref="N313:O313" si="274">SUM(N314:N315)</f>
        <v>0</v>
      </c>
      <c r="O313" s="369">
        <f t="shared" si="274"/>
        <v>0</v>
      </c>
      <c r="P313" s="369"/>
      <c r="Q313" s="369"/>
      <c r="R313" s="369"/>
      <c r="S313" s="369">
        <f t="shared" ref="S313" si="275">SUM(S314:S315)</f>
        <v>0</v>
      </c>
      <c r="T313" s="369"/>
      <c r="U313" s="369">
        <f t="shared" ref="U313" si="276">SUM(U314:U315)</f>
        <v>0</v>
      </c>
      <c r="V313" s="506">
        <f t="shared" si="213"/>
        <v>0</v>
      </c>
      <c r="W313" s="506">
        <f t="shared" si="214"/>
        <v>0</v>
      </c>
      <c r="X313" s="34"/>
      <c r="Y313" s="490"/>
      <c r="Z313" s="34"/>
      <c r="AA313" s="34"/>
      <c r="AB313" s="34"/>
      <c r="AD313" s="430"/>
      <c r="AH313" s="525"/>
      <c r="AI313" s="525"/>
      <c r="AJ313" s="525"/>
      <c r="AK313" s="525"/>
      <c r="AL313" s="525"/>
    </row>
    <row r="314" spans="1:38" ht="13.05" hidden="1" x14ac:dyDescent="0.3">
      <c r="A314" s="130" t="s">
        <v>150</v>
      </c>
      <c r="B314" s="107" t="s">
        <v>13</v>
      </c>
      <c r="C314" s="560"/>
      <c r="D314" s="81"/>
      <c r="E314" s="81"/>
      <c r="F314" s="370"/>
      <c r="G314" s="370"/>
      <c r="H314" s="370"/>
      <c r="I314" s="370"/>
      <c r="J314" s="370"/>
      <c r="K314" s="370"/>
      <c r="L314" s="370"/>
      <c r="M314" s="370"/>
      <c r="N314" s="370"/>
      <c r="O314" s="370"/>
      <c r="P314" s="370"/>
      <c r="Q314" s="370"/>
      <c r="R314" s="370"/>
      <c r="S314" s="370"/>
      <c r="T314" s="370"/>
      <c r="U314" s="370"/>
      <c r="V314" s="506">
        <f t="shared" si="213"/>
        <v>0</v>
      </c>
      <c r="W314" s="506">
        <f t="shared" si="214"/>
        <v>0</v>
      </c>
      <c r="X314" s="31"/>
      <c r="Y314" s="486"/>
      <c r="Z314" s="31"/>
      <c r="AA314" s="31"/>
      <c r="AB314" s="31"/>
      <c r="AD314" s="24"/>
    </row>
    <row r="315" spans="1:38" ht="13.05" hidden="1" x14ac:dyDescent="0.3">
      <c r="A315" s="130" t="s">
        <v>152</v>
      </c>
      <c r="B315" s="107" t="s">
        <v>15</v>
      </c>
      <c r="C315" s="560"/>
      <c r="D315" s="81"/>
      <c r="E315" s="81"/>
      <c r="F315" s="370"/>
      <c r="G315" s="370"/>
      <c r="H315" s="370"/>
      <c r="I315" s="370"/>
      <c r="J315" s="370"/>
      <c r="K315" s="370"/>
      <c r="L315" s="370"/>
      <c r="M315" s="370"/>
      <c r="N315" s="370"/>
      <c r="O315" s="370"/>
      <c r="P315" s="370"/>
      <c r="Q315" s="370"/>
      <c r="R315" s="370"/>
      <c r="S315" s="370"/>
      <c r="T315" s="370"/>
      <c r="U315" s="370"/>
      <c r="V315" s="506">
        <f t="shared" si="213"/>
        <v>0</v>
      </c>
      <c r="W315" s="506">
        <f t="shared" si="214"/>
        <v>0</v>
      </c>
      <c r="X315" s="31"/>
      <c r="Y315" s="486"/>
      <c r="Z315" s="31"/>
      <c r="AA315" s="31"/>
      <c r="AB315" s="31"/>
      <c r="AD315" s="24"/>
    </row>
    <row r="316" spans="1:38" s="2" customFormat="1" ht="13.05" hidden="1" x14ac:dyDescent="0.3">
      <c r="A316" s="557" t="s">
        <v>153</v>
      </c>
      <c r="B316" s="558" t="s">
        <v>16</v>
      </c>
      <c r="C316" s="559">
        <f t="shared" ref="C316:H316" si="277">SUM(C317:C318)</f>
        <v>0</v>
      </c>
      <c r="D316" s="79"/>
      <c r="E316" s="79">
        <f t="shared" ref="E316" si="278">SUM(E317:E318)</f>
        <v>0</v>
      </c>
      <c r="F316" s="369">
        <f t="shared" si="277"/>
        <v>0</v>
      </c>
      <c r="G316" s="369">
        <f t="shared" si="277"/>
        <v>0</v>
      </c>
      <c r="H316" s="369">
        <f t="shared" si="277"/>
        <v>0</v>
      </c>
      <c r="I316" s="369"/>
      <c r="J316" s="369"/>
      <c r="K316" s="369"/>
      <c r="L316" s="369"/>
      <c r="M316" s="369"/>
      <c r="N316" s="369">
        <f t="shared" ref="N316:O316" si="279">SUM(N317:N318)</f>
        <v>0</v>
      </c>
      <c r="O316" s="369">
        <f t="shared" si="279"/>
        <v>0</v>
      </c>
      <c r="P316" s="369"/>
      <c r="Q316" s="369"/>
      <c r="R316" s="369"/>
      <c r="S316" s="369">
        <f t="shared" ref="S316" si="280">SUM(S317:S318)</f>
        <v>0</v>
      </c>
      <c r="T316" s="369"/>
      <c r="U316" s="369">
        <f t="shared" ref="U316" si="281">SUM(U317:U318)</f>
        <v>0</v>
      </c>
      <c r="V316" s="506">
        <f t="shared" si="213"/>
        <v>0</v>
      </c>
      <c r="W316" s="506">
        <f t="shared" si="214"/>
        <v>0</v>
      </c>
      <c r="X316" s="34"/>
      <c r="Y316" s="490"/>
      <c r="Z316" s="34"/>
      <c r="AA316" s="34"/>
      <c r="AB316" s="34"/>
      <c r="AD316" s="430"/>
      <c r="AH316" s="525"/>
      <c r="AI316" s="525"/>
      <c r="AJ316" s="525"/>
      <c r="AK316" s="525"/>
      <c r="AL316" s="525"/>
    </row>
    <row r="317" spans="1:38" ht="13.05" hidden="1" x14ac:dyDescent="0.3">
      <c r="A317" s="130" t="s">
        <v>157</v>
      </c>
      <c r="B317" s="107" t="s">
        <v>112</v>
      </c>
      <c r="C317" s="560"/>
      <c r="D317" s="81"/>
      <c r="E317" s="81"/>
      <c r="F317" s="370"/>
      <c r="G317" s="370"/>
      <c r="H317" s="370"/>
      <c r="I317" s="370"/>
      <c r="J317" s="370"/>
      <c r="K317" s="370"/>
      <c r="L317" s="370"/>
      <c r="M317" s="370"/>
      <c r="N317" s="370"/>
      <c r="O317" s="370"/>
      <c r="P317" s="370"/>
      <c r="Q317" s="370"/>
      <c r="R317" s="370"/>
      <c r="S317" s="370"/>
      <c r="T317" s="370"/>
      <c r="U317" s="370"/>
      <c r="V317" s="506">
        <f t="shared" si="213"/>
        <v>0</v>
      </c>
      <c r="W317" s="506">
        <f t="shared" si="214"/>
        <v>0</v>
      </c>
      <c r="X317" s="31"/>
      <c r="Y317" s="486"/>
      <c r="Z317" s="31"/>
      <c r="AA317" s="31"/>
      <c r="AB317" s="31"/>
      <c r="AD317" s="24"/>
    </row>
    <row r="318" spans="1:38" ht="13.05" hidden="1" x14ac:dyDescent="0.3">
      <c r="A318" s="130" t="s">
        <v>158</v>
      </c>
      <c r="B318" s="107" t="s">
        <v>21</v>
      </c>
      <c r="C318" s="560"/>
      <c r="D318" s="81"/>
      <c r="E318" s="81"/>
      <c r="F318" s="370"/>
      <c r="G318" s="370"/>
      <c r="H318" s="370"/>
      <c r="I318" s="370"/>
      <c r="J318" s="370"/>
      <c r="K318" s="370"/>
      <c r="L318" s="370"/>
      <c r="M318" s="370"/>
      <c r="N318" s="370"/>
      <c r="O318" s="370"/>
      <c r="P318" s="370"/>
      <c r="Q318" s="370"/>
      <c r="R318" s="370"/>
      <c r="S318" s="370"/>
      <c r="T318" s="370"/>
      <c r="U318" s="370"/>
      <c r="V318" s="506">
        <f t="shared" si="213"/>
        <v>0</v>
      </c>
      <c r="W318" s="506">
        <f t="shared" si="214"/>
        <v>0</v>
      </c>
      <c r="X318" s="31"/>
      <c r="Y318" s="486"/>
      <c r="Z318" s="31"/>
      <c r="AA318" s="31"/>
      <c r="AB318" s="31"/>
      <c r="AD318" s="24"/>
    </row>
    <row r="319" spans="1:38" s="2" customFormat="1" ht="13.05" hidden="1" x14ac:dyDescent="0.3">
      <c r="A319" s="557" t="s">
        <v>159</v>
      </c>
      <c r="B319" s="558" t="s">
        <v>123</v>
      </c>
      <c r="C319" s="559">
        <f t="shared" ref="C319:H319" si="282">SUM(C320:C324)</f>
        <v>0</v>
      </c>
      <c r="D319" s="79"/>
      <c r="E319" s="79">
        <f t="shared" ref="E319" si="283">SUM(E320:E324)</f>
        <v>0</v>
      </c>
      <c r="F319" s="369">
        <f t="shared" si="282"/>
        <v>0</v>
      </c>
      <c r="G319" s="369">
        <f t="shared" si="282"/>
        <v>0</v>
      </c>
      <c r="H319" s="369">
        <f t="shared" si="282"/>
        <v>0</v>
      </c>
      <c r="I319" s="369"/>
      <c r="J319" s="369"/>
      <c r="K319" s="369"/>
      <c r="L319" s="369"/>
      <c r="M319" s="369"/>
      <c r="N319" s="369">
        <f t="shared" ref="N319:O319" si="284">SUM(N320:N324)</f>
        <v>0</v>
      </c>
      <c r="O319" s="369">
        <f t="shared" si="284"/>
        <v>0</v>
      </c>
      <c r="P319" s="369"/>
      <c r="Q319" s="369"/>
      <c r="R319" s="369"/>
      <c r="S319" s="369">
        <f t="shared" ref="S319" si="285">SUM(S320:S324)</f>
        <v>0</v>
      </c>
      <c r="T319" s="369"/>
      <c r="U319" s="369">
        <f t="shared" ref="U319" si="286">SUM(U320:U324)</f>
        <v>0</v>
      </c>
      <c r="V319" s="506">
        <f t="shared" si="213"/>
        <v>0</v>
      </c>
      <c r="W319" s="506">
        <f t="shared" si="214"/>
        <v>0</v>
      </c>
      <c r="X319" s="34"/>
      <c r="Y319" s="490"/>
      <c r="Z319" s="34"/>
      <c r="AA319" s="34"/>
      <c r="AB319" s="34"/>
      <c r="AD319" s="430"/>
      <c r="AH319" s="525"/>
      <c r="AI319" s="525"/>
      <c r="AJ319" s="525"/>
      <c r="AK319" s="525"/>
      <c r="AL319" s="525"/>
    </row>
    <row r="320" spans="1:38" ht="13.05" hidden="1" x14ac:dyDescent="0.3">
      <c r="A320" s="130" t="s">
        <v>160</v>
      </c>
      <c r="B320" s="107" t="s">
        <v>24</v>
      </c>
      <c r="C320" s="560"/>
      <c r="D320" s="81"/>
      <c r="E320" s="81"/>
      <c r="F320" s="370"/>
      <c r="G320" s="370"/>
      <c r="H320" s="370"/>
      <c r="I320" s="370"/>
      <c r="J320" s="370"/>
      <c r="K320" s="370"/>
      <c r="L320" s="370"/>
      <c r="M320" s="370"/>
      <c r="N320" s="370"/>
      <c r="O320" s="370"/>
      <c r="P320" s="370"/>
      <c r="Q320" s="370"/>
      <c r="R320" s="370"/>
      <c r="S320" s="370"/>
      <c r="T320" s="370"/>
      <c r="U320" s="370"/>
      <c r="V320" s="506">
        <f t="shared" si="213"/>
        <v>0</v>
      </c>
      <c r="W320" s="506">
        <f t="shared" si="214"/>
        <v>0</v>
      </c>
      <c r="X320" s="31"/>
      <c r="Y320" s="486"/>
      <c r="Z320" s="31"/>
      <c r="AA320" s="31"/>
      <c r="AB320" s="31"/>
      <c r="AD320" s="24"/>
    </row>
    <row r="321" spans="1:38" ht="13.05" hidden="1" x14ac:dyDescent="0.3">
      <c r="A321" s="130" t="s">
        <v>161</v>
      </c>
      <c r="B321" s="107" t="s">
        <v>25</v>
      </c>
      <c r="C321" s="560"/>
      <c r="D321" s="81"/>
      <c r="E321" s="81"/>
      <c r="F321" s="370"/>
      <c r="G321" s="370"/>
      <c r="H321" s="370"/>
      <c r="I321" s="370"/>
      <c r="J321" s="370"/>
      <c r="K321" s="370"/>
      <c r="L321" s="370"/>
      <c r="M321" s="370"/>
      <c r="N321" s="370"/>
      <c r="O321" s="370"/>
      <c r="P321" s="370"/>
      <c r="Q321" s="370"/>
      <c r="R321" s="370"/>
      <c r="S321" s="370"/>
      <c r="T321" s="370"/>
      <c r="U321" s="370"/>
      <c r="V321" s="506">
        <f t="shared" si="213"/>
        <v>0</v>
      </c>
      <c r="W321" s="506">
        <f t="shared" si="214"/>
        <v>0</v>
      </c>
      <c r="X321" s="31"/>
      <c r="Y321" s="486"/>
      <c r="Z321" s="31"/>
      <c r="AA321" s="31"/>
      <c r="AB321" s="31"/>
      <c r="AD321" s="24"/>
    </row>
    <row r="322" spans="1:38" ht="13.05" hidden="1" x14ac:dyDescent="0.3">
      <c r="A322" s="130" t="s">
        <v>164</v>
      </c>
      <c r="B322" s="107" t="s">
        <v>28</v>
      </c>
      <c r="C322" s="560"/>
      <c r="D322" s="81"/>
      <c r="E322" s="81"/>
      <c r="F322" s="370"/>
      <c r="G322" s="370"/>
      <c r="H322" s="370"/>
      <c r="I322" s="370"/>
      <c r="J322" s="370"/>
      <c r="K322" s="370"/>
      <c r="L322" s="370"/>
      <c r="M322" s="370"/>
      <c r="N322" s="370"/>
      <c r="O322" s="370"/>
      <c r="P322" s="370"/>
      <c r="Q322" s="370"/>
      <c r="R322" s="370"/>
      <c r="S322" s="370"/>
      <c r="T322" s="370"/>
      <c r="U322" s="370"/>
      <c r="V322" s="506">
        <f t="shared" si="213"/>
        <v>0</v>
      </c>
      <c r="W322" s="506">
        <f t="shared" si="214"/>
        <v>0</v>
      </c>
      <c r="X322" s="31"/>
      <c r="Y322" s="486"/>
      <c r="Z322" s="31"/>
      <c r="AA322" s="31"/>
      <c r="AB322" s="31"/>
      <c r="AD322" s="24"/>
    </row>
    <row r="323" spans="1:38" ht="13.05" hidden="1" x14ac:dyDescent="0.3">
      <c r="A323" s="130" t="s">
        <v>166</v>
      </c>
      <c r="B323" s="107" t="s">
        <v>30</v>
      </c>
      <c r="C323" s="560"/>
      <c r="D323" s="81"/>
      <c r="E323" s="81"/>
      <c r="F323" s="370"/>
      <c r="G323" s="370"/>
      <c r="H323" s="370"/>
      <c r="I323" s="370"/>
      <c r="J323" s="370"/>
      <c r="K323" s="370"/>
      <c r="L323" s="370"/>
      <c r="M323" s="370"/>
      <c r="N323" s="370"/>
      <c r="O323" s="370"/>
      <c r="P323" s="370"/>
      <c r="Q323" s="370"/>
      <c r="R323" s="370"/>
      <c r="S323" s="370"/>
      <c r="T323" s="370"/>
      <c r="U323" s="370"/>
      <c r="V323" s="506">
        <f t="shared" si="213"/>
        <v>0</v>
      </c>
      <c r="W323" s="506">
        <f t="shared" si="214"/>
        <v>0</v>
      </c>
      <c r="X323" s="31"/>
      <c r="Y323" s="486"/>
      <c r="Z323" s="31"/>
      <c r="AA323" s="31"/>
      <c r="AB323" s="31"/>
      <c r="AD323" s="24"/>
    </row>
    <row r="324" spans="1:38" ht="13.05" hidden="1" x14ac:dyDescent="0.3">
      <c r="A324" s="130" t="s">
        <v>189</v>
      </c>
      <c r="B324" s="107" t="s">
        <v>70</v>
      </c>
      <c r="C324" s="560"/>
      <c r="D324" s="81"/>
      <c r="E324" s="81"/>
      <c r="F324" s="370"/>
      <c r="G324" s="370"/>
      <c r="H324" s="370"/>
      <c r="I324" s="370"/>
      <c r="J324" s="370"/>
      <c r="K324" s="370"/>
      <c r="L324" s="370"/>
      <c r="M324" s="370"/>
      <c r="N324" s="370"/>
      <c r="O324" s="370"/>
      <c r="P324" s="370"/>
      <c r="Q324" s="370"/>
      <c r="R324" s="370"/>
      <c r="S324" s="370"/>
      <c r="T324" s="370"/>
      <c r="U324" s="370"/>
      <c r="V324" s="506">
        <f t="shared" si="213"/>
        <v>0</v>
      </c>
      <c r="W324" s="506">
        <f t="shared" si="214"/>
        <v>0</v>
      </c>
      <c r="X324" s="31"/>
      <c r="Y324" s="486"/>
      <c r="Z324" s="31"/>
      <c r="AA324" s="31"/>
      <c r="AB324" s="31"/>
      <c r="AD324" s="24"/>
    </row>
    <row r="325" spans="1:38" s="2" customFormat="1" ht="13.05" hidden="1" x14ac:dyDescent="0.3">
      <c r="A325" s="557" t="s">
        <v>170</v>
      </c>
      <c r="B325" s="558" t="s">
        <v>33</v>
      </c>
      <c r="C325" s="559">
        <f t="shared" ref="C325:H325" si="287">SUM(C326:C327)</f>
        <v>0</v>
      </c>
      <c r="D325" s="79"/>
      <c r="E325" s="79">
        <f t="shared" ref="E325" si="288">SUM(E326:E327)</f>
        <v>0</v>
      </c>
      <c r="F325" s="369">
        <f t="shared" si="287"/>
        <v>0</v>
      </c>
      <c r="G325" s="369">
        <f t="shared" si="287"/>
        <v>0</v>
      </c>
      <c r="H325" s="369">
        <f t="shared" si="287"/>
        <v>0</v>
      </c>
      <c r="I325" s="369"/>
      <c r="J325" s="369"/>
      <c r="K325" s="369"/>
      <c r="L325" s="369"/>
      <c r="M325" s="369"/>
      <c r="N325" s="369">
        <f t="shared" ref="N325:O325" si="289">SUM(N326:N327)</f>
        <v>0</v>
      </c>
      <c r="O325" s="369">
        <f t="shared" si="289"/>
        <v>0</v>
      </c>
      <c r="P325" s="369"/>
      <c r="Q325" s="369"/>
      <c r="R325" s="369"/>
      <c r="S325" s="369">
        <f t="shared" ref="S325" si="290">SUM(S326:S327)</f>
        <v>0</v>
      </c>
      <c r="T325" s="369"/>
      <c r="U325" s="369">
        <f t="shared" ref="U325" si="291">SUM(U326:U327)</f>
        <v>0</v>
      </c>
      <c r="V325" s="506">
        <f t="shared" si="213"/>
        <v>0</v>
      </c>
      <c r="W325" s="506">
        <f t="shared" si="214"/>
        <v>0</v>
      </c>
      <c r="X325" s="34"/>
      <c r="Y325" s="490"/>
      <c r="Z325" s="34"/>
      <c r="AA325" s="34"/>
      <c r="AB325" s="34"/>
      <c r="AD325" s="430"/>
      <c r="AH325" s="525"/>
      <c r="AI325" s="525"/>
      <c r="AJ325" s="525"/>
      <c r="AK325" s="525"/>
      <c r="AL325" s="525"/>
    </row>
    <row r="326" spans="1:38" ht="13.05" hidden="1" x14ac:dyDescent="0.3">
      <c r="A326" s="130" t="s">
        <v>172</v>
      </c>
      <c r="B326" s="107" t="s">
        <v>36</v>
      </c>
      <c r="C326" s="560"/>
      <c r="D326" s="81"/>
      <c r="E326" s="81"/>
      <c r="F326" s="370"/>
      <c r="G326" s="370"/>
      <c r="H326" s="370"/>
      <c r="I326" s="370"/>
      <c r="J326" s="370"/>
      <c r="K326" s="370"/>
      <c r="L326" s="370"/>
      <c r="M326" s="370"/>
      <c r="N326" s="370"/>
      <c r="O326" s="370"/>
      <c r="P326" s="370"/>
      <c r="Q326" s="370"/>
      <c r="R326" s="370"/>
      <c r="S326" s="370"/>
      <c r="T326" s="370"/>
      <c r="U326" s="370"/>
      <c r="V326" s="506">
        <f t="shared" si="213"/>
        <v>0</v>
      </c>
      <c r="W326" s="506">
        <f t="shared" si="214"/>
        <v>0</v>
      </c>
      <c r="X326" s="31"/>
      <c r="Y326" s="486"/>
      <c r="Z326" s="31"/>
      <c r="AA326" s="31"/>
      <c r="AB326" s="31"/>
      <c r="AD326" s="24"/>
    </row>
    <row r="327" spans="1:38" ht="13.05" hidden="1" x14ac:dyDescent="0.3">
      <c r="A327" s="130" t="s">
        <v>173</v>
      </c>
      <c r="B327" s="107" t="s">
        <v>33</v>
      </c>
      <c r="C327" s="560"/>
      <c r="D327" s="81"/>
      <c r="E327" s="81"/>
      <c r="F327" s="370"/>
      <c r="G327" s="370"/>
      <c r="H327" s="370"/>
      <c r="I327" s="370"/>
      <c r="J327" s="370"/>
      <c r="K327" s="370"/>
      <c r="L327" s="370"/>
      <c r="M327" s="370"/>
      <c r="N327" s="370"/>
      <c r="O327" s="370"/>
      <c r="P327" s="370"/>
      <c r="Q327" s="370"/>
      <c r="R327" s="370"/>
      <c r="S327" s="370"/>
      <c r="T327" s="370"/>
      <c r="U327" s="370"/>
      <c r="V327" s="506">
        <f t="shared" si="213"/>
        <v>0</v>
      </c>
      <c r="W327" s="506">
        <f t="shared" si="214"/>
        <v>0</v>
      </c>
      <c r="X327" s="31"/>
      <c r="Y327" s="486"/>
      <c r="Z327" s="31"/>
      <c r="AA327" s="31"/>
      <c r="AB327" s="31"/>
      <c r="AD327" s="24"/>
    </row>
    <row r="328" spans="1:38" s="2" customFormat="1" ht="13.05" hidden="1" x14ac:dyDescent="0.3">
      <c r="A328" s="557" t="s">
        <v>176</v>
      </c>
      <c r="B328" s="558" t="s">
        <v>67</v>
      </c>
      <c r="C328" s="559">
        <f t="shared" ref="C328:U328" si="292">SUM(C329)</f>
        <v>0</v>
      </c>
      <c r="D328" s="79"/>
      <c r="E328" s="79">
        <f t="shared" si="292"/>
        <v>0</v>
      </c>
      <c r="F328" s="369">
        <f t="shared" si="292"/>
        <v>0</v>
      </c>
      <c r="G328" s="369">
        <f t="shared" si="292"/>
        <v>0</v>
      </c>
      <c r="H328" s="369">
        <f t="shared" si="292"/>
        <v>0</v>
      </c>
      <c r="I328" s="369"/>
      <c r="J328" s="369"/>
      <c r="K328" s="369"/>
      <c r="L328" s="369"/>
      <c r="M328" s="369"/>
      <c r="N328" s="369">
        <f t="shared" si="292"/>
        <v>0</v>
      </c>
      <c r="O328" s="369">
        <f t="shared" si="292"/>
        <v>0</v>
      </c>
      <c r="P328" s="369"/>
      <c r="Q328" s="369"/>
      <c r="R328" s="369"/>
      <c r="S328" s="369">
        <f t="shared" si="292"/>
        <v>0</v>
      </c>
      <c r="T328" s="369"/>
      <c r="U328" s="369">
        <f t="shared" si="292"/>
        <v>0</v>
      </c>
      <c r="V328" s="506">
        <f t="shared" si="213"/>
        <v>0</v>
      </c>
      <c r="W328" s="506">
        <f t="shared" si="214"/>
        <v>0</v>
      </c>
      <c r="X328" s="34"/>
      <c r="Y328" s="490"/>
      <c r="Z328" s="34"/>
      <c r="AA328" s="34"/>
      <c r="AB328" s="34"/>
      <c r="AD328" s="430"/>
      <c r="AH328" s="525"/>
      <c r="AI328" s="525"/>
      <c r="AJ328" s="525"/>
      <c r="AK328" s="525"/>
      <c r="AL328" s="525"/>
    </row>
    <row r="329" spans="1:38" ht="13.05" hidden="1" x14ac:dyDescent="0.3">
      <c r="A329" s="130" t="s">
        <v>190</v>
      </c>
      <c r="B329" s="107" t="s">
        <v>68</v>
      </c>
      <c r="C329" s="560"/>
      <c r="D329" s="81"/>
      <c r="E329" s="81"/>
      <c r="F329" s="370"/>
      <c r="G329" s="370"/>
      <c r="H329" s="370"/>
      <c r="I329" s="370"/>
      <c r="J329" s="370"/>
      <c r="K329" s="370"/>
      <c r="L329" s="370"/>
      <c r="M329" s="370"/>
      <c r="N329" s="370"/>
      <c r="O329" s="370"/>
      <c r="P329" s="370"/>
      <c r="Q329" s="370"/>
      <c r="R329" s="370"/>
      <c r="S329" s="370"/>
      <c r="T329" s="370"/>
      <c r="U329" s="370"/>
      <c r="V329" s="506">
        <f t="shared" si="213"/>
        <v>0</v>
      </c>
      <c r="W329" s="506">
        <f t="shared" si="214"/>
        <v>0</v>
      </c>
      <c r="X329" s="31"/>
      <c r="Y329" s="486"/>
      <c r="Z329" s="31"/>
      <c r="AA329" s="31"/>
      <c r="AB329" s="31"/>
      <c r="AD329" s="24"/>
    </row>
    <row r="330" spans="1:38" s="2" customFormat="1" ht="13.05" hidden="1" x14ac:dyDescent="0.3">
      <c r="A330" s="557" t="s">
        <v>177</v>
      </c>
      <c r="B330" s="558" t="s">
        <v>129</v>
      </c>
      <c r="C330" s="559">
        <f t="shared" ref="C330:U330" si="293">SUM(C331)</f>
        <v>0</v>
      </c>
      <c r="D330" s="79"/>
      <c r="E330" s="79">
        <f t="shared" si="293"/>
        <v>0</v>
      </c>
      <c r="F330" s="369">
        <f t="shared" si="293"/>
        <v>0</v>
      </c>
      <c r="G330" s="369">
        <f t="shared" si="293"/>
        <v>0</v>
      </c>
      <c r="H330" s="369">
        <f t="shared" si="293"/>
        <v>0</v>
      </c>
      <c r="I330" s="369"/>
      <c r="J330" s="369"/>
      <c r="K330" s="369"/>
      <c r="L330" s="369"/>
      <c r="M330" s="369"/>
      <c r="N330" s="369">
        <f t="shared" si="293"/>
        <v>0</v>
      </c>
      <c r="O330" s="369">
        <f t="shared" si="293"/>
        <v>0</v>
      </c>
      <c r="P330" s="369"/>
      <c r="Q330" s="369"/>
      <c r="R330" s="369"/>
      <c r="S330" s="369">
        <f t="shared" si="293"/>
        <v>0</v>
      </c>
      <c r="T330" s="369"/>
      <c r="U330" s="369">
        <f t="shared" si="293"/>
        <v>0</v>
      </c>
      <c r="V330" s="506">
        <f t="shared" si="213"/>
        <v>0</v>
      </c>
      <c r="W330" s="506">
        <f t="shared" si="214"/>
        <v>0</v>
      </c>
      <c r="X330" s="34"/>
      <c r="Y330" s="490"/>
      <c r="Z330" s="34"/>
      <c r="AA330" s="34"/>
      <c r="AB330" s="34"/>
      <c r="AD330" s="430"/>
      <c r="AH330" s="525"/>
      <c r="AI330" s="525"/>
      <c r="AJ330" s="525"/>
      <c r="AK330" s="525"/>
      <c r="AL330" s="525"/>
    </row>
    <row r="331" spans="1:38" ht="13.05" hidden="1" x14ac:dyDescent="0.3">
      <c r="A331" s="130" t="s">
        <v>186</v>
      </c>
      <c r="B331" s="107" t="s">
        <v>58</v>
      </c>
      <c r="C331" s="560"/>
      <c r="D331" s="81"/>
      <c r="E331" s="81"/>
      <c r="F331" s="370"/>
      <c r="G331" s="370"/>
      <c r="H331" s="370"/>
      <c r="I331" s="370"/>
      <c r="J331" s="370"/>
      <c r="K331" s="370"/>
      <c r="L331" s="370"/>
      <c r="M331" s="370"/>
      <c r="N331" s="370"/>
      <c r="O331" s="370"/>
      <c r="P331" s="370"/>
      <c r="Q331" s="370"/>
      <c r="R331" s="370"/>
      <c r="S331" s="370"/>
      <c r="T331" s="370"/>
      <c r="U331" s="370"/>
      <c r="V331" s="506">
        <f t="shared" ref="V331:V394" si="294">P331-M331</f>
        <v>0</v>
      </c>
      <c r="W331" s="506">
        <f t="shared" ref="W331:W394" si="295">S331-V331</f>
        <v>0</v>
      </c>
      <c r="X331" s="31"/>
      <c r="Y331" s="486"/>
      <c r="Z331" s="31"/>
      <c r="AA331" s="31"/>
      <c r="AB331" s="31"/>
      <c r="AD331" s="24"/>
    </row>
    <row r="332" spans="1:38" s="2" customFormat="1" ht="13.05" hidden="1" x14ac:dyDescent="0.3">
      <c r="A332" s="557" t="s">
        <v>193</v>
      </c>
      <c r="B332" s="558" t="s">
        <v>73</v>
      </c>
      <c r="C332" s="559">
        <f t="shared" ref="C332:U332" si="296">SUM(C333)</f>
        <v>0</v>
      </c>
      <c r="D332" s="79"/>
      <c r="E332" s="79">
        <f t="shared" si="296"/>
        <v>0</v>
      </c>
      <c r="F332" s="369">
        <f t="shared" si="296"/>
        <v>0</v>
      </c>
      <c r="G332" s="369">
        <f t="shared" si="296"/>
        <v>0</v>
      </c>
      <c r="H332" s="369">
        <f t="shared" si="296"/>
        <v>0</v>
      </c>
      <c r="I332" s="369"/>
      <c r="J332" s="369"/>
      <c r="K332" s="369"/>
      <c r="L332" s="369"/>
      <c r="M332" s="369"/>
      <c r="N332" s="369">
        <f t="shared" si="296"/>
        <v>0</v>
      </c>
      <c r="O332" s="369">
        <f t="shared" si="296"/>
        <v>0</v>
      </c>
      <c r="P332" s="369"/>
      <c r="Q332" s="369"/>
      <c r="R332" s="369"/>
      <c r="S332" s="369">
        <f t="shared" si="296"/>
        <v>0</v>
      </c>
      <c r="T332" s="369"/>
      <c r="U332" s="369">
        <f t="shared" si="296"/>
        <v>0</v>
      </c>
      <c r="V332" s="506">
        <f t="shared" si="294"/>
        <v>0</v>
      </c>
      <c r="W332" s="506">
        <f t="shared" si="295"/>
        <v>0</v>
      </c>
      <c r="X332" s="34"/>
      <c r="Y332" s="490"/>
      <c r="Z332" s="34"/>
      <c r="AA332" s="34"/>
      <c r="AB332" s="34"/>
      <c r="AD332" s="430"/>
      <c r="AH332" s="525"/>
      <c r="AI332" s="525"/>
      <c r="AJ332" s="525"/>
      <c r="AK332" s="525"/>
      <c r="AL332" s="525"/>
    </row>
    <row r="333" spans="1:38" ht="13.05" hidden="1" x14ac:dyDescent="0.3">
      <c r="A333" s="130" t="s">
        <v>194</v>
      </c>
      <c r="B333" s="107" t="s">
        <v>88</v>
      </c>
      <c r="C333" s="560"/>
      <c r="D333" s="81"/>
      <c r="E333" s="81"/>
      <c r="F333" s="370"/>
      <c r="G333" s="370"/>
      <c r="H333" s="370"/>
      <c r="I333" s="370"/>
      <c r="J333" s="370"/>
      <c r="K333" s="370"/>
      <c r="L333" s="370"/>
      <c r="M333" s="370"/>
      <c r="N333" s="370"/>
      <c r="O333" s="370"/>
      <c r="P333" s="370"/>
      <c r="Q333" s="370"/>
      <c r="R333" s="370"/>
      <c r="S333" s="370"/>
      <c r="T333" s="370"/>
      <c r="U333" s="370"/>
      <c r="V333" s="506">
        <f t="shared" si="294"/>
        <v>0</v>
      </c>
      <c r="W333" s="506">
        <f t="shared" si="295"/>
        <v>0</v>
      </c>
      <c r="X333" s="31"/>
      <c r="Y333" s="486"/>
      <c r="Z333" s="31"/>
      <c r="AA333" s="31"/>
      <c r="AB333" s="31"/>
      <c r="AD333" s="24"/>
    </row>
    <row r="334" spans="1:38" ht="25.05" customHeight="1" x14ac:dyDescent="0.3">
      <c r="A334" s="573" t="s">
        <v>71</v>
      </c>
      <c r="B334" s="538" t="s">
        <v>72</v>
      </c>
      <c r="C334" s="539">
        <f t="shared" ref="C334:U334" si="297">SUM(C335)</f>
        <v>17478000</v>
      </c>
      <c r="D334" s="65"/>
      <c r="E334" s="65">
        <f t="shared" si="297"/>
        <v>19078000</v>
      </c>
      <c r="F334" s="365">
        <f t="shared" si="297"/>
        <v>17478000</v>
      </c>
      <c r="G334" s="365">
        <f t="shared" si="297"/>
        <v>17478000</v>
      </c>
      <c r="H334" s="365">
        <f t="shared" si="297"/>
        <v>19381250</v>
      </c>
      <c r="I334" s="365">
        <f t="shared" si="297"/>
        <v>0</v>
      </c>
      <c r="J334" s="365">
        <f t="shared" si="297"/>
        <v>0</v>
      </c>
      <c r="K334" s="365">
        <f t="shared" si="297"/>
        <v>0</v>
      </c>
      <c r="L334" s="365">
        <f t="shared" si="297"/>
        <v>0</v>
      </c>
      <c r="M334" s="365">
        <f t="shared" si="297"/>
        <v>19381250</v>
      </c>
      <c r="N334" s="365">
        <f t="shared" si="297"/>
        <v>18698750</v>
      </c>
      <c r="O334" s="365">
        <f t="shared" si="297"/>
        <v>21641250</v>
      </c>
      <c r="P334" s="365">
        <f t="shared" si="297"/>
        <v>24313000</v>
      </c>
      <c r="Q334" s="365">
        <f t="shared" si="297"/>
        <v>24463000</v>
      </c>
      <c r="R334" s="365">
        <f t="shared" si="297"/>
        <v>24463000</v>
      </c>
      <c r="S334" s="365">
        <f t="shared" si="297"/>
        <v>4931750</v>
      </c>
      <c r="T334" s="365">
        <f t="shared" si="297"/>
        <v>5614250</v>
      </c>
      <c r="U334" s="365">
        <f t="shared" si="297"/>
        <v>2821750</v>
      </c>
      <c r="V334" s="506">
        <f t="shared" si="294"/>
        <v>4931750</v>
      </c>
      <c r="W334" s="506">
        <f t="shared" si="295"/>
        <v>0</v>
      </c>
      <c r="X334" s="31"/>
      <c r="Y334" s="486"/>
      <c r="Z334" s="31"/>
      <c r="AA334" s="31"/>
      <c r="AB334" s="31"/>
      <c r="AD334" s="24"/>
    </row>
    <row r="335" spans="1:38" ht="18" customHeight="1" x14ac:dyDescent="0.3">
      <c r="A335" s="700" t="s">
        <v>1</v>
      </c>
      <c r="B335" s="700"/>
      <c r="C335" s="85">
        <f t="shared" ref="C335:U335" si="298">SUM(C336,C344,C347)</f>
        <v>17478000</v>
      </c>
      <c r="D335" s="66"/>
      <c r="E335" s="66">
        <f t="shared" ref="E335" si="299">SUM(E336,E344,E347)</f>
        <v>19078000</v>
      </c>
      <c r="F335" s="86">
        <f t="shared" si="298"/>
        <v>17478000</v>
      </c>
      <c r="G335" s="86">
        <f t="shared" si="298"/>
        <v>17478000</v>
      </c>
      <c r="H335" s="86">
        <f t="shared" si="298"/>
        <v>19381250</v>
      </c>
      <c r="I335" s="86">
        <f t="shared" si="298"/>
        <v>0</v>
      </c>
      <c r="J335" s="86">
        <f t="shared" si="298"/>
        <v>0</v>
      </c>
      <c r="K335" s="86">
        <f t="shared" si="298"/>
        <v>0</v>
      </c>
      <c r="L335" s="86">
        <f t="shared" si="298"/>
        <v>0</v>
      </c>
      <c r="M335" s="86">
        <f t="shared" si="298"/>
        <v>19381250</v>
      </c>
      <c r="N335" s="86">
        <f t="shared" si="298"/>
        <v>18698750</v>
      </c>
      <c r="O335" s="86">
        <f t="shared" si="298"/>
        <v>21641250</v>
      </c>
      <c r="P335" s="86">
        <f t="shared" si="298"/>
        <v>24313000</v>
      </c>
      <c r="Q335" s="86">
        <f t="shared" si="298"/>
        <v>24463000</v>
      </c>
      <c r="R335" s="86">
        <f t="shared" si="298"/>
        <v>24463000</v>
      </c>
      <c r="S335" s="86">
        <f t="shared" si="298"/>
        <v>4931750</v>
      </c>
      <c r="T335" s="86">
        <f t="shared" si="298"/>
        <v>5614250</v>
      </c>
      <c r="U335" s="86">
        <f t="shared" si="298"/>
        <v>2821750</v>
      </c>
      <c r="V335" s="506">
        <f t="shared" si="294"/>
        <v>4931750</v>
      </c>
      <c r="W335" s="506">
        <f t="shared" si="295"/>
        <v>0</v>
      </c>
      <c r="X335" s="31"/>
      <c r="Y335" s="486"/>
      <c r="Z335" s="31"/>
      <c r="AA335" s="31"/>
      <c r="AB335" s="31"/>
    </row>
    <row r="336" spans="1:38" s="11" customFormat="1" ht="13.2" customHeight="1" x14ac:dyDescent="0.3">
      <c r="A336" s="540" t="s">
        <v>317</v>
      </c>
      <c r="B336" s="145" t="s">
        <v>318</v>
      </c>
      <c r="C336" s="146">
        <f t="shared" ref="C336:U336" si="300">SUM(C337,C340)</f>
        <v>13985000</v>
      </c>
      <c r="D336" s="142"/>
      <c r="E336" s="142">
        <f t="shared" ref="E336" si="301">SUM(E337,E340)</f>
        <v>15585000</v>
      </c>
      <c r="F336" s="147">
        <f t="shared" si="300"/>
        <v>13985000</v>
      </c>
      <c r="G336" s="147">
        <f t="shared" si="300"/>
        <v>13985000</v>
      </c>
      <c r="H336" s="147">
        <f t="shared" si="300"/>
        <v>15888250</v>
      </c>
      <c r="I336" s="147">
        <f t="shared" si="300"/>
        <v>0</v>
      </c>
      <c r="J336" s="147">
        <f>SUM(J337,J340)</f>
        <v>0</v>
      </c>
      <c r="K336" s="147">
        <f>SUM(K337,K340)</f>
        <v>0</v>
      </c>
      <c r="L336" s="147">
        <f t="shared" si="300"/>
        <v>0</v>
      </c>
      <c r="M336" s="147">
        <f t="shared" si="300"/>
        <v>15888250</v>
      </c>
      <c r="N336" s="147">
        <f t="shared" si="300"/>
        <v>15555750</v>
      </c>
      <c r="O336" s="147">
        <f t="shared" si="300"/>
        <v>18148250</v>
      </c>
      <c r="P336" s="147">
        <f t="shared" si="300"/>
        <v>18925000</v>
      </c>
      <c r="Q336" s="147">
        <f t="shared" si="300"/>
        <v>19075000</v>
      </c>
      <c r="R336" s="147">
        <f t="shared" si="300"/>
        <v>19075000</v>
      </c>
      <c r="S336" s="87">
        <f t="shared" si="300"/>
        <v>3036750</v>
      </c>
      <c r="T336" s="87">
        <f t="shared" si="300"/>
        <v>3369250</v>
      </c>
      <c r="U336" s="87">
        <f t="shared" si="300"/>
        <v>926750</v>
      </c>
      <c r="V336" s="506">
        <f t="shared" si="294"/>
        <v>3036750</v>
      </c>
      <c r="W336" s="506">
        <f t="shared" si="295"/>
        <v>0</v>
      </c>
      <c r="X336" s="34"/>
      <c r="Y336" s="490"/>
      <c r="Z336" s="34"/>
      <c r="AA336" s="34"/>
      <c r="AB336" s="34"/>
      <c r="AH336" s="549"/>
      <c r="AI336" s="549"/>
      <c r="AJ336" s="549"/>
      <c r="AK336" s="549"/>
      <c r="AL336" s="549"/>
    </row>
    <row r="337" spans="1:38" s="2" customFormat="1" x14ac:dyDescent="0.3">
      <c r="A337" s="557" t="s">
        <v>153</v>
      </c>
      <c r="B337" s="558" t="s">
        <v>16</v>
      </c>
      <c r="C337" s="559">
        <f t="shared" ref="C337:F337" si="302">SUM(C338:C339)</f>
        <v>682000</v>
      </c>
      <c r="D337" s="79"/>
      <c r="E337" s="79">
        <f t="shared" ref="E337" si="303">SUM(E338:E339)</f>
        <v>682000</v>
      </c>
      <c r="F337" s="369">
        <f t="shared" si="302"/>
        <v>682000</v>
      </c>
      <c r="G337" s="369">
        <f t="shared" ref="G337:U337" si="304">SUM(G338:G339)</f>
        <v>682000</v>
      </c>
      <c r="H337" s="369">
        <f t="shared" si="304"/>
        <v>902250</v>
      </c>
      <c r="I337" s="369">
        <f t="shared" si="304"/>
        <v>0</v>
      </c>
      <c r="J337" s="369">
        <f t="shared" si="304"/>
        <v>0</v>
      </c>
      <c r="K337" s="369">
        <f t="shared" si="304"/>
        <v>0</v>
      </c>
      <c r="L337" s="369">
        <f t="shared" si="304"/>
        <v>0</v>
      </c>
      <c r="M337" s="369">
        <f t="shared" si="304"/>
        <v>902250</v>
      </c>
      <c r="N337" s="369">
        <f t="shared" si="304"/>
        <v>702250</v>
      </c>
      <c r="O337" s="369">
        <f t="shared" si="304"/>
        <v>902250</v>
      </c>
      <c r="P337" s="369">
        <f t="shared" si="304"/>
        <v>1033000</v>
      </c>
      <c r="Q337" s="369">
        <f t="shared" si="304"/>
        <v>1033000</v>
      </c>
      <c r="R337" s="369">
        <f t="shared" si="304"/>
        <v>1033000</v>
      </c>
      <c r="S337" s="369">
        <f t="shared" si="304"/>
        <v>130750</v>
      </c>
      <c r="T337" s="369">
        <f t="shared" si="304"/>
        <v>330750</v>
      </c>
      <c r="U337" s="369">
        <f t="shared" si="304"/>
        <v>130750</v>
      </c>
      <c r="V337" s="506">
        <f t="shared" si="294"/>
        <v>130750</v>
      </c>
      <c r="W337" s="506">
        <f t="shared" si="295"/>
        <v>0</v>
      </c>
      <c r="X337" s="34"/>
      <c r="Y337" s="490"/>
      <c r="Z337" s="34"/>
      <c r="AA337" s="34"/>
      <c r="AB337" s="34"/>
      <c r="AH337" s="525"/>
      <c r="AI337" s="525"/>
      <c r="AJ337" s="525"/>
      <c r="AK337" s="525"/>
      <c r="AL337" s="525"/>
    </row>
    <row r="338" spans="1:38" x14ac:dyDescent="0.3">
      <c r="A338" s="130" t="s">
        <v>157</v>
      </c>
      <c r="B338" s="107" t="s">
        <v>112</v>
      </c>
      <c r="C338" s="560">
        <v>445000</v>
      </c>
      <c r="D338" s="81"/>
      <c r="E338" s="81">
        <v>445000</v>
      </c>
      <c r="F338" s="370">
        <v>445000</v>
      </c>
      <c r="G338" s="370">
        <v>445000</v>
      </c>
      <c r="H338" s="370">
        <v>665250</v>
      </c>
      <c r="I338" s="370"/>
      <c r="J338" s="370"/>
      <c r="K338" s="81"/>
      <c r="L338" s="81"/>
      <c r="M338" s="63">
        <f>H338-I338+J338-K338+L338</f>
        <v>665250</v>
      </c>
      <c r="N338" s="370">
        <f>665250-200000</f>
        <v>465250</v>
      </c>
      <c r="O338" s="370">
        <v>665250</v>
      </c>
      <c r="P338" s="81">
        <v>783250</v>
      </c>
      <c r="Q338" s="81">
        <v>783250</v>
      </c>
      <c r="R338" s="81">
        <v>783250</v>
      </c>
      <c r="S338" s="70">
        <f>P338-M338</f>
        <v>118000</v>
      </c>
      <c r="T338" s="70">
        <f>P338-N338</f>
        <v>318000</v>
      </c>
      <c r="U338" s="70">
        <f>Q338-O338</f>
        <v>118000</v>
      </c>
      <c r="V338" s="506">
        <f t="shared" si="294"/>
        <v>118000</v>
      </c>
      <c r="W338" s="506">
        <f t="shared" si="295"/>
        <v>0</v>
      </c>
      <c r="X338" s="31"/>
      <c r="Y338" s="486"/>
      <c r="Z338" s="31"/>
      <c r="AA338" s="31"/>
      <c r="AB338" s="31"/>
    </row>
    <row r="339" spans="1:38" x14ac:dyDescent="0.3">
      <c r="A339" s="130" t="s">
        <v>158</v>
      </c>
      <c r="B339" s="107" t="s">
        <v>21</v>
      </c>
      <c r="C339" s="560">
        <v>237000</v>
      </c>
      <c r="D339" s="81"/>
      <c r="E339" s="81">
        <v>237000</v>
      </c>
      <c r="F339" s="370">
        <v>237000</v>
      </c>
      <c r="G339" s="370">
        <v>237000</v>
      </c>
      <c r="H339" s="370">
        <v>237000</v>
      </c>
      <c r="I339" s="370"/>
      <c r="J339" s="370"/>
      <c r="K339" s="81"/>
      <c r="L339" s="81"/>
      <c r="M339" s="63">
        <f>H339-I339+J339-K339+L339</f>
        <v>237000</v>
      </c>
      <c r="N339" s="370">
        <v>237000</v>
      </c>
      <c r="O339" s="370">
        <v>237000</v>
      </c>
      <c r="P339" s="81">
        <v>249750</v>
      </c>
      <c r="Q339" s="81">
        <v>249750</v>
      </c>
      <c r="R339" s="81">
        <v>249750</v>
      </c>
      <c r="S339" s="70">
        <f>P339-M339</f>
        <v>12750</v>
      </c>
      <c r="T339" s="70">
        <f>P339-N339</f>
        <v>12750</v>
      </c>
      <c r="U339" s="70">
        <f>Q339-O339</f>
        <v>12750</v>
      </c>
      <c r="V339" s="506">
        <f t="shared" si="294"/>
        <v>12750</v>
      </c>
      <c r="W339" s="506">
        <f t="shared" si="295"/>
        <v>0</v>
      </c>
      <c r="X339" s="31"/>
      <c r="Y339" s="486"/>
      <c r="Z339" s="31"/>
      <c r="AA339" s="31"/>
      <c r="AB339" s="31"/>
    </row>
    <row r="340" spans="1:38" x14ac:dyDescent="0.3">
      <c r="A340" s="88">
        <v>323</v>
      </c>
      <c r="B340" s="89" t="s">
        <v>23</v>
      </c>
      <c r="C340" s="90">
        <f t="shared" ref="C340:F340" si="305">SUM(C341:C343)</f>
        <v>13303000</v>
      </c>
      <c r="D340" s="62"/>
      <c r="E340" s="62">
        <f t="shared" ref="E340" si="306">SUM(E341:E343)</f>
        <v>14903000</v>
      </c>
      <c r="F340" s="91">
        <f t="shared" si="305"/>
        <v>13303000</v>
      </c>
      <c r="G340" s="91">
        <f t="shared" ref="G340:U340" si="307">SUM(G341:G343)</f>
        <v>13303000</v>
      </c>
      <c r="H340" s="91">
        <f t="shared" si="307"/>
        <v>14986000</v>
      </c>
      <c r="I340" s="91">
        <f t="shared" si="307"/>
        <v>0</v>
      </c>
      <c r="J340" s="91">
        <f>SUM(J341:J343)</f>
        <v>0</v>
      </c>
      <c r="K340" s="91">
        <f t="shared" ref="K340:L340" si="308">SUM(K341:K343)</f>
        <v>0</v>
      </c>
      <c r="L340" s="91">
        <f t="shared" si="308"/>
        <v>0</v>
      </c>
      <c r="M340" s="91">
        <f t="shared" si="307"/>
        <v>14986000</v>
      </c>
      <c r="N340" s="91">
        <f t="shared" si="307"/>
        <v>14853500</v>
      </c>
      <c r="O340" s="91">
        <f t="shared" si="307"/>
        <v>17246000</v>
      </c>
      <c r="P340" s="91">
        <f t="shared" si="307"/>
        <v>17892000</v>
      </c>
      <c r="Q340" s="91">
        <f t="shared" si="307"/>
        <v>18042000</v>
      </c>
      <c r="R340" s="91">
        <f t="shared" si="307"/>
        <v>18042000</v>
      </c>
      <c r="S340" s="91">
        <f t="shared" si="307"/>
        <v>2906000</v>
      </c>
      <c r="T340" s="91">
        <f t="shared" si="307"/>
        <v>3038500</v>
      </c>
      <c r="U340" s="91">
        <f t="shared" si="307"/>
        <v>796000</v>
      </c>
      <c r="V340" s="506">
        <f t="shared" si="294"/>
        <v>2906000</v>
      </c>
      <c r="W340" s="506">
        <f t="shared" si="295"/>
        <v>0</v>
      </c>
      <c r="X340" s="31"/>
      <c r="Y340" s="486"/>
      <c r="Z340" s="31"/>
      <c r="AA340" s="31"/>
      <c r="AB340" s="31"/>
    </row>
    <row r="341" spans="1:38" x14ac:dyDescent="0.3">
      <c r="A341" s="542">
        <v>3232</v>
      </c>
      <c r="B341" s="535" t="s">
        <v>25</v>
      </c>
      <c r="C341" s="551">
        <v>4473000</v>
      </c>
      <c r="D341" s="71"/>
      <c r="E341" s="71">
        <v>4473000</v>
      </c>
      <c r="F341" s="71">
        <v>4473000</v>
      </c>
      <c r="G341" s="71">
        <v>4473000</v>
      </c>
      <c r="H341" s="71">
        <v>4433500</v>
      </c>
      <c r="I341" s="71"/>
      <c r="J341" s="71"/>
      <c r="K341" s="71"/>
      <c r="L341" s="71"/>
      <c r="M341" s="63">
        <f>H341-I341+J341-K341+L341</f>
        <v>4433500</v>
      </c>
      <c r="N341" s="71">
        <v>4478500</v>
      </c>
      <c r="O341" s="71">
        <v>4478500</v>
      </c>
      <c r="P341" s="71">
        <v>4892500</v>
      </c>
      <c r="Q341" s="71">
        <v>4892500</v>
      </c>
      <c r="R341" s="71">
        <v>4892500</v>
      </c>
      <c r="S341" s="70">
        <f>P341-M341</f>
        <v>459000</v>
      </c>
      <c r="T341" s="70">
        <f t="shared" ref="T341:U343" si="309">P341-N341</f>
        <v>414000</v>
      </c>
      <c r="U341" s="70">
        <f t="shared" si="309"/>
        <v>414000</v>
      </c>
      <c r="V341" s="506">
        <f t="shared" si="294"/>
        <v>459000</v>
      </c>
      <c r="W341" s="506">
        <f t="shared" si="295"/>
        <v>0</v>
      </c>
      <c r="X341" s="31"/>
      <c r="Y341" s="486"/>
      <c r="Z341" s="31"/>
      <c r="AA341" s="31"/>
      <c r="AB341" s="31"/>
    </row>
    <row r="342" spans="1:38" x14ac:dyDescent="0.3">
      <c r="A342" s="130" t="s">
        <v>164</v>
      </c>
      <c r="B342" s="107" t="s">
        <v>28</v>
      </c>
      <c r="C342" s="551">
        <v>4400000</v>
      </c>
      <c r="D342" s="71"/>
      <c r="E342" s="71">
        <v>6000000</v>
      </c>
      <c r="F342" s="71">
        <v>4400000</v>
      </c>
      <c r="G342" s="71">
        <v>4400000</v>
      </c>
      <c r="H342" s="71">
        <f>4592500+1600000-1000000</f>
        <v>5192500</v>
      </c>
      <c r="I342" s="71"/>
      <c r="J342" s="71"/>
      <c r="K342" s="71"/>
      <c r="L342" s="71"/>
      <c r="M342" s="63">
        <f>H342-I342+J342-K342+L342</f>
        <v>5192500</v>
      </c>
      <c r="N342" s="71">
        <f>4692500+1700000-392500</f>
        <v>6000000</v>
      </c>
      <c r="O342" s="71">
        <f>4792500+1600000</f>
        <v>6392500</v>
      </c>
      <c r="P342" s="71">
        <v>6197500</v>
      </c>
      <c r="Q342" s="71">
        <v>6297500</v>
      </c>
      <c r="R342" s="71">
        <v>6297500</v>
      </c>
      <c r="S342" s="70">
        <f>P342-M342</f>
        <v>1005000</v>
      </c>
      <c r="T342" s="70">
        <f t="shared" si="309"/>
        <v>197500</v>
      </c>
      <c r="U342" s="70">
        <f t="shared" si="309"/>
        <v>-95000</v>
      </c>
      <c r="V342" s="506">
        <f t="shared" si="294"/>
        <v>1005000</v>
      </c>
      <c r="W342" s="506">
        <f t="shared" si="295"/>
        <v>0</v>
      </c>
      <c r="X342" s="31" t="s">
        <v>405</v>
      </c>
      <c r="Y342" s="486"/>
      <c r="Z342" s="31"/>
      <c r="AA342" s="31"/>
      <c r="AB342" s="31"/>
    </row>
    <row r="343" spans="1:38" x14ac:dyDescent="0.3">
      <c r="A343" s="92">
        <v>3238</v>
      </c>
      <c r="B343" s="93" t="s">
        <v>70</v>
      </c>
      <c r="C343" s="551">
        <v>4430000</v>
      </c>
      <c r="D343" s="71"/>
      <c r="E343" s="71">
        <v>4430000</v>
      </c>
      <c r="F343" s="71">
        <v>4430000</v>
      </c>
      <c r="G343" s="71">
        <v>4430000</v>
      </c>
      <c r="H343" s="71">
        <v>5360000</v>
      </c>
      <c r="I343" s="71"/>
      <c r="J343" s="71"/>
      <c r="K343" s="71"/>
      <c r="L343" s="71"/>
      <c r="M343" s="63">
        <f>H343-I343+J343-K343+L343</f>
        <v>5360000</v>
      </c>
      <c r="N343" s="71">
        <f>6375000-2000000</f>
        <v>4375000</v>
      </c>
      <c r="O343" s="71">
        <v>6375000</v>
      </c>
      <c r="P343" s="71">
        <v>6802000</v>
      </c>
      <c r="Q343" s="71">
        <v>6852000</v>
      </c>
      <c r="R343" s="71">
        <v>6852000</v>
      </c>
      <c r="S343" s="70">
        <f>P343-M343</f>
        <v>1442000</v>
      </c>
      <c r="T343" s="70">
        <f t="shared" si="309"/>
        <v>2427000</v>
      </c>
      <c r="U343" s="70">
        <f t="shared" si="309"/>
        <v>477000</v>
      </c>
      <c r="V343" s="506">
        <f t="shared" si="294"/>
        <v>1442000</v>
      </c>
      <c r="W343" s="506">
        <f t="shared" si="295"/>
        <v>0</v>
      </c>
      <c r="X343" s="31"/>
      <c r="Y343" s="486"/>
      <c r="Z343" s="31"/>
      <c r="AA343" s="31"/>
      <c r="AB343" s="31"/>
    </row>
    <row r="344" spans="1:38" ht="26.4" x14ac:dyDescent="0.3">
      <c r="A344" s="570" t="s">
        <v>327</v>
      </c>
      <c r="B344" s="571" t="s">
        <v>328</v>
      </c>
      <c r="C344" s="531">
        <f t="shared" ref="C344:U345" si="310">SUM(C345)</f>
        <v>149000</v>
      </c>
      <c r="D344" s="141"/>
      <c r="E344" s="141">
        <f t="shared" si="310"/>
        <v>149000</v>
      </c>
      <c r="F344" s="364">
        <f t="shared" si="310"/>
        <v>149000</v>
      </c>
      <c r="G344" s="364">
        <f t="shared" si="310"/>
        <v>149000</v>
      </c>
      <c r="H344" s="364">
        <f t="shared" si="310"/>
        <v>149000</v>
      </c>
      <c r="I344" s="364">
        <f t="shared" si="310"/>
        <v>0</v>
      </c>
      <c r="J344" s="364">
        <f t="shared" si="310"/>
        <v>0</v>
      </c>
      <c r="K344" s="364">
        <f t="shared" si="310"/>
        <v>0</v>
      </c>
      <c r="L344" s="364">
        <f t="shared" si="310"/>
        <v>0</v>
      </c>
      <c r="M344" s="364">
        <f t="shared" si="310"/>
        <v>149000</v>
      </c>
      <c r="N344" s="364">
        <f t="shared" si="310"/>
        <v>149000</v>
      </c>
      <c r="O344" s="364">
        <f t="shared" si="310"/>
        <v>149000</v>
      </c>
      <c r="P344" s="364">
        <f t="shared" si="310"/>
        <v>216500</v>
      </c>
      <c r="Q344" s="364">
        <f t="shared" si="310"/>
        <v>216500</v>
      </c>
      <c r="R344" s="364">
        <f t="shared" si="310"/>
        <v>216500</v>
      </c>
      <c r="S344" s="532">
        <f t="shared" si="310"/>
        <v>67500</v>
      </c>
      <c r="T344" s="532">
        <f t="shared" si="310"/>
        <v>67500</v>
      </c>
      <c r="U344" s="532">
        <f t="shared" si="310"/>
        <v>67500</v>
      </c>
      <c r="V344" s="506">
        <f t="shared" si="294"/>
        <v>67500</v>
      </c>
      <c r="W344" s="506">
        <f t="shared" si="295"/>
        <v>0</v>
      </c>
      <c r="X344" s="31"/>
      <c r="Y344" s="486"/>
      <c r="Z344" s="31"/>
      <c r="AA344" s="31"/>
      <c r="AB344" s="31"/>
    </row>
    <row r="345" spans="1:38" x14ac:dyDescent="0.3">
      <c r="A345" s="88">
        <v>412</v>
      </c>
      <c r="B345" s="556" t="s">
        <v>67</v>
      </c>
      <c r="C345" s="90">
        <f t="shared" si="310"/>
        <v>149000</v>
      </c>
      <c r="D345" s="62"/>
      <c r="E345" s="62">
        <f t="shared" si="310"/>
        <v>149000</v>
      </c>
      <c r="F345" s="91">
        <f t="shared" si="310"/>
        <v>149000</v>
      </c>
      <c r="G345" s="91">
        <f t="shared" si="310"/>
        <v>149000</v>
      </c>
      <c r="H345" s="91">
        <f t="shared" si="310"/>
        <v>149000</v>
      </c>
      <c r="I345" s="91">
        <f t="shared" si="310"/>
        <v>0</v>
      </c>
      <c r="J345" s="91">
        <f t="shared" si="310"/>
        <v>0</v>
      </c>
      <c r="K345" s="91">
        <f t="shared" si="310"/>
        <v>0</v>
      </c>
      <c r="L345" s="91">
        <f t="shared" si="310"/>
        <v>0</v>
      </c>
      <c r="M345" s="91">
        <f t="shared" si="310"/>
        <v>149000</v>
      </c>
      <c r="N345" s="91">
        <f t="shared" si="310"/>
        <v>149000</v>
      </c>
      <c r="O345" s="91">
        <f t="shared" si="310"/>
        <v>149000</v>
      </c>
      <c r="P345" s="91">
        <f t="shared" si="310"/>
        <v>216500</v>
      </c>
      <c r="Q345" s="91">
        <f t="shared" si="310"/>
        <v>216500</v>
      </c>
      <c r="R345" s="91">
        <f t="shared" si="310"/>
        <v>216500</v>
      </c>
      <c r="S345" s="91">
        <f t="shared" si="310"/>
        <v>67500</v>
      </c>
      <c r="T345" s="91">
        <f t="shared" si="310"/>
        <v>67500</v>
      </c>
      <c r="U345" s="91">
        <f t="shared" si="310"/>
        <v>67500</v>
      </c>
      <c r="V345" s="506">
        <f t="shared" si="294"/>
        <v>67500</v>
      </c>
      <c r="W345" s="506">
        <f t="shared" si="295"/>
        <v>0</v>
      </c>
      <c r="X345" s="31"/>
      <c r="Y345" s="486"/>
      <c r="Z345" s="31"/>
      <c r="AA345" s="31"/>
      <c r="AB345" s="31"/>
    </row>
    <row r="346" spans="1:38" x14ac:dyDescent="0.3">
      <c r="A346" s="92">
        <v>4123</v>
      </c>
      <c r="B346" s="93" t="s">
        <v>68</v>
      </c>
      <c r="C346" s="551">
        <v>149000</v>
      </c>
      <c r="D346" s="71"/>
      <c r="E346" s="71">
        <v>149000</v>
      </c>
      <c r="F346" s="368">
        <v>149000</v>
      </c>
      <c r="G346" s="368">
        <v>149000</v>
      </c>
      <c r="H346" s="368">
        <v>149000</v>
      </c>
      <c r="I346" s="368"/>
      <c r="J346" s="368"/>
      <c r="K346" s="71"/>
      <c r="L346" s="71"/>
      <c r="M346" s="63">
        <f>H346-I346+J346-K346+L346</f>
        <v>149000</v>
      </c>
      <c r="N346" s="368">
        <v>149000</v>
      </c>
      <c r="O346" s="368">
        <v>149000</v>
      </c>
      <c r="P346" s="71">
        <v>216500</v>
      </c>
      <c r="Q346" s="71">
        <v>216500</v>
      </c>
      <c r="R346" s="71">
        <v>216500</v>
      </c>
      <c r="S346" s="70">
        <f>P346-M346</f>
        <v>67500</v>
      </c>
      <c r="T346" s="70">
        <f>P346-N346</f>
        <v>67500</v>
      </c>
      <c r="U346" s="70">
        <f>Q346-O346</f>
        <v>67500</v>
      </c>
      <c r="V346" s="506">
        <f t="shared" si="294"/>
        <v>67500</v>
      </c>
      <c r="W346" s="506">
        <f t="shared" si="295"/>
        <v>0</v>
      </c>
      <c r="X346" s="31"/>
      <c r="Y346" s="486"/>
      <c r="Z346" s="31"/>
      <c r="AA346" s="31"/>
      <c r="AB346" s="31"/>
    </row>
    <row r="347" spans="1:38" ht="25.95" customHeight="1" x14ac:dyDescent="0.3">
      <c r="A347" s="570" t="s">
        <v>323</v>
      </c>
      <c r="B347" s="571" t="s">
        <v>324</v>
      </c>
      <c r="C347" s="531">
        <f t="shared" ref="C347:U347" si="311">SUM(C348,C351)</f>
        <v>3344000</v>
      </c>
      <c r="D347" s="141"/>
      <c r="E347" s="141">
        <f t="shared" ref="E347" si="312">SUM(E348,E351)</f>
        <v>3344000</v>
      </c>
      <c r="F347" s="364">
        <f t="shared" si="311"/>
        <v>3344000</v>
      </c>
      <c r="G347" s="364">
        <f t="shared" si="311"/>
        <v>3344000</v>
      </c>
      <c r="H347" s="364">
        <f t="shared" si="311"/>
        <v>3344000</v>
      </c>
      <c r="I347" s="364">
        <f t="shared" si="311"/>
        <v>0</v>
      </c>
      <c r="J347" s="364">
        <f t="shared" si="311"/>
        <v>0</v>
      </c>
      <c r="K347" s="364">
        <f t="shared" si="311"/>
        <v>0</v>
      </c>
      <c r="L347" s="364">
        <f t="shared" si="311"/>
        <v>0</v>
      </c>
      <c r="M347" s="364">
        <f t="shared" si="311"/>
        <v>3344000</v>
      </c>
      <c r="N347" s="364">
        <f t="shared" si="311"/>
        <v>2994000</v>
      </c>
      <c r="O347" s="364">
        <f t="shared" si="311"/>
        <v>3344000</v>
      </c>
      <c r="P347" s="364">
        <f t="shared" si="311"/>
        <v>5171500</v>
      </c>
      <c r="Q347" s="364">
        <f t="shared" si="311"/>
        <v>5171500</v>
      </c>
      <c r="R347" s="364">
        <f t="shared" si="311"/>
        <v>5171500</v>
      </c>
      <c r="S347" s="532">
        <f t="shared" si="311"/>
        <v>1827500</v>
      </c>
      <c r="T347" s="532">
        <f t="shared" si="311"/>
        <v>2177500</v>
      </c>
      <c r="U347" s="532">
        <f t="shared" si="311"/>
        <v>1827500</v>
      </c>
      <c r="V347" s="506">
        <f t="shared" si="294"/>
        <v>1827500</v>
      </c>
      <c r="W347" s="506">
        <f t="shared" si="295"/>
        <v>0</v>
      </c>
      <c r="X347" s="31"/>
      <c r="Y347" s="486"/>
      <c r="Z347" s="31"/>
      <c r="AA347" s="31"/>
      <c r="AB347" s="31"/>
    </row>
    <row r="348" spans="1:38" x14ac:dyDescent="0.3">
      <c r="A348" s="88">
        <v>422</v>
      </c>
      <c r="B348" s="556" t="s">
        <v>53</v>
      </c>
      <c r="C348" s="90">
        <f t="shared" ref="C348:F348" si="313">SUM(C349:C350)</f>
        <v>2750000</v>
      </c>
      <c r="D348" s="62"/>
      <c r="E348" s="62">
        <f t="shared" ref="E348" si="314">SUM(E349:E350)</f>
        <v>3000000</v>
      </c>
      <c r="F348" s="91">
        <f t="shared" si="313"/>
        <v>2750000</v>
      </c>
      <c r="G348" s="91">
        <f t="shared" ref="G348:U348" si="315">SUM(G349:G350)</f>
        <v>2750000</v>
      </c>
      <c r="H348" s="91">
        <f t="shared" si="315"/>
        <v>2750000</v>
      </c>
      <c r="I348" s="91">
        <f t="shared" si="315"/>
        <v>0</v>
      </c>
      <c r="J348" s="91">
        <f t="shared" si="315"/>
        <v>0</v>
      </c>
      <c r="K348" s="91">
        <f t="shared" si="315"/>
        <v>0</v>
      </c>
      <c r="L348" s="91">
        <f t="shared" si="315"/>
        <v>0</v>
      </c>
      <c r="M348" s="91">
        <f t="shared" si="315"/>
        <v>2750000</v>
      </c>
      <c r="N348" s="91">
        <f t="shared" si="315"/>
        <v>2650000</v>
      </c>
      <c r="O348" s="91">
        <f t="shared" si="315"/>
        <v>2750000</v>
      </c>
      <c r="P348" s="91">
        <f t="shared" si="315"/>
        <v>4193000</v>
      </c>
      <c r="Q348" s="91">
        <f t="shared" si="315"/>
        <v>4193000</v>
      </c>
      <c r="R348" s="91">
        <f t="shared" si="315"/>
        <v>4193000</v>
      </c>
      <c r="S348" s="91">
        <f t="shared" si="315"/>
        <v>1443000</v>
      </c>
      <c r="T348" s="91">
        <f t="shared" si="315"/>
        <v>1543000</v>
      </c>
      <c r="U348" s="91">
        <f t="shared" si="315"/>
        <v>1443000</v>
      </c>
      <c r="V348" s="506">
        <f t="shared" si="294"/>
        <v>1443000</v>
      </c>
      <c r="W348" s="506">
        <f t="shared" si="295"/>
        <v>0</v>
      </c>
      <c r="X348" s="31"/>
      <c r="Y348" s="486"/>
      <c r="Z348" s="31"/>
      <c r="AA348" s="31"/>
      <c r="AB348" s="31"/>
    </row>
    <row r="349" spans="1:38" x14ac:dyDescent="0.3">
      <c r="A349" s="92">
        <v>4221</v>
      </c>
      <c r="B349" s="93" t="s">
        <v>54</v>
      </c>
      <c r="C349" s="551">
        <v>1595000</v>
      </c>
      <c r="D349" s="71"/>
      <c r="E349" s="71">
        <v>1845000</v>
      </c>
      <c r="F349" s="71">
        <v>1595000</v>
      </c>
      <c r="G349" s="71">
        <v>1595000</v>
      </c>
      <c r="H349" s="71">
        <v>1485000</v>
      </c>
      <c r="I349" s="71"/>
      <c r="J349" s="71"/>
      <c r="K349" s="71"/>
      <c r="L349" s="71"/>
      <c r="M349" s="63">
        <f>H349-I349+J349-K349+L349</f>
        <v>1485000</v>
      </c>
      <c r="N349" s="71">
        <v>1485000</v>
      </c>
      <c r="O349" s="71">
        <v>1485000</v>
      </c>
      <c r="P349" s="71">
        <v>2635000</v>
      </c>
      <c r="Q349" s="71">
        <v>2635000</v>
      </c>
      <c r="R349" s="71">
        <v>2635000</v>
      </c>
      <c r="S349" s="70">
        <f>P349-M349</f>
        <v>1150000</v>
      </c>
      <c r="T349" s="70">
        <f>P349-N349</f>
        <v>1150000</v>
      </c>
      <c r="U349" s="70">
        <f>Q349-O349</f>
        <v>1150000</v>
      </c>
      <c r="V349" s="506">
        <f t="shared" si="294"/>
        <v>1150000</v>
      </c>
      <c r="W349" s="506">
        <f t="shared" si="295"/>
        <v>0</v>
      </c>
      <c r="X349" s="31"/>
      <c r="Y349" s="486"/>
      <c r="Z349" s="31"/>
      <c r="AA349" s="31"/>
      <c r="AB349" s="31"/>
    </row>
    <row r="350" spans="1:38" x14ac:dyDescent="0.3">
      <c r="A350" s="92">
        <v>4222</v>
      </c>
      <c r="B350" s="93" t="s">
        <v>58</v>
      </c>
      <c r="C350" s="551">
        <v>1155000</v>
      </c>
      <c r="D350" s="71"/>
      <c r="E350" s="71">
        <v>1155000</v>
      </c>
      <c r="F350" s="368">
        <v>1155000</v>
      </c>
      <c r="G350" s="368">
        <v>1155000</v>
      </c>
      <c r="H350" s="368">
        <v>1265000</v>
      </c>
      <c r="I350" s="368"/>
      <c r="J350" s="368"/>
      <c r="K350" s="71"/>
      <c r="L350" s="71"/>
      <c r="M350" s="63">
        <f>H350-I350+J350-K350+L350</f>
        <v>1265000</v>
      </c>
      <c r="N350" s="368">
        <f>1265000-100000</f>
        <v>1165000</v>
      </c>
      <c r="O350" s="368">
        <v>1265000</v>
      </c>
      <c r="P350" s="71">
        <v>1558000</v>
      </c>
      <c r="Q350" s="71">
        <v>1558000</v>
      </c>
      <c r="R350" s="71">
        <v>1558000</v>
      </c>
      <c r="S350" s="70">
        <f>P350-M350</f>
        <v>293000</v>
      </c>
      <c r="T350" s="70">
        <f>P350-N350</f>
        <v>393000</v>
      </c>
      <c r="U350" s="70">
        <f>Q350-O350</f>
        <v>293000</v>
      </c>
      <c r="V350" s="506">
        <f t="shared" si="294"/>
        <v>293000</v>
      </c>
      <c r="W350" s="506">
        <f t="shared" si="295"/>
        <v>0</v>
      </c>
      <c r="X350" s="31"/>
      <c r="Y350" s="486"/>
      <c r="Z350" s="31"/>
      <c r="AA350" s="31"/>
      <c r="AB350" s="31"/>
    </row>
    <row r="351" spans="1:38" x14ac:dyDescent="0.3">
      <c r="A351" s="88">
        <v>426</v>
      </c>
      <c r="B351" s="556" t="s">
        <v>73</v>
      </c>
      <c r="C351" s="90">
        <f t="shared" ref="C351:U351" si="316">SUM(C352)</f>
        <v>594000</v>
      </c>
      <c r="D351" s="62"/>
      <c r="E351" s="62">
        <f t="shared" si="316"/>
        <v>344000</v>
      </c>
      <c r="F351" s="91">
        <f t="shared" si="316"/>
        <v>594000</v>
      </c>
      <c r="G351" s="91">
        <f t="shared" si="316"/>
        <v>594000</v>
      </c>
      <c r="H351" s="91">
        <f t="shared" si="316"/>
        <v>594000</v>
      </c>
      <c r="I351" s="91">
        <f t="shared" si="316"/>
        <v>0</v>
      </c>
      <c r="J351" s="91">
        <f t="shared" si="316"/>
        <v>0</v>
      </c>
      <c r="K351" s="91">
        <f t="shared" si="316"/>
        <v>0</v>
      </c>
      <c r="L351" s="91">
        <f t="shared" si="316"/>
        <v>0</v>
      </c>
      <c r="M351" s="91">
        <f t="shared" si="316"/>
        <v>594000</v>
      </c>
      <c r="N351" s="91">
        <f t="shared" si="316"/>
        <v>344000</v>
      </c>
      <c r="O351" s="91">
        <f t="shared" si="316"/>
        <v>594000</v>
      </c>
      <c r="P351" s="91">
        <f t="shared" si="316"/>
        <v>978500</v>
      </c>
      <c r="Q351" s="91">
        <f t="shared" si="316"/>
        <v>978500</v>
      </c>
      <c r="R351" s="91">
        <f t="shared" si="316"/>
        <v>978500</v>
      </c>
      <c r="S351" s="91">
        <f t="shared" si="316"/>
        <v>384500</v>
      </c>
      <c r="T351" s="91">
        <f t="shared" si="316"/>
        <v>634500</v>
      </c>
      <c r="U351" s="91">
        <f t="shared" si="316"/>
        <v>384500</v>
      </c>
      <c r="V351" s="506">
        <f t="shared" si="294"/>
        <v>384500</v>
      </c>
      <c r="W351" s="506">
        <f t="shared" si="295"/>
        <v>0</v>
      </c>
      <c r="X351" s="31"/>
      <c r="Y351" s="486"/>
      <c r="Z351" s="31"/>
      <c r="AA351" s="31"/>
      <c r="AB351" s="31"/>
    </row>
    <row r="352" spans="1:38" ht="12.75" customHeight="1" x14ac:dyDescent="0.3">
      <c r="A352" s="92">
        <v>4262</v>
      </c>
      <c r="B352" s="93" t="s">
        <v>74</v>
      </c>
      <c r="C352" s="94">
        <v>594000</v>
      </c>
      <c r="D352" s="63"/>
      <c r="E352" s="63">
        <v>344000</v>
      </c>
      <c r="F352" s="95">
        <v>594000</v>
      </c>
      <c r="G352" s="95">
        <v>594000</v>
      </c>
      <c r="H352" s="95">
        <v>594000</v>
      </c>
      <c r="I352" s="95"/>
      <c r="J352" s="95"/>
      <c r="K352" s="63"/>
      <c r="L352" s="63"/>
      <c r="M352" s="63">
        <f>H352-I352+J352-K352+L352</f>
        <v>594000</v>
      </c>
      <c r="N352" s="95">
        <f>594000-250000</f>
        <v>344000</v>
      </c>
      <c r="O352" s="95">
        <v>594000</v>
      </c>
      <c r="P352" s="63">
        <v>978500</v>
      </c>
      <c r="Q352" s="63">
        <v>978500</v>
      </c>
      <c r="R352" s="63">
        <v>978500</v>
      </c>
      <c r="S352" s="70">
        <f>P352-M352</f>
        <v>384500</v>
      </c>
      <c r="T352" s="70">
        <f>P352-N352</f>
        <v>634500</v>
      </c>
      <c r="U352" s="70">
        <f>Q352-O352</f>
        <v>384500</v>
      </c>
      <c r="V352" s="506">
        <f t="shared" si="294"/>
        <v>384500</v>
      </c>
      <c r="W352" s="506">
        <f t="shared" si="295"/>
        <v>0</v>
      </c>
      <c r="X352" s="31"/>
      <c r="Y352" s="486"/>
      <c r="Z352" s="31"/>
      <c r="AA352" s="31"/>
      <c r="AB352" s="31"/>
      <c r="AD352" s="421"/>
      <c r="AE352" s="421"/>
    </row>
    <row r="353" spans="1:31" ht="1.5" hidden="1" customHeight="1" x14ac:dyDescent="0.3">
      <c r="A353" s="573" t="s">
        <v>75</v>
      </c>
      <c r="B353" s="538" t="s">
        <v>76</v>
      </c>
      <c r="C353" s="539">
        <f t="shared" ref="C353:U353" si="317">SUM(C354)</f>
        <v>0</v>
      </c>
      <c r="D353" s="65"/>
      <c r="E353" s="65">
        <f t="shared" si="317"/>
        <v>0</v>
      </c>
      <c r="F353" s="365">
        <f t="shared" si="317"/>
        <v>0</v>
      </c>
      <c r="G353" s="365">
        <f t="shared" si="317"/>
        <v>0</v>
      </c>
      <c r="H353" s="365">
        <f t="shared" si="317"/>
        <v>0</v>
      </c>
      <c r="I353" s="365"/>
      <c r="J353" s="365"/>
      <c r="K353" s="365"/>
      <c r="L353" s="365"/>
      <c r="M353" s="365"/>
      <c r="N353" s="365">
        <f t="shared" si="317"/>
        <v>0</v>
      </c>
      <c r="O353" s="365">
        <f t="shared" si="317"/>
        <v>0</v>
      </c>
      <c r="P353" s="365"/>
      <c r="Q353" s="365"/>
      <c r="R353" s="365"/>
      <c r="S353" s="365">
        <f t="shared" si="317"/>
        <v>0</v>
      </c>
      <c r="T353" s="365"/>
      <c r="U353" s="365">
        <f t="shared" si="317"/>
        <v>0</v>
      </c>
      <c r="V353" s="506">
        <f t="shared" si="294"/>
        <v>0</v>
      </c>
      <c r="W353" s="506">
        <f t="shared" si="295"/>
        <v>0</v>
      </c>
      <c r="X353" s="31"/>
      <c r="Y353" s="486"/>
      <c r="Z353" s="31"/>
      <c r="AA353" s="31"/>
      <c r="AB353" s="31"/>
      <c r="AD353" s="421"/>
      <c r="AE353" s="421"/>
    </row>
    <row r="354" spans="1:31" ht="18" hidden="1" customHeight="1" x14ac:dyDescent="0.3">
      <c r="A354" s="700" t="s">
        <v>1</v>
      </c>
      <c r="B354" s="700"/>
      <c r="C354" s="85">
        <f t="shared" ref="C354:H354" si="318">SUM(C355,C358,C360,C362)</f>
        <v>0</v>
      </c>
      <c r="D354" s="66"/>
      <c r="E354" s="66">
        <f t="shared" ref="E354" si="319">SUM(E355,E358,E360,E362)</f>
        <v>0</v>
      </c>
      <c r="F354" s="86">
        <f t="shared" si="318"/>
        <v>0</v>
      </c>
      <c r="G354" s="86">
        <f t="shared" si="318"/>
        <v>0</v>
      </c>
      <c r="H354" s="86">
        <f t="shared" si="318"/>
        <v>0</v>
      </c>
      <c r="I354" s="86"/>
      <c r="J354" s="86"/>
      <c r="K354" s="86"/>
      <c r="L354" s="86"/>
      <c r="M354" s="86"/>
      <c r="N354" s="86">
        <f t="shared" ref="N354:O354" si="320">SUM(N355,N358,N360,N362)</f>
        <v>0</v>
      </c>
      <c r="O354" s="86">
        <f t="shared" si="320"/>
        <v>0</v>
      </c>
      <c r="P354" s="86"/>
      <c r="Q354" s="86"/>
      <c r="R354" s="86"/>
      <c r="S354" s="86">
        <f t="shared" ref="S354" si="321">SUM(S355,S358,S360,S362)</f>
        <v>0</v>
      </c>
      <c r="T354" s="86"/>
      <c r="U354" s="86">
        <f t="shared" ref="U354" si="322">SUM(U355,U358,U360,U362)</f>
        <v>0</v>
      </c>
      <c r="V354" s="506">
        <f t="shared" si="294"/>
        <v>0</v>
      </c>
      <c r="W354" s="506">
        <f t="shared" si="295"/>
        <v>0</v>
      </c>
      <c r="X354" s="31"/>
      <c r="Y354" s="486"/>
      <c r="Z354" s="31"/>
      <c r="AA354" s="31"/>
      <c r="AB354" s="31"/>
      <c r="AD354" s="421"/>
      <c r="AE354" s="421"/>
    </row>
    <row r="355" spans="1:31" ht="13.05" hidden="1" x14ac:dyDescent="0.3">
      <c r="A355" s="88">
        <v>321</v>
      </c>
      <c r="B355" s="89" t="s">
        <v>12</v>
      </c>
      <c r="C355" s="90">
        <f t="shared" ref="C355:H355" si="323">SUM(C356:C357)</f>
        <v>0</v>
      </c>
      <c r="D355" s="62"/>
      <c r="E355" s="62">
        <f t="shared" ref="E355" si="324">SUM(E356:E357)</f>
        <v>0</v>
      </c>
      <c r="F355" s="91">
        <f t="shared" si="323"/>
        <v>0</v>
      </c>
      <c r="G355" s="91">
        <f t="shared" si="323"/>
        <v>0</v>
      </c>
      <c r="H355" s="91">
        <f t="shared" si="323"/>
        <v>0</v>
      </c>
      <c r="I355" s="91"/>
      <c r="J355" s="91"/>
      <c r="K355" s="91"/>
      <c r="L355" s="91"/>
      <c r="M355" s="91"/>
      <c r="N355" s="91">
        <f t="shared" ref="N355:O355" si="325">SUM(N356:N357)</f>
        <v>0</v>
      </c>
      <c r="O355" s="91">
        <f t="shared" si="325"/>
        <v>0</v>
      </c>
      <c r="P355" s="91"/>
      <c r="Q355" s="91"/>
      <c r="R355" s="91"/>
      <c r="S355" s="91">
        <f t="shared" ref="S355" si="326">SUM(S356:S357)</f>
        <v>0</v>
      </c>
      <c r="T355" s="91"/>
      <c r="U355" s="91">
        <f t="shared" ref="U355" si="327">SUM(U356:U357)</f>
        <v>0</v>
      </c>
      <c r="V355" s="506">
        <f t="shared" si="294"/>
        <v>0</v>
      </c>
      <c r="W355" s="506">
        <f t="shared" si="295"/>
        <v>0</v>
      </c>
      <c r="X355" s="31"/>
      <c r="Y355" s="486"/>
      <c r="Z355" s="31"/>
      <c r="AA355" s="31"/>
      <c r="AB355" s="31"/>
      <c r="AD355" s="421"/>
      <c r="AE355" s="421"/>
    </row>
    <row r="356" spans="1:31" ht="13.05" hidden="1" x14ac:dyDescent="0.3">
      <c r="A356" s="92">
        <v>3211</v>
      </c>
      <c r="B356" s="93" t="s">
        <v>13</v>
      </c>
      <c r="C356" s="94"/>
      <c r="D356" s="63"/>
      <c r="E356" s="63"/>
      <c r="F356" s="95"/>
      <c r="G356" s="95"/>
      <c r="H356" s="95"/>
      <c r="I356" s="95"/>
      <c r="J356" s="95"/>
      <c r="K356" s="95"/>
      <c r="L356" s="95"/>
      <c r="M356" s="95"/>
      <c r="N356" s="95"/>
      <c r="O356" s="95"/>
      <c r="P356" s="95"/>
      <c r="Q356" s="95"/>
      <c r="R356" s="95"/>
      <c r="S356" s="95"/>
      <c r="T356" s="95"/>
      <c r="U356" s="95"/>
      <c r="V356" s="506">
        <f t="shared" si="294"/>
        <v>0</v>
      </c>
      <c r="W356" s="506">
        <f t="shared" si="295"/>
        <v>0</v>
      </c>
      <c r="X356" s="31"/>
      <c r="Y356" s="486"/>
      <c r="Z356" s="31"/>
      <c r="AA356" s="31"/>
      <c r="AB356" s="31"/>
      <c r="AD356" s="421"/>
      <c r="AE356" s="421"/>
    </row>
    <row r="357" spans="1:31" ht="13.05" hidden="1" x14ac:dyDescent="0.3">
      <c r="A357" s="92">
        <v>3212</v>
      </c>
      <c r="B357" s="535" t="s">
        <v>14</v>
      </c>
      <c r="C357" s="94"/>
      <c r="D357" s="63"/>
      <c r="E357" s="63"/>
      <c r="F357" s="95"/>
      <c r="G357" s="95"/>
      <c r="H357" s="95"/>
      <c r="I357" s="95"/>
      <c r="J357" s="95"/>
      <c r="K357" s="95"/>
      <c r="L357" s="95"/>
      <c r="M357" s="95"/>
      <c r="N357" s="95"/>
      <c r="O357" s="95"/>
      <c r="P357" s="95"/>
      <c r="Q357" s="95"/>
      <c r="R357" s="95"/>
      <c r="S357" s="95"/>
      <c r="T357" s="95"/>
      <c r="U357" s="95"/>
      <c r="V357" s="506">
        <f t="shared" si="294"/>
        <v>0</v>
      </c>
      <c r="W357" s="506">
        <f t="shared" si="295"/>
        <v>0</v>
      </c>
      <c r="X357" s="31"/>
      <c r="Y357" s="486"/>
      <c r="Z357" s="31"/>
      <c r="AA357" s="31"/>
      <c r="AB357" s="31"/>
      <c r="AD357" s="421"/>
      <c r="AE357" s="421"/>
    </row>
    <row r="358" spans="1:31" ht="13.05" hidden="1" x14ac:dyDescent="0.3">
      <c r="A358" s="88">
        <v>322</v>
      </c>
      <c r="B358" s="89" t="s">
        <v>16</v>
      </c>
      <c r="C358" s="90">
        <f t="shared" ref="C358:U358" si="328">SUM(C359)</f>
        <v>0</v>
      </c>
      <c r="D358" s="62"/>
      <c r="E358" s="62">
        <f t="shared" si="328"/>
        <v>0</v>
      </c>
      <c r="F358" s="91">
        <f t="shared" si="328"/>
        <v>0</v>
      </c>
      <c r="G358" s="91">
        <f t="shared" si="328"/>
        <v>0</v>
      </c>
      <c r="H358" s="91">
        <f t="shared" si="328"/>
        <v>0</v>
      </c>
      <c r="I358" s="91"/>
      <c r="J358" s="91"/>
      <c r="K358" s="91"/>
      <c r="L358" s="91"/>
      <c r="M358" s="91"/>
      <c r="N358" s="91">
        <f t="shared" si="328"/>
        <v>0</v>
      </c>
      <c r="O358" s="91">
        <f t="shared" si="328"/>
        <v>0</v>
      </c>
      <c r="P358" s="91"/>
      <c r="Q358" s="91"/>
      <c r="R358" s="91"/>
      <c r="S358" s="91">
        <f t="shared" si="328"/>
        <v>0</v>
      </c>
      <c r="T358" s="91"/>
      <c r="U358" s="91">
        <f t="shared" si="328"/>
        <v>0</v>
      </c>
      <c r="V358" s="506">
        <f t="shared" si="294"/>
        <v>0</v>
      </c>
      <c r="W358" s="506">
        <f t="shared" si="295"/>
        <v>0</v>
      </c>
      <c r="X358" s="31"/>
      <c r="Y358" s="486"/>
      <c r="Z358" s="31"/>
      <c r="AA358" s="31"/>
      <c r="AB358" s="31"/>
      <c r="AD358" s="421"/>
      <c r="AE358" s="421"/>
    </row>
    <row r="359" spans="1:31" ht="13.05" hidden="1" x14ac:dyDescent="0.3">
      <c r="A359" s="92">
        <v>3221</v>
      </c>
      <c r="B359" s="93" t="s">
        <v>17</v>
      </c>
      <c r="C359" s="94"/>
      <c r="D359" s="63"/>
      <c r="E359" s="63"/>
      <c r="F359" s="95"/>
      <c r="G359" s="95"/>
      <c r="H359" s="95"/>
      <c r="I359" s="95"/>
      <c r="J359" s="95"/>
      <c r="K359" s="95"/>
      <c r="L359" s="95"/>
      <c r="M359" s="95"/>
      <c r="N359" s="95"/>
      <c r="O359" s="95"/>
      <c r="P359" s="95"/>
      <c r="Q359" s="95"/>
      <c r="R359" s="95"/>
      <c r="S359" s="95"/>
      <c r="T359" s="95"/>
      <c r="U359" s="95"/>
      <c r="V359" s="506">
        <f t="shared" si="294"/>
        <v>0</v>
      </c>
      <c r="W359" s="506">
        <f t="shared" si="295"/>
        <v>0</v>
      </c>
      <c r="X359" s="31"/>
      <c r="Y359" s="486"/>
      <c r="Z359" s="31"/>
      <c r="AA359" s="31"/>
      <c r="AB359" s="31"/>
      <c r="AD359" s="421"/>
      <c r="AE359" s="421"/>
    </row>
    <row r="360" spans="1:31" ht="13.05" hidden="1" x14ac:dyDescent="0.3">
      <c r="A360" s="88">
        <v>323</v>
      </c>
      <c r="B360" s="89" t="s">
        <v>23</v>
      </c>
      <c r="C360" s="90">
        <f t="shared" ref="C360:U360" si="329">SUM(C361)</f>
        <v>0</v>
      </c>
      <c r="D360" s="62"/>
      <c r="E360" s="62">
        <f t="shared" si="329"/>
        <v>0</v>
      </c>
      <c r="F360" s="91">
        <f t="shared" si="329"/>
        <v>0</v>
      </c>
      <c r="G360" s="91">
        <f t="shared" si="329"/>
        <v>0</v>
      </c>
      <c r="H360" s="91">
        <f t="shared" si="329"/>
        <v>0</v>
      </c>
      <c r="I360" s="91"/>
      <c r="J360" s="91"/>
      <c r="K360" s="91"/>
      <c r="L360" s="91"/>
      <c r="M360" s="91"/>
      <c r="N360" s="91">
        <f t="shared" si="329"/>
        <v>0</v>
      </c>
      <c r="O360" s="91">
        <f t="shared" si="329"/>
        <v>0</v>
      </c>
      <c r="P360" s="91"/>
      <c r="Q360" s="91"/>
      <c r="R360" s="91"/>
      <c r="S360" s="91">
        <f t="shared" si="329"/>
        <v>0</v>
      </c>
      <c r="T360" s="91"/>
      <c r="U360" s="91">
        <f t="shared" si="329"/>
        <v>0</v>
      </c>
      <c r="V360" s="506">
        <f t="shared" si="294"/>
        <v>0</v>
      </c>
      <c r="W360" s="506">
        <f t="shared" si="295"/>
        <v>0</v>
      </c>
      <c r="X360" s="31"/>
      <c r="Y360" s="486"/>
      <c r="Z360" s="31"/>
      <c r="AA360" s="31"/>
      <c r="AB360" s="31"/>
      <c r="AD360" s="421"/>
      <c r="AE360" s="421"/>
    </row>
    <row r="361" spans="1:31" ht="13.05" hidden="1" x14ac:dyDescent="0.3">
      <c r="A361" s="92">
        <v>3236</v>
      </c>
      <c r="B361" s="93" t="s">
        <v>29</v>
      </c>
      <c r="C361" s="94"/>
      <c r="D361" s="63"/>
      <c r="E361" s="63"/>
      <c r="F361" s="95"/>
      <c r="G361" s="95"/>
      <c r="H361" s="95"/>
      <c r="I361" s="95"/>
      <c r="J361" s="95"/>
      <c r="K361" s="95"/>
      <c r="L361" s="95"/>
      <c r="M361" s="95"/>
      <c r="N361" s="95"/>
      <c r="O361" s="95"/>
      <c r="P361" s="95"/>
      <c r="Q361" s="95"/>
      <c r="R361" s="95"/>
      <c r="S361" s="95"/>
      <c r="T361" s="95"/>
      <c r="U361" s="95"/>
      <c r="V361" s="506">
        <f t="shared" si="294"/>
        <v>0</v>
      </c>
      <c r="W361" s="506">
        <f t="shared" si="295"/>
        <v>0</v>
      </c>
      <c r="X361" s="31"/>
      <c r="Y361" s="486"/>
      <c r="Z361" s="31"/>
      <c r="AA361" s="31"/>
      <c r="AB361" s="31"/>
      <c r="AD361" s="421"/>
      <c r="AE361" s="421"/>
    </row>
    <row r="362" spans="1:31" ht="13.05" hidden="1" x14ac:dyDescent="0.3">
      <c r="A362" s="541">
        <v>329</v>
      </c>
      <c r="B362" s="89" t="s">
        <v>33</v>
      </c>
      <c r="C362" s="90">
        <f t="shared" ref="C362:H362" si="330">SUM(C363:C365)</f>
        <v>0</v>
      </c>
      <c r="D362" s="62"/>
      <c r="E362" s="62">
        <f t="shared" ref="E362" si="331">SUM(E363:E365)</f>
        <v>0</v>
      </c>
      <c r="F362" s="91">
        <f t="shared" si="330"/>
        <v>0</v>
      </c>
      <c r="G362" s="91">
        <f t="shared" si="330"/>
        <v>0</v>
      </c>
      <c r="H362" s="91">
        <f t="shared" si="330"/>
        <v>0</v>
      </c>
      <c r="I362" s="91"/>
      <c r="J362" s="91"/>
      <c r="K362" s="91"/>
      <c r="L362" s="91"/>
      <c r="M362" s="91"/>
      <c r="N362" s="91">
        <f t="shared" ref="N362:O362" si="332">SUM(N363:N365)</f>
        <v>0</v>
      </c>
      <c r="O362" s="91">
        <f t="shared" si="332"/>
        <v>0</v>
      </c>
      <c r="P362" s="91"/>
      <c r="Q362" s="91"/>
      <c r="R362" s="91"/>
      <c r="S362" s="91">
        <f t="shared" ref="S362" si="333">SUM(S363:S365)</f>
        <v>0</v>
      </c>
      <c r="T362" s="91"/>
      <c r="U362" s="91">
        <f t="shared" ref="U362" si="334">SUM(U363:U365)</f>
        <v>0</v>
      </c>
      <c r="V362" s="506">
        <f t="shared" si="294"/>
        <v>0</v>
      </c>
      <c r="W362" s="506">
        <f t="shared" si="295"/>
        <v>0</v>
      </c>
      <c r="X362" s="31"/>
      <c r="Y362" s="486"/>
      <c r="Z362" s="31"/>
      <c r="AA362" s="31"/>
      <c r="AB362" s="31"/>
      <c r="AD362" s="421"/>
      <c r="AE362" s="421"/>
    </row>
    <row r="363" spans="1:31" ht="13.05" hidden="1" x14ac:dyDescent="0.3">
      <c r="A363" s="542">
        <v>3292</v>
      </c>
      <c r="B363" s="535" t="s">
        <v>35</v>
      </c>
      <c r="C363" s="94"/>
      <c r="D363" s="63"/>
      <c r="E363" s="63"/>
      <c r="F363" s="95"/>
      <c r="G363" s="95"/>
      <c r="H363" s="95"/>
      <c r="I363" s="95"/>
      <c r="J363" s="95"/>
      <c r="K363" s="95"/>
      <c r="L363" s="95"/>
      <c r="M363" s="95"/>
      <c r="N363" s="95"/>
      <c r="O363" s="95"/>
      <c r="P363" s="95"/>
      <c r="Q363" s="95"/>
      <c r="R363" s="95"/>
      <c r="S363" s="95"/>
      <c r="T363" s="95"/>
      <c r="U363" s="95"/>
      <c r="V363" s="506">
        <f t="shared" si="294"/>
        <v>0</v>
      </c>
      <c r="W363" s="506">
        <f t="shared" si="295"/>
        <v>0</v>
      </c>
      <c r="X363" s="31"/>
      <c r="Y363" s="486"/>
      <c r="Z363" s="31"/>
      <c r="AA363" s="31"/>
      <c r="AB363" s="31"/>
      <c r="AD363" s="421"/>
      <c r="AE363" s="421"/>
    </row>
    <row r="364" spans="1:31" ht="13.05" hidden="1" x14ac:dyDescent="0.3">
      <c r="A364" s="92">
        <v>3293</v>
      </c>
      <c r="B364" s="93" t="s">
        <v>36</v>
      </c>
      <c r="C364" s="94"/>
      <c r="D364" s="63"/>
      <c r="E364" s="63"/>
      <c r="F364" s="95"/>
      <c r="G364" s="95"/>
      <c r="H364" s="95"/>
      <c r="I364" s="95"/>
      <c r="J364" s="95"/>
      <c r="K364" s="95"/>
      <c r="L364" s="95"/>
      <c r="M364" s="95"/>
      <c r="N364" s="95"/>
      <c r="O364" s="95"/>
      <c r="P364" s="95"/>
      <c r="Q364" s="95"/>
      <c r="R364" s="95"/>
      <c r="S364" s="95"/>
      <c r="T364" s="95"/>
      <c r="U364" s="95"/>
      <c r="V364" s="506">
        <f t="shared" si="294"/>
        <v>0</v>
      </c>
      <c r="W364" s="506">
        <f t="shared" si="295"/>
        <v>0</v>
      </c>
      <c r="X364" s="31"/>
      <c r="Y364" s="486"/>
      <c r="Z364" s="31"/>
      <c r="AA364" s="31"/>
      <c r="AB364" s="31"/>
      <c r="AD364" s="421"/>
      <c r="AE364" s="421"/>
    </row>
    <row r="365" spans="1:31" ht="13.05" hidden="1" x14ac:dyDescent="0.3">
      <c r="A365" s="542">
        <v>3299</v>
      </c>
      <c r="B365" s="535" t="s">
        <v>33</v>
      </c>
      <c r="C365" s="94"/>
      <c r="D365" s="63"/>
      <c r="E365" s="63"/>
      <c r="F365" s="95"/>
      <c r="G365" s="95"/>
      <c r="H365" s="95"/>
      <c r="I365" s="95"/>
      <c r="J365" s="95"/>
      <c r="K365" s="95"/>
      <c r="L365" s="95"/>
      <c r="M365" s="95"/>
      <c r="N365" s="95"/>
      <c r="O365" s="95"/>
      <c r="P365" s="95"/>
      <c r="Q365" s="95"/>
      <c r="R365" s="95"/>
      <c r="S365" s="95"/>
      <c r="T365" s="95"/>
      <c r="U365" s="95"/>
      <c r="V365" s="506">
        <f t="shared" si="294"/>
        <v>0</v>
      </c>
      <c r="W365" s="506">
        <f t="shared" si="295"/>
        <v>0</v>
      </c>
      <c r="X365" s="31"/>
      <c r="Y365" s="486"/>
      <c r="Z365" s="31"/>
      <c r="AA365" s="31"/>
      <c r="AB365" s="31"/>
      <c r="AD365" s="421"/>
      <c r="AE365" s="421"/>
    </row>
    <row r="366" spans="1:31" ht="25.05" customHeight="1" x14ac:dyDescent="0.3">
      <c r="A366" s="573" t="s">
        <v>191</v>
      </c>
      <c r="B366" s="538" t="s">
        <v>273</v>
      </c>
      <c r="C366" s="539">
        <f t="shared" ref="C366:U366" si="335">SUM(C367)</f>
        <v>65000</v>
      </c>
      <c r="D366" s="65"/>
      <c r="E366" s="65">
        <f t="shared" si="335"/>
        <v>25000</v>
      </c>
      <c r="F366" s="365">
        <f t="shared" si="335"/>
        <v>0</v>
      </c>
      <c r="G366" s="365">
        <f t="shared" si="335"/>
        <v>0</v>
      </c>
      <c r="H366" s="552">
        <f t="shared" si="335"/>
        <v>28000</v>
      </c>
      <c r="I366" s="552">
        <f t="shared" si="335"/>
        <v>0</v>
      </c>
      <c r="J366" s="552">
        <f t="shared" si="335"/>
        <v>2000</v>
      </c>
      <c r="K366" s="552">
        <f t="shared" si="335"/>
        <v>0</v>
      </c>
      <c r="L366" s="552">
        <f t="shared" si="335"/>
        <v>0</v>
      </c>
      <c r="M366" s="552">
        <f t="shared" si="335"/>
        <v>30000</v>
      </c>
      <c r="N366" s="552">
        <f t="shared" si="335"/>
        <v>29000</v>
      </c>
      <c r="O366" s="365">
        <f t="shared" si="335"/>
        <v>0</v>
      </c>
      <c r="P366" s="365">
        <f t="shared" si="335"/>
        <v>30500</v>
      </c>
      <c r="Q366" s="365">
        <f t="shared" si="335"/>
        <v>1500</v>
      </c>
      <c r="R366" s="365">
        <f t="shared" si="335"/>
        <v>1000</v>
      </c>
      <c r="S366" s="365">
        <f t="shared" si="335"/>
        <v>500</v>
      </c>
      <c r="T366" s="365">
        <f t="shared" si="335"/>
        <v>1500</v>
      </c>
      <c r="U366" s="365">
        <f t="shared" si="335"/>
        <v>1500</v>
      </c>
      <c r="V366" s="506">
        <f t="shared" si="294"/>
        <v>500</v>
      </c>
      <c r="W366" s="506">
        <f t="shared" si="295"/>
        <v>0</v>
      </c>
      <c r="X366" s="78"/>
      <c r="Y366" s="493"/>
      <c r="Z366" s="31"/>
      <c r="AA366" s="31"/>
      <c r="AB366" s="31"/>
      <c r="AD366" s="422"/>
      <c r="AE366" s="421"/>
    </row>
    <row r="367" spans="1:31" ht="18" customHeight="1" x14ac:dyDescent="0.3">
      <c r="A367" s="700" t="s">
        <v>77</v>
      </c>
      <c r="B367" s="700"/>
      <c r="C367" s="85">
        <f>SUM(C368,C371)</f>
        <v>65000</v>
      </c>
      <c r="D367" s="66"/>
      <c r="E367" s="66">
        <f t="shared" ref="E367:U367" si="336">SUM(E368,E371)</f>
        <v>25000</v>
      </c>
      <c r="F367" s="86">
        <f t="shared" si="336"/>
        <v>0</v>
      </c>
      <c r="G367" s="86">
        <f t="shared" si="336"/>
        <v>0</v>
      </c>
      <c r="H367" s="86">
        <f t="shared" si="336"/>
        <v>28000</v>
      </c>
      <c r="I367" s="86">
        <f t="shared" si="336"/>
        <v>0</v>
      </c>
      <c r="J367" s="86">
        <f t="shared" si="336"/>
        <v>2000</v>
      </c>
      <c r="K367" s="86">
        <f t="shared" si="336"/>
        <v>0</v>
      </c>
      <c r="L367" s="86">
        <f t="shared" si="336"/>
        <v>0</v>
      </c>
      <c r="M367" s="86">
        <f t="shared" si="336"/>
        <v>30000</v>
      </c>
      <c r="N367" s="86">
        <f t="shared" si="336"/>
        <v>29000</v>
      </c>
      <c r="O367" s="86">
        <f t="shared" si="336"/>
        <v>0</v>
      </c>
      <c r="P367" s="86">
        <f t="shared" si="336"/>
        <v>30500</v>
      </c>
      <c r="Q367" s="86">
        <f t="shared" si="336"/>
        <v>1500</v>
      </c>
      <c r="R367" s="86">
        <f t="shared" si="336"/>
        <v>1000</v>
      </c>
      <c r="S367" s="583">
        <f t="shared" si="336"/>
        <v>500</v>
      </c>
      <c r="T367" s="583">
        <f t="shared" si="336"/>
        <v>1500</v>
      </c>
      <c r="U367" s="583">
        <f t="shared" si="336"/>
        <v>1500</v>
      </c>
      <c r="V367" s="506">
        <f t="shared" si="294"/>
        <v>500</v>
      </c>
      <c r="W367" s="506">
        <f t="shared" si="295"/>
        <v>0</v>
      </c>
      <c r="X367" s="78"/>
      <c r="Y367" s="493"/>
      <c r="Z367" s="31"/>
      <c r="AA367" s="31"/>
      <c r="AB367" s="31"/>
      <c r="AD367" s="423"/>
      <c r="AE367" s="421"/>
    </row>
    <row r="368" spans="1:31" x14ac:dyDescent="0.3">
      <c r="A368" s="540" t="s">
        <v>315</v>
      </c>
      <c r="B368" s="145" t="s">
        <v>316</v>
      </c>
      <c r="C368" s="146">
        <f>SUM(C369)</f>
        <v>23000</v>
      </c>
      <c r="D368" s="142"/>
      <c r="E368" s="142">
        <f t="shared" ref="E368:U368" si="337">SUM(E369)</f>
        <v>6000</v>
      </c>
      <c r="F368" s="147">
        <f t="shared" si="337"/>
        <v>0</v>
      </c>
      <c r="G368" s="147">
        <f t="shared" si="337"/>
        <v>0</v>
      </c>
      <c r="H368" s="147">
        <f t="shared" si="337"/>
        <v>5000</v>
      </c>
      <c r="I368" s="147">
        <f t="shared" si="337"/>
        <v>0</v>
      </c>
      <c r="J368" s="147">
        <f t="shared" si="337"/>
        <v>0</v>
      </c>
      <c r="K368" s="147">
        <f t="shared" si="337"/>
        <v>0</v>
      </c>
      <c r="L368" s="147">
        <f t="shared" si="337"/>
        <v>0</v>
      </c>
      <c r="M368" s="147">
        <f t="shared" si="337"/>
        <v>5000</v>
      </c>
      <c r="N368" s="147">
        <f t="shared" si="337"/>
        <v>5000</v>
      </c>
      <c r="O368" s="147">
        <f t="shared" si="337"/>
        <v>0</v>
      </c>
      <c r="P368" s="147">
        <f t="shared" si="337"/>
        <v>5000</v>
      </c>
      <c r="Q368" s="147">
        <f t="shared" si="337"/>
        <v>0</v>
      </c>
      <c r="R368" s="147">
        <f t="shared" si="337"/>
        <v>0</v>
      </c>
      <c r="S368" s="87">
        <f t="shared" si="337"/>
        <v>0</v>
      </c>
      <c r="T368" s="87">
        <f t="shared" si="337"/>
        <v>0</v>
      </c>
      <c r="U368" s="87">
        <f t="shared" si="337"/>
        <v>0</v>
      </c>
      <c r="V368" s="506">
        <f t="shared" si="294"/>
        <v>0</v>
      </c>
      <c r="W368" s="506">
        <f t="shared" si="295"/>
        <v>0</v>
      </c>
      <c r="X368" s="78"/>
      <c r="Y368" s="493"/>
      <c r="Z368" s="31"/>
      <c r="AA368" s="31"/>
      <c r="AB368" s="31"/>
      <c r="AD368" s="420"/>
      <c r="AE368" s="420"/>
    </row>
    <row r="369" spans="1:30" x14ac:dyDescent="0.3">
      <c r="A369" s="541">
        <v>311</v>
      </c>
      <c r="B369" s="89" t="s">
        <v>4</v>
      </c>
      <c r="C369" s="90">
        <f t="shared" ref="C369:U369" si="338">SUM(C370)</f>
        <v>23000</v>
      </c>
      <c r="D369" s="62"/>
      <c r="E369" s="62">
        <f t="shared" si="338"/>
        <v>6000</v>
      </c>
      <c r="F369" s="91">
        <f t="shared" si="338"/>
        <v>0</v>
      </c>
      <c r="G369" s="91">
        <f t="shared" si="338"/>
        <v>0</v>
      </c>
      <c r="H369" s="91">
        <f t="shared" si="338"/>
        <v>5000</v>
      </c>
      <c r="I369" s="91">
        <f t="shared" si="338"/>
        <v>0</v>
      </c>
      <c r="J369" s="91">
        <f t="shared" si="338"/>
        <v>0</v>
      </c>
      <c r="K369" s="91">
        <f t="shared" si="338"/>
        <v>0</v>
      </c>
      <c r="L369" s="91">
        <f t="shared" si="338"/>
        <v>0</v>
      </c>
      <c r="M369" s="91">
        <f t="shared" si="338"/>
        <v>5000</v>
      </c>
      <c r="N369" s="91">
        <f t="shared" si="338"/>
        <v>5000</v>
      </c>
      <c r="O369" s="91">
        <f t="shared" si="338"/>
        <v>0</v>
      </c>
      <c r="P369" s="91">
        <f t="shared" si="338"/>
        <v>5000</v>
      </c>
      <c r="Q369" s="91">
        <f t="shared" si="338"/>
        <v>0</v>
      </c>
      <c r="R369" s="91">
        <f t="shared" si="338"/>
        <v>0</v>
      </c>
      <c r="S369" s="91">
        <f t="shared" si="338"/>
        <v>0</v>
      </c>
      <c r="T369" s="91">
        <f t="shared" si="338"/>
        <v>0</v>
      </c>
      <c r="U369" s="91">
        <f t="shared" si="338"/>
        <v>0</v>
      </c>
      <c r="V369" s="506">
        <f t="shared" si="294"/>
        <v>0</v>
      </c>
      <c r="W369" s="506">
        <f t="shared" si="295"/>
        <v>0</v>
      </c>
      <c r="X369" s="78"/>
      <c r="Y369" s="493"/>
      <c r="Z369" s="31"/>
      <c r="AA369" s="31"/>
      <c r="AB369" s="31"/>
    </row>
    <row r="370" spans="1:30" x14ac:dyDescent="0.3">
      <c r="A370" s="542">
        <v>3111</v>
      </c>
      <c r="B370" s="535" t="s">
        <v>5</v>
      </c>
      <c r="C370" s="94">
        <v>23000</v>
      </c>
      <c r="D370" s="63"/>
      <c r="E370" s="63">
        <v>6000</v>
      </c>
      <c r="F370" s="95"/>
      <c r="G370" s="95"/>
      <c r="H370" s="95">
        <v>5000</v>
      </c>
      <c r="I370" s="95"/>
      <c r="J370" s="95"/>
      <c r="K370" s="63"/>
      <c r="L370" s="63"/>
      <c r="M370" s="63">
        <f>H370-I370+J370-K370+L370</f>
        <v>5000</v>
      </c>
      <c r="N370" s="95">
        <v>5000</v>
      </c>
      <c r="O370" s="95"/>
      <c r="P370" s="63">
        <v>5000</v>
      </c>
      <c r="Q370" s="63"/>
      <c r="R370" s="63"/>
      <c r="S370" s="70">
        <f>P370-M370</f>
        <v>0</v>
      </c>
      <c r="T370" s="70">
        <f>P370-N370</f>
        <v>0</v>
      </c>
      <c r="U370" s="70">
        <f>Q370-O370</f>
        <v>0</v>
      </c>
      <c r="V370" s="506">
        <f t="shared" si="294"/>
        <v>0</v>
      </c>
      <c r="W370" s="506">
        <f t="shared" si="295"/>
        <v>0</v>
      </c>
      <c r="X370" s="78"/>
      <c r="Y370" s="493"/>
      <c r="Z370" s="31"/>
      <c r="AA370" s="31"/>
      <c r="AB370" s="31"/>
    </row>
    <row r="371" spans="1:30" ht="15" customHeight="1" x14ac:dyDescent="0.3">
      <c r="A371" s="540" t="s">
        <v>317</v>
      </c>
      <c r="B371" s="145" t="s">
        <v>318</v>
      </c>
      <c r="C371" s="146">
        <f t="shared" ref="C371:G371" si="339">SUM(C372,C374,C378,C385,C387)</f>
        <v>42000</v>
      </c>
      <c r="D371" s="142">
        <f t="shared" si="339"/>
        <v>0</v>
      </c>
      <c r="E371" s="142">
        <f t="shared" si="339"/>
        <v>19000</v>
      </c>
      <c r="F371" s="147">
        <f t="shared" si="339"/>
        <v>0</v>
      </c>
      <c r="G371" s="147">
        <f t="shared" si="339"/>
        <v>0</v>
      </c>
      <c r="H371" s="147">
        <f>SUM(H372,H374,H378,H385,H387)</f>
        <v>23000</v>
      </c>
      <c r="I371" s="147">
        <f t="shared" ref="I371:L371" si="340">SUM(I372,I374,I378,I385,I387)</f>
        <v>0</v>
      </c>
      <c r="J371" s="147">
        <f t="shared" si="340"/>
        <v>2000</v>
      </c>
      <c r="K371" s="147">
        <f t="shared" si="340"/>
        <v>0</v>
      </c>
      <c r="L371" s="147">
        <f t="shared" si="340"/>
        <v>0</v>
      </c>
      <c r="M371" s="147">
        <f>SUM(M372,M374,M378,M385,M387)</f>
        <v>25000</v>
      </c>
      <c r="N371" s="147">
        <f t="shared" ref="N371:U371" si="341">SUM(N372,N374,N378,N385,N387)</f>
        <v>24000</v>
      </c>
      <c r="O371" s="147">
        <f t="shared" si="341"/>
        <v>0</v>
      </c>
      <c r="P371" s="147">
        <f t="shared" si="341"/>
        <v>25500</v>
      </c>
      <c r="Q371" s="147">
        <f t="shared" si="341"/>
        <v>1500</v>
      </c>
      <c r="R371" s="147">
        <f t="shared" si="341"/>
        <v>1000</v>
      </c>
      <c r="S371" s="87">
        <f t="shared" si="341"/>
        <v>500</v>
      </c>
      <c r="T371" s="87">
        <f t="shared" si="341"/>
        <v>1500</v>
      </c>
      <c r="U371" s="87">
        <f t="shared" si="341"/>
        <v>1500</v>
      </c>
      <c r="V371" s="506">
        <f t="shared" si="294"/>
        <v>500</v>
      </c>
      <c r="W371" s="506">
        <f t="shared" si="295"/>
        <v>0</v>
      </c>
      <c r="X371" s="78"/>
      <c r="Y371" s="493"/>
      <c r="Z371" s="31"/>
      <c r="AA371" s="31"/>
      <c r="AB371" s="31"/>
      <c r="AD371" s="699"/>
    </row>
    <row r="372" spans="1:30" x14ac:dyDescent="0.3">
      <c r="A372" s="541">
        <v>321</v>
      </c>
      <c r="B372" s="89" t="s">
        <v>12</v>
      </c>
      <c r="C372" s="90">
        <f t="shared" ref="C372:U372" si="342">SUM(C373)</f>
        <v>16000</v>
      </c>
      <c r="D372" s="62"/>
      <c r="E372" s="62">
        <f t="shared" si="342"/>
        <v>2000</v>
      </c>
      <c r="F372" s="91">
        <f t="shared" si="342"/>
        <v>0</v>
      </c>
      <c r="G372" s="91">
        <f t="shared" si="342"/>
        <v>0</v>
      </c>
      <c r="H372" s="91">
        <f t="shared" si="342"/>
        <v>3000</v>
      </c>
      <c r="I372" s="91">
        <f t="shared" si="342"/>
        <v>0</v>
      </c>
      <c r="J372" s="91">
        <f t="shared" si="342"/>
        <v>0</v>
      </c>
      <c r="K372" s="91">
        <f t="shared" si="342"/>
        <v>0</v>
      </c>
      <c r="L372" s="91">
        <f t="shared" si="342"/>
        <v>0</v>
      </c>
      <c r="M372" s="91">
        <f t="shared" si="342"/>
        <v>3000</v>
      </c>
      <c r="N372" s="91">
        <f t="shared" si="342"/>
        <v>2000</v>
      </c>
      <c r="O372" s="91">
        <f t="shared" si="342"/>
        <v>0</v>
      </c>
      <c r="P372" s="91">
        <f t="shared" si="342"/>
        <v>3500</v>
      </c>
      <c r="Q372" s="91">
        <f t="shared" si="342"/>
        <v>1500</v>
      </c>
      <c r="R372" s="91">
        <f t="shared" si="342"/>
        <v>1000</v>
      </c>
      <c r="S372" s="91">
        <f t="shared" si="342"/>
        <v>500</v>
      </c>
      <c r="T372" s="91">
        <f t="shared" si="342"/>
        <v>1500</v>
      </c>
      <c r="U372" s="91">
        <f t="shared" si="342"/>
        <v>1500</v>
      </c>
      <c r="V372" s="506">
        <f t="shared" si="294"/>
        <v>500</v>
      </c>
      <c r="W372" s="506">
        <f t="shared" si="295"/>
        <v>0</v>
      </c>
      <c r="X372" s="78"/>
      <c r="Y372" s="493"/>
      <c r="Z372" s="31"/>
      <c r="AA372" s="31"/>
      <c r="AB372" s="31"/>
      <c r="AD372" s="696"/>
    </row>
    <row r="373" spans="1:30" ht="15.75" customHeight="1" x14ac:dyDescent="0.3">
      <c r="A373" s="542">
        <v>3211</v>
      </c>
      <c r="B373" s="535" t="s">
        <v>13</v>
      </c>
      <c r="C373" s="94">
        <v>16000</v>
      </c>
      <c r="D373" s="63"/>
      <c r="E373" s="63">
        <v>2000</v>
      </c>
      <c r="F373" s="95"/>
      <c r="G373" s="95"/>
      <c r="H373" s="95">
        <v>3000</v>
      </c>
      <c r="I373" s="95"/>
      <c r="J373" s="95"/>
      <c r="K373" s="63"/>
      <c r="L373" s="63"/>
      <c r="M373" s="63">
        <f>H373-I373+J373-K373+L373</f>
        <v>3000</v>
      </c>
      <c r="N373" s="95">
        <v>2000</v>
      </c>
      <c r="O373" s="95"/>
      <c r="P373" s="63">
        <v>3500</v>
      </c>
      <c r="Q373" s="63">
        <v>1500</v>
      </c>
      <c r="R373" s="63">
        <v>1000</v>
      </c>
      <c r="S373" s="70">
        <f>P373-M373</f>
        <v>500</v>
      </c>
      <c r="T373" s="70">
        <f>P373-N373</f>
        <v>1500</v>
      </c>
      <c r="U373" s="70">
        <f>Q373-O373</f>
        <v>1500</v>
      </c>
      <c r="V373" s="506">
        <f t="shared" si="294"/>
        <v>500</v>
      </c>
      <c r="W373" s="506">
        <f t="shared" si="295"/>
        <v>0</v>
      </c>
      <c r="X373" s="78"/>
      <c r="Y373" s="493"/>
      <c r="Z373" s="31"/>
      <c r="AA373" s="31"/>
      <c r="AB373" s="31"/>
    </row>
    <row r="374" spans="1:30" ht="13.5" hidden="1" customHeight="1" x14ac:dyDescent="0.3">
      <c r="A374" s="88">
        <v>322</v>
      </c>
      <c r="B374" s="89" t="s">
        <v>16</v>
      </c>
      <c r="C374" s="90">
        <f t="shared" ref="C374:G374" si="343">SUM(C375:C376)</f>
        <v>0</v>
      </c>
      <c r="D374" s="62"/>
      <c r="E374" s="62">
        <f t="shared" ref="E374" si="344">SUM(E375:E376)</f>
        <v>0</v>
      </c>
      <c r="F374" s="91">
        <f t="shared" si="343"/>
        <v>0</v>
      </c>
      <c r="G374" s="91">
        <f t="shared" si="343"/>
        <v>0</v>
      </c>
      <c r="H374" s="91">
        <f t="shared" ref="H374:I374" si="345">SUM(H375:H376)</f>
        <v>1000</v>
      </c>
      <c r="I374" s="91">
        <f t="shared" si="345"/>
        <v>0</v>
      </c>
      <c r="J374" s="91">
        <f>SUM(J375:J377)</f>
        <v>2000</v>
      </c>
      <c r="K374" s="91">
        <f t="shared" ref="K374:L374" si="346">SUM(K375:K377)</f>
        <v>0</v>
      </c>
      <c r="L374" s="91">
        <f t="shared" si="346"/>
        <v>0</v>
      </c>
      <c r="M374" s="91">
        <f>SUM(M375:M377)</f>
        <v>3000</v>
      </c>
      <c r="N374" s="91">
        <f t="shared" ref="N374:U374" si="347">SUM(N375:N377)</f>
        <v>0</v>
      </c>
      <c r="O374" s="91">
        <f t="shared" si="347"/>
        <v>0</v>
      </c>
      <c r="P374" s="91">
        <f t="shared" si="347"/>
        <v>0</v>
      </c>
      <c r="Q374" s="91">
        <f t="shared" si="347"/>
        <v>0</v>
      </c>
      <c r="R374" s="91">
        <f t="shared" si="347"/>
        <v>0</v>
      </c>
      <c r="S374" s="91">
        <f t="shared" si="347"/>
        <v>-3000</v>
      </c>
      <c r="T374" s="91">
        <f t="shared" si="347"/>
        <v>0</v>
      </c>
      <c r="U374" s="91">
        <f t="shared" si="347"/>
        <v>0</v>
      </c>
      <c r="V374" s="506">
        <f t="shared" si="294"/>
        <v>-3000</v>
      </c>
      <c r="W374" s="506">
        <f t="shared" si="295"/>
        <v>0</v>
      </c>
      <c r="X374" s="78"/>
      <c r="Y374" s="493"/>
      <c r="Z374" s="31"/>
      <c r="AA374" s="31"/>
      <c r="AB374" s="31"/>
    </row>
    <row r="375" spans="1:30" ht="14.25" hidden="1" customHeight="1" x14ac:dyDescent="0.3">
      <c r="A375" s="92">
        <v>3221</v>
      </c>
      <c r="B375" s="535" t="s">
        <v>17</v>
      </c>
      <c r="C375" s="94"/>
      <c r="D375" s="63"/>
      <c r="E375" s="63"/>
      <c r="F375" s="95"/>
      <c r="G375" s="95"/>
      <c r="H375" s="95">
        <v>1000</v>
      </c>
      <c r="I375" s="95"/>
      <c r="J375" s="95"/>
      <c r="K375" s="63"/>
      <c r="L375" s="63"/>
      <c r="M375" s="63">
        <f>H375-I375+J375-K375+L375</f>
        <v>1000</v>
      </c>
      <c r="N375" s="95"/>
      <c r="O375" s="95"/>
      <c r="P375" s="63"/>
      <c r="Q375" s="63"/>
      <c r="R375" s="63"/>
      <c r="S375" s="70">
        <f>P375-M375</f>
        <v>-1000</v>
      </c>
      <c r="T375" s="70">
        <f>P375-N375</f>
        <v>0</v>
      </c>
      <c r="U375" s="70">
        <f>Q375-O375</f>
        <v>0</v>
      </c>
      <c r="V375" s="506">
        <f t="shared" si="294"/>
        <v>-1000</v>
      </c>
      <c r="W375" s="506">
        <f t="shared" si="295"/>
        <v>0</v>
      </c>
      <c r="X375" s="78"/>
      <c r="Y375" s="493"/>
      <c r="Z375" s="31"/>
      <c r="AA375" s="31"/>
      <c r="AB375" s="31"/>
    </row>
    <row r="376" spans="1:30" ht="18" hidden="1" customHeight="1" x14ac:dyDescent="0.3">
      <c r="A376" s="542">
        <v>3224</v>
      </c>
      <c r="B376" s="107" t="s">
        <v>112</v>
      </c>
      <c r="C376" s="94"/>
      <c r="D376" s="63"/>
      <c r="E376" s="63"/>
      <c r="F376" s="95"/>
      <c r="G376" s="95"/>
      <c r="H376" s="95"/>
      <c r="I376" s="95"/>
      <c r="J376" s="95"/>
      <c r="K376" s="63"/>
      <c r="L376" s="63"/>
      <c r="M376" s="63">
        <f t="shared" ref="M376" si="348">H376-I376+J376</f>
        <v>0</v>
      </c>
      <c r="N376" s="95"/>
      <c r="O376" s="95"/>
      <c r="P376" s="95"/>
      <c r="Q376" s="95"/>
      <c r="R376" s="95"/>
      <c r="S376" s="95"/>
      <c r="T376" s="95"/>
      <c r="U376" s="95"/>
      <c r="V376" s="506">
        <f t="shared" si="294"/>
        <v>0</v>
      </c>
      <c r="W376" s="506">
        <f t="shared" si="295"/>
        <v>0</v>
      </c>
      <c r="X376" s="78"/>
      <c r="Y376" s="493"/>
      <c r="Z376" s="31"/>
      <c r="AA376" s="31"/>
      <c r="AB376" s="31"/>
    </row>
    <row r="377" spans="1:30" hidden="1" x14ac:dyDescent="0.3">
      <c r="A377" s="130" t="s">
        <v>155</v>
      </c>
      <c r="B377" s="107" t="s">
        <v>18</v>
      </c>
      <c r="C377" s="560">
        <v>14000</v>
      </c>
      <c r="D377" s="81"/>
      <c r="E377" s="81">
        <v>0</v>
      </c>
      <c r="F377" s="370"/>
      <c r="G377" s="370"/>
      <c r="H377" s="370"/>
      <c r="I377" s="370"/>
      <c r="J377" s="370">
        <v>2000</v>
      </c>
      <c r="K377" s="81"/>
      <c r="L377" s="81"/>
      <c r="M377" s="63">
        <f>H377-I377+J377-K377+L377</f>
        <v>2000</v>
      </c>
      <c r="N377" s="370"/>
      <c r="O377" s="370"/>
      <c r="P377" s="81"/>
      <c r="Q377" s="81"/>
      <c r="R377" s="81"/>
      <c r="S377" s="70">
        <f>P377-M377</f>
        <v>-2000</v>
      </c>
      <c r="T377" s="70">
        <f>P377-N377</f>
        <v>0</v>
      </c>
      <c r="U377" s="63">
        <f>N377-G377</f>
        <v>0</v>
      </c>
      <c r="V377" s="506">
        <f t="shared" si="294"/>
        <v>-2000</v>
      </c>
      <c r="W377" s="506">
        <f t="shared" si="295"/>
        <v>0</v>
      </c>
      <c r="X377" s="31"/>
      <c r="Y377" s="486"/>
      <c r="Z377" s="31"/>
      <c r="AA377" s="31"/>
      <c r="AB377" s="31"/>
    </row>
    <row r="378" spans="1:30" ht="14.55" customHeight="1" x14ac:dyDescent="0.3">
      <c r="A378" s="88">
        <v>323</v>
      </c>
      <c r="B378" s="89" t="s">
        <v>23</v>
      </c>
      <c r="C378" s="90">
        <f>SUM(C379:C384)</f>
        <v>22000</v>
      </c>
      <c r="D378" s="62"/>
      <c r="E378" s="62">
        <f t="shared" ref="E378:U378" si="349">SUM(E379:E384)</f>
        <v>13000</v>
      </c>
      <c r="F378" s="91">
        <f t="shared" si="349"/>
        <v>0</v>
      </c>
      <c r="G378" s="91">
        <f t="shared" si="349"/>
        <v>0</v>
      </c>
      <c r="H378" s="91">
        <f t="shared" si="349"/>
        <v>14000</v>
      </c>
      <c r="I378" s="91">
        <f t="shared" si="349"/>
        <v>0</v>
      </c>
      <c r="J378" s="91">
        <f t="shared" si="349"/>
        <v>0</v>
      </c>
      <c r="K378" s="91">
        <f t="shared" si="349"/>
        <v>0</v>
      </c>
      <c r="L378" s="91">
        <f t="shared" si="349"/>
        <v>0</v>
      </c>
      <c r="M378" s="91">
        <f t="shared" si="349"/>
        <v>14000</v>
      </c>
      <c r="N378" s="91">
        <f t="shared" si="349"/>
        <v>14000</v>
      </c>
      <c r="O378" s="91">
        <f t="shared" si="349"/>
        <v>0</v>
      </c>
      <c r="P378" s="91">
        <f t="shared" si="349"/>
        <v>14000</v>
      </c>
      <c r="Q378" s="91">
        <f t="shared" si="349"/>
        <v>0</v>
      </c>
      <c r="R378" s="91">
        <f t="shared" si="349"/>
        <v>0</v>
      </c>
      <c r="S378" s="91">
        <f t="shared" si="349"/>
        <v>0</v>
      </c>
      <c r="T378" s="91">
        <f t="shared" si="349"/>
        <v>0</v>
      </c>
      <c r="U378" s="91">
        <f t="shared" si="349"/>
        <v>0</v>
      </c>
      <c r="V378" s="506">
        <f t="shared" si="294"/>
        <v>0</v>
      </c>
      <c r="W378" s="506">
        <f t="shared" si="295"/>
        <v>0</v>
      </c>
      <c r="X378" s="78"/>
      <c r="Y378" s="493"/>
      <c r="Z378" s="31"/>
      <c r="AA378" s="31"/>
      <c r="AB378" s="31"/>
    </row>
    <row r="379" spans="1:30" ht="13.05" hidden="1" x14ac:dyDescent="0.3">
      <c r="A379" s="92">
        <v>3231</v>
      </c>
      <c r="B379" s="535" t="s">
        <v>24</v>
      </c>
      <c r="C379" s="94">
        <v>1000</v>
      </c>
      <c r="D379" s="63"/>
      <c r="E379" s="63">
        <v>1000</v>
      </c>
      <c r="F379" s="95"/>
      <c r="G379" s="95"/>
      <c r="H379" s="95"/>
      <c r="I379" s="95"/>
      <c r="J379" s="95"/>
      <c r="K379" s="63"/>
      <c r="L379" s="63"/>
      <c r="M379" s="63"/>
      <c r="N379" s="95"/>
      <c r="O379" s="95"/>
      <c r="P379" s="63"/>
      <c r="Q379" s="63"/>
      <c r="R379" s="63"/>
      <c r="S379" s="70">
        <f t="shared" ref="S379:S384" si="350">P379-M379</f>
        <v>0</v>
      </c>
      <c r="T379" s="70">
        <f t="shared" ref="T379:U384" si="351">P379-N379</f>
        <v>0</v>
      </c>
      <c r="U379" s="70">
        <f t="shared" si="351"/>
        <v>0</v>
      </c>
      <c r="V379" s="506">
        <f t="shared" si="294"/>
        <v>0</v>
      </c>
      <c r="W379" s="506">
        <f t="shared" si="295"/>
        <v>0</v>
      </c>
      <c r="X379" s="78"/>
      <c r="Y379" s="493"/>
      <c r="Z379" s="31"/>
      <c r="AA379" s="31"/>
      <c r="AB379" s="31"/>
    </row>
    <row r="380" spans="1:30" x14ac:dyDescent="0.3">
      <c r="A380" s="92">
        <v>3233</v>
      </c>
      <c r="B380" s="535" t="s">
        <v>26</v>
      </c>
      <c r="C380" s="94"/>
      <c r="D380" s="63"/>
      <c r="E380" s="63">
        <v>4000</v>
      </c>
      <c r="F380" s="95"/>
      <c r="G380" s="95"/>
      <c r="H380" s="95">
        <v>3000</v>
      </c>
      <c r="I380" s="95"/>
      <c r="J380" s="95"/>
      <c r="K380" s="63"/>
      <c r="L380" s="63"/>
      <c r="M380" s="63">
        <f>H380-I380+J380-K380+L380</f>
        <v>3000</v>
      </c>
      <c r="N380" s="95">
        <v>6000</v>
      </c>
      <c r="O380" s="95"/>
      <c r="P380" s="63">
        <v>6000</v>
      </c>
      <c r="Q380" s="63"/>
      <c r="R380" s="63"/>
      <c r="S380" s="70">
        <f t="shared" si="350"/>
        <v>3000</v>
      </c>
      <c r="T380" s="70">
        <f t="shared" si="351"/>
        <v>0</v>
      </c>
      <c r="U380" s="70">
        <f t="shared" si="351"/>
        <v>0</v>
      </c>
      <c r="V380" s="506">
        <f t="shared" si="294"/>
        <v>3000</v>
      </c>
      <c r="W380" s="506">
        <f t="shared" si="295"/>
        <v>0</v>
      </c>
      <c r="X380" s="78"/>
      <c r="Y380" s="493"/>
      <c r="Z380" s="31"/>
      <c r="AA380" s="31"/>
      <c r="AB380" s="31"/>
    </row>
    <row r="381" spans="1:30" x14ac:dyDescent="0.3">
      <c r="A381" s="92">
        <v>3235</v>
      </c>
      <c r="B381" s="535" t="s">
        <v>28</v>
      </c>
      <c r="C381" s="94">
        <v>1000</v>
      </c>
      <c r="D381" s="63"/>
      <c r="E381" s="63">
        <v>1000</v>
      </c>
      <c r="F381" s="95"/>
      <c r="G381" s="95"/>
      <c r="H381" s="95">
        <v>1000</v>
      </c>
      <c r="I381" s="95"/>
      <c r="J381" s="95"/>
      <c r="K381" s="63"/>
      <c r="L381" s="63"/>
      <c r="M381" s="63">
        <f>H381-I381+J381-K381+L381</f>
        <v>1000</v>
      </c>
      <c r="N381" s="95">
        <v>2000</v>
      </c>
      <c r="O381" s="95"/>
      <c r="P381" s="63">
        <v>2000</v>
      </c>
      <c r="Q381" s="63"/>
      <c r="R381" s="63"/>
      <c r="S381" s="70">
        <f t="shared" si="350"/>
        <v>1000</v>
      </c>
      <c r="T381" s="70">
        <f t="shared" si="351"/>
        <v>0</v>
      </c>
      <c r="U381" s="70">
        <f t="shared" si="351"/>
        <v>0</v>
      </c>
      <c r="V381" s="506">
        <f t="shared" si="294"/>
        <v>1000</v>
      </c>
      <c r="W381" s="506">
        <f t="shared" si="295"/>
        <v>0</v>
      </c>
      <c r="X381" s="78"/>
      <c r="Y381" s="493"/>
      <c r="Z381" s="31"/>
      <c r="AA381" s="31"/>
      <c r="AB381" s="31"/>
    </row>
    <row r="382" spans="1:30" ht="12.6" hidden="1" customHeight="1" x14ac:dyDescent="0.3">
      <c r="A382" s="92">
        <v>3237</v>
      </c>
      <c r="B382" s="93" t="s">
        <v>30</v>
      </c>
      <c r="C382" s="551">
        <v>3000</v>
      </c>
      <c r="D382" s="71"/>
      <c r="E382" s="71">
        <v>0</v>
      </c>
      <c r="F382" s="368"/>
      <c r="G382" s="368"/>
      <c r="H382" s="368">
        <v>3000</v>
      </c>
      <c r="I382" s="368"/>
      <c r="J382" s="368"/>
      <c r="K382" s="71"/>
      <c r="L382" s="71"/>
      <c r="M382" s="63">
        <f>H382-I382+J382-K382+L382</f>
        <v>3000</v>
      </c>
      <c r="N382" s="368">
        <v>0</v>
      </c>
      <c r="O382" s="368"/>
      <c r="P382" s="71"/>
      <c r="Q382" s="71"/>
      <c r="R382" s="71"/>
      <c r="S382" s="70">
        <f t="shared" si="350"/>
        <v>-3000</v>
      </c>
      <c r="T382" s="70">
        <f t="shared" si="351"/>
        <v>0</v>
      </c>
      <c r="U382" s="70">
        <f t="shared" si="351"/>
        <v>0</v>
      </c>
      <c r="V382" s="506">
        <f t="shared" si="294"/>
        <v>-3000</v>
      </c>
      <c r="W382" s="506">
        <f t="shared" si="295"/>
        <v>0</v>
      </c>
      <c r="X382" s="78"/>
      <c r="Y382" s="493"/>
      <c r="Z382" s="31"/>
      <c r="AA382" s="31"/>
      <c r="AB382" s="31"/>
    </row>
    <row r="383" spans="1:30" x14ac:dyDescent="0.3">
      <c r="A383" s="92">
        <v>3238</v>
      </c>
      <c r="B383" s="93" t="s">
        <v>70</v>
      </c>
      <c r="C383" s="551"/>
      <c r="D383" s="71"/>
      <c r="E383" s="71"/>
      <c r="F383" s="368"/>
      <c r="G383" s="368"/>
      <c r="H383" s="368"/>
      <c r="I383" s="368"/>
      <c r="J383" s="368"/>
      <c r="K383" s="71"/>
      <c r="L383" s="71"/>
      <c r="M383" s="63"/>
      <c r="N383" s="368">
        <v>6000</v>
      </c>
      <c r="O383" s="368"/>
      <c r="P383" s="71">
        <v>6000</v>
      </c>
      <c r="Q383" s="71"/>
      <c r="R383" s="71"/>
      <c r="S383" s="70">
        <f t="shared" si="350"/>
        <v>6000</v>
      </c>
      <c r="T383" s="70">
        <f t="shared" si="351"/>
        <v>0</v>
      </c>
      <c r="U383" s="70">
        <f t="shared" si="351"/>
        <v>0</v>
      </c>
      <c r="V383" s="506">
        <f t="shared" si="294"/>
        <v>6000</v>
      </c>
      <c r="W383" s="506">
        <f t="shared" si="295"/>
        <v>0</v>
      </c>
      <c r="X383" s="78"/>
      <c r="Y383" s="493"/>
      <c r="Z383" s="31"/>
      <c r="AA383" s="31"/>
      <c r="AB383" s="31"/>
    </row>
    <row r="384" spans="1:30" hidden="1" x14ac:dyDescent="0.3">
      <c r="A384" s="92">
        <v>3239</v>
      </c>
      <c r="B384" s="93" t="s">
        <v>31</v>
      </c>
      <c r="C384" s="551">
        <v>17000</v>
      </c>
      <c r="D384" s="71"/>
      <c r="E384" s="71">
        <v>7000</v>
      </c>
      <c r="F384" s="368"/>
      <c r="G384" s="368"/>
      <c r="H384" s="368">
        <v>7000</v>
      </c>
      <c r="I384" s="368"/>
      <c r="J384" s="368"/>
      <c r="K384" s="71"/>
      <c r="L384" s="71"/>
      <c r="M384" s="63">
        <f>H384-I384+J384-K384+L384</f>
        <v>7000</v>
      </c>
      <c r="N384" s="368">
        <v>0</v>
      </c>
      <c r="O384" s="368"/>
      <c r="P384" s="71"/>
      <c r="Q384" s="71"/>
      <c r="R384" s="71"/>
      <c r="S384" s="70">
        <f t="shared" si="350"/>
        <v>-7000</v>
      </c>
      <c r="T384" s="70">
        <f t="shared" si="351"/>
        <v>0</v>
      </c>
      <c r="U384" s="70">
        <f t="shared" si="351"/>
        <v>0</v>
      </c>
      <c r="V384" s="506">
        <f t="shared" si="294"/>
        <v>-7000</v>
      </c>
      <c r="W384" s="506">
        <f t="shared" si="295"/>
        <v>0</v>
      </c>
      <c r="X384" s="78"/>
      <c r="Y384" s="493"/>
      <c r="Z384" s="31"/>
      <c r="AA384" s="31"/>
      <c r="AB384" s="31"/>
    </row>
    <row r="385" spans="1:38" ht="22.95" customHeight="1" x14ac:dyDescent="0.3">
      <c r="A385" s="88">
        <v>324</v>
      </c>
      <c r="B385" s="556" t="s">
        <v>32</v>
      </c>
      <c r="C385" s="90">
        <f t="shared" ref="C385:U385" si="352">SUM(C386)</f>
        <v>4000</v>
      </c>
      <c r="D385" s="62"/>
      <c r="E385" s="62">
        <f t="shared" si="352"/>
        <v>4000</v>
      </c>
      <c r="F385" s="91">
        <f t="shared" si="352"/>
        <v>0</v>
      </c>
      <c r="G385" s="91">
        <f t="shared" si="352"/>
        <v>0</v>
      </c>
      <c r="H385" s="91">
        <f t="shared" si="352"/>
        <v>2000</v>
      </c>
      <c r="I385" s="91">
        <f t="shared" si="352"/>
        <v>0</v>
      </c>
      <c r="J385" s="91">
        <f t="shared" si="352"/>
        <v>0</v>
      </c>
      <c r="K385" s="91">
        <f t="shared" si="352"/>
        <v>0</v>
      </c>
      <c r="L385" s="91">
        <f t="shared" si="352"/>
        <v>0</v>
      </c>
      <c r="M385" s="91">
        <f t="shared" si="352"/>
        <v>2000</v>
      </c>
      <c r="N385" s="91">
        <f t="shared" si="352"/>
        <v>4000</v>
      </c>
      <c r="O385" s="91">
        <f t="shared" si="352"/>
        <v>0</v>
      </c>
      <c r="P385" s="91">
        <f t="shared" si="352"/>
        <v>4000</v>
      </c>
      <c r="Q385" s="91">
        <f t="shared" si="352"/>
        <v>0</v>
      </c>
      <c r="R385" s="91">
        <f t="shared" si="352"/>
        <v>0</v>
      </c>
      <c r="S385" s="91">
        <f t="shared" si="352"/>
        <v>2000</v>
      </c>
      <c r="T385" s="91">
        <f t="shared" si="352"/>
        <v>0</v>
      </c>
      <c r="U385" s="91">
        <f t="shared" si="352"/>
        <v>0</v>
      </c>
      <c r="V385" s="506">
        <f t="shared" si="294"/>
        <v>2000</v>
      </c>
      <c r="W385" s="506">
        <f t="shared" si="295"/>
        <v>0</v>
      </c>
      <c r="X385" s="78"/>
      <c r="Y385" s="493"/>
      <c r="Z385" s="31"/>
      <c r="AA385" s="31"/>
      <c r="AB385" s="31"/>
    </row>
    <row r="386" spans="1:38" x14ac:dyDescent="0.3">
      <c r="A386" s="92">
        <v>3241</v>
      </c>
      <c r="B386" s="93" t="s">
        <v>32</v>
      </c>
      <c r="C386" s="551">
        <v>4000</v>
      </c>
      <c r="D386" s="71"/>
      <c r="E386" s="71">
        <v>4000</v>
      </c>
      <c r="F386" s="368"/>
      <c r="G386" s="368"/>
      <c r="H386" s="368">
        <v>2000</v>
      </c>
      <c r="I386" s="368"/>
      <c r="J386" s="368"/>
      <c r="K386" s="71"/>
      <c r="L386" s="71"/>
      <c r="M386" s="63">
        <f>H386-I386+J386-K386+L386</f>
        <v>2000</v>
      </c>
      <c r="N386" s="368">
        <v>4000</v>
      </c>
      <c r="O386" s="368"/>
      <c r="P386" s="71">
        <v>4000</v>
      </c>
      <c r="Q386" s="71"/>
      <c r="R386" s="71"/>
      <c r="S386" s="70">
        <f>P386-M386</f>
        <v>2000</v>
      </c>
      <c r="T386" s="70">
        <f>P386-N386</f>
        <v>0</v>
      </c>
      <c r="U386" s="70">
        <f>Q386-O386</f>
        <v>0</v>
      </c>
      <c r="V386" s="506">
        <f t="shared" si="294"/>
        <v>2000</v>
      </c>
      <c r="W386" s="506">
        <f t="shared" si="295"/>
        <v>0</v>
      </c>
      <c r="X386" s="78"/>
      <c r="Y386" s="493"/>
      <c r="Z386" s="31"/>
      <c r="AA386" s="31"/>
      <c r="AB386" s="31"/>
    </row>
    <row r="387" spans="1:38" x14ac:dyDescent="0.3">
      <c r="A387" s="88">
        <v>329</v>
      </c>
      <c r="B387" s="89" t="s">
        <v>33</v>
      </c>
      <c r="C387" s="90">
        <f t="shared" ref="C387:U387" si="353">SUM(C388)</f>
        <v>0</v>
      </c>
      <c r="D387" s="62"/>
      <c r="E387" s="62">
        <f t="shared" si="353"/>
        <v>0</v>
      </c>
      <c r="F387" s="91">
        <f t="shared" si="353"/>
        <v>0</v>
      </c>
      <c r="G387" s="91">
        <f t="shared" si="353"/>
        <v>0</v>
      </c>
      <c r="H387" s="91">
        <f t="shared" si="353"/>
        <v>3000</v>
      </c>
      <c r="I387" s="91">
        <f t="shared" si="353"/>
        <v>0</v>
      </c>
      <c r="J387" s="91">
        <f t="shared" si="353"/>
        <v>0</v>
      </c>
      <c r="K387" s="91">
        <f t="shared" si="353"/>
        <v>0</v>
      </c>
      <c r="L387" s="91">
        <f t="shared" si="353"/>
        <v>0</v>
      </c>
      <c r="M387" s="91">
        <f t="shared" si="353"/>
        <v>3000</v>
      </c>
      <c r="N387" s="91">
        <f t="shared" si="353"/>
        <v>4000</v>
      </c>
      <c r="O387" s="91">
        <f t="shared" si="353"/>
        <v>0</v>
      </c>
      <c r="P387" s="91">
        <f t="shared" si="353"/>
        <v>4000</v>
      </c>
      <c r="Q387" s="91">
        <f t="shared" si="353"/>
        <v>0</v>
      </c>
      <c r="R387" s="91">
        <f t="shared" si="353"/>
        <v>0</v>
      </c>
      <c r="S387" s="91">
        <f t="shared" si="353"/>
        <v>1000</v>
      </c>
      <c r="T387" s="91">
        <f t="shared" si="353"/>
        <v>0</v>
      </c>
      <c r="U387" s="91">
        <f t="shared" si="353"/>
        <v>0</v>
      </c>
      <c r="V387" s="506">
        <f t="shared" si="294"/>
        <v>1000</v>
      </c>
      <c r="W387" s="506">
        <f t="shared" si="295"/>
        <v>0</v>
      </c>
      <c r="X387" s="31"/>
      <c r="Y387" s="486"/>
      <c r="Z387" s="31"/>
      <c r="AA387" s="31"/>
      <c r="AB387" s="31"/>
    </row>
    <row r="388" spans="1:38" x14ac:dyDescent="0.3">
      <c r="A388" s="92">
        <v>3293</v>
      </c>
      <c r="B388" s="93" t="s">
        <v>36</v>
      </c>
      <c r="C388" s="94">
        <v>0</v>
      </c>
      <c r="D388" s="63"/>
      <c r="E388" s="63">
        <v>0</v>
      </c>
      <c r="F388" s="95"/>
      <c r="G388" s="95"/>
      <c r="H388" s="95">
        <v>3000</v>
      </c>
      <c r="I388" s="95"/>
      <c r="J388" s="95"/>
      <c r="K388" s="63"/>
      <c r="L388" s="63"/>
      <c r="M388" s="63">
        <f>H388-I388+J388-K388+L388</f>
        <v>3000</v>
      </c>
      <c r="N388" s="95">
        <v>4000</v>
      </c>
      <c r="O388" s="95"/>
      <c r="P388" s="95">
        <v>4000</v>
      </c>
      <c r="Q388" s="95"/>
      <c r="R388" s="95"/>
      <c r="S388" s="70">
        <f>P388-M388</f>
        <v>1000</v>
      </c>
      <c r="T388" s="70">
        <f>P388-N388</f>
        <v>0</v>
      </c>
      <c r="U388" s="70">
        <f>Q388-O388</f>
        <v>0</v>
      </c>
      <c r="V388" s="506">
        <f t="shared" si="294"/>
        <v>1000</v>
      </c>
      <c r="W388" s="506">
        <f t="shared" si="295"/>
        <v>0</v>
      </c>
      <c r="X388" s="31"/>
      <c r="Y388" s="486"/>
      <c r="Z388" s="31"/>
      <c r="AA388" s="31"/>
      <c r="AB388" s="31"/>
    </row>
    <row r="389" spans="1:38" ht="12.6" hidden="1" customHeight="1" x14ac:dyDescent="0.3">
      <c r="A389" s="542">
        <v>3299</v>
      </c>
      <c r="B389" s="535" t="s">
        <v>33</v>
      </c>
      <c r="C389" s="94"/>
      <c r="D389" s="63"/>
      <c r="E389" s="63"/>
      <c r="F389" s="95"/>
      <c r="G389" s="95"/>
      <c r="H389" s="95"/>
      <c r="I389" s="95"/>
      <c r="J389" s="95"/>
      <c r="K389" s="63"/>
      <c r="L389" s="63"/>
      <c r="M389" s="63"/>
      <c r="N389" s="95"/>
      <c r="O389" s="95"/>
      <c r="P389" s="95"/>
      <c r="Q389" s="95"/>
      <c r="R389" s="95"/>
      <c r="S389" s="70">
        <f>P389-M389</f>
        <v>0</v>
      </c>
      <c r="T389" s="70">
        <f>P389-N389</f>
        <v>0</v>
      </c>
      <c r="U389" s="70">
        <f>Q389-O389</f>
        <v>0</v>
      </c>
      <c r="V389" s="506">
        <f t="shared" si="294"/>
        <v>0</v>
      </c>
      <c r="W389" s="506">
        <f t="shared" si="295"/>
        <v>0</v>
      </c>
      <c r="X389" s="31"/>
      <c r="Y389" s="486"/>
      <c r="Z389" s="31"/>
      <c r="AA389" s="31"/>
      <c r="AB389" s="31"/>
    </row>
    <row r="390" spans="1:38" ht="55.5" hidden="1" customHeight="1" x14ac:dyDescent="0.3">
      <c r="A390" s="584" t="s">
        <v>218</v>
      </c>
      <c r="B390" s="585" t="s">
        <v>219</v>
      </c>
      <c r="C390" s="539">
        <f t="shared" ref="C390:U392" si="354">SUM(C391)</f>
        <v>0</v>
      </c>
      <c r="D390" s="65"/>
      <c r="E390" s="65">
        <f t="shared" si="354"/>
        <v>0</v>
      </c>
      <c r="F390" s="365">
        <f t="shared" si="354"/>
        <v>0</v>
      </c>
      <c r="G390" s="365">
        <f t="shared" si="354"/>
        <v>0</v>
      </c>
      <c r="H390" s="365">
        <f t="shared" si="354"/>
        <v>0</v>
      </c>
      <c r="I390" s="365">
        <f t="shared" si="354"/>
        <v>0</v>
      </c>
      <c r="J390" s="365">
        <f t="shared" si="354"/>
        <v>0</v>
      </c>
      <c r="K390" s="365">
        <f t="shared" si="354"/>
        <v>0</v>
      </c>
      <c r="L390" s="365">
        <f t="shared" si="354"/>
        <v>0</v>
      </c>
      <c r="M390" s="365">
        <f t="shared" si="354"/>
        <v>0</v>
      </c>
      <c r="N390" s="365">
        <f t="shared" si="354"/>
        <v>0</v>
      </c>
      <c r="O390" s="365">
        <f t="shared" si="354"/>
        <v>0</v>
      </c>
      <c r="P390" s="365">
        <f t="shared" si="354"/>
        <v>0</v>
      </c>
      <c r="Q390" s="365">
        <f t="shared" si="354"/>
        <v>0</v>
      </c>
      <c r="R390" s="365">
        <f t="shared" si="354"/>
        <v>0</v>
      </c>
      <c r="S390" s="365">
        <f t="shared" si="354"/>
        <v>0</v>
      </c>
      <c r="T390" s="365">
        <f t="shared" si="354"/>
        <v>0</v>
      </c>
      <c r="U390" s="365">
        <f t="shared" si="354"/>
        <v>0</v>
      </c>
      <c r="V390" s="506">
        <f t="shared" si="294"/>
        <v>0</v>
      </c>
      <c r="W390" s="506">
        <f t="shared" si="295"/>
        <v>0</v>
      </c>
      <c r="X390" s="31"/>
      <c r="Y390" s="486"/>
      <c r="Z390" s="31"/>
      <c r="AA390" s="31"/>
      <c r="AB390" s="31"/>
      <c r="AD390" s="408" t="s">
        <v>430</v>
      </c>
    </row>
    <row r="391" spans="1:38" ht="18" hidden="1" customHeight="1" x14ac:dyDescent="0.3">
      <c r="A391" s="700" t="s">
        <v>77</v>
      </c>
      <c r="B391" s="700"/>
      <c r="C391" s="85">
        <f>SUM(C392)</f>
        <v>0</v>
      </c>
      <c r="D391" s="66"/>
      <c r="E391" s="66">
        <f t="shared" si="354"/>
        <v>0</v>
      </c>
      <c r="F391" s="86">
        <f t="shared" si="354"/>
        <v>0</v>
      </c>
      <c r="G391" s="86">
        <f t="shared" si="354"/>
        <v>0</v>
      </c>
      <c r="H391" s="86">
        <f t="shared" si="354"/>
        <v>0</v>
      </c>
      <c r="I391" s="86">
        <f t="shared" si="354"/>
        <v>0</v>
      </c>
      <c r="J391" s="86">
        <f t="shared" si="354"/>
        <v>0</v>
      </c>
      <c r="K391" s="86">
        <f t="shared" si="354"/>
        <v>0</v>
      </c>
      <c r="L391" s="86">
        <f t="shared" si="354"/>
        <v>0</v>
      </c>
      <c r="M391" s="86">
        <f t="shared" si="354"/>
        <v>0</v>
      </c>
      <c r="N391" s="86">
        <f t="shared" si="354"/>
        <v>0</v>
      </c>
      <c r="O391" s="86">
        <f t="shared" si="354"/>
        <v>0</v>
      </c>
      <c r="P391" s="86">
        <f t="shared" si="354"/>
        <v>0</v>
      </c>
      <c r="Q391" s="86">
        <f t="shared" si="354"/>
        <v>0</v>
      </c>
      <c r="R391" s="86">
        <f t="shared" si="354"/>
        <v>0</v>
      </c>
      <c r="S391" s="583">
        <f t="shared" si="354"/>
        <v>0</v>
      </c>
      <c r="T391" s="583">
        <f t="shared" si="354"/>
        <v>0</v>
      </c>
      <c r="U391" s="583">
        <f t="shared" si="354"/>
        <v>0</v>
      </c>
      <c r="V391" s="506">
        <f t="shared" si="294"/>
        <v>0</v>
      </c>
      <c r="W391" s="506">
        <f t="shared" si="295"/>
        <v>0</v>
      </c>
      <c r="X391" s="31"/>
      <c r="Y391" s="486"/>
      <c r="Z391" s="31"/>
      <c r="AA391" s="31"/>
      <c r="AB391" s="31"/>
    </row>
    <row r="392" spans="1:38" ht="13.05" hidden="1" x14ac:dyDescent="0.3">
      <c r="A392" s="88">
        <v>323</v>
      </c>
      <c r="B392" s="89" t="s">
        <v>23</v>
      </c>
      <c r="C392" s="90">
        <f>SUM(C393)</f>
        <v>0</v>
      </c>
      <c r="D392" s="62"/>
      <c r="E392" s="62">
        <f t="shared" si="354"/>
        <v>0</v>
      </c>
      <c r="F392" s="91">
        <f t="shared" si="354"/>
        <v>0</v>
      </c>
      <c r="G392" s="91">
        <f t="shared" si="354"/>
        <v>0</v>
      </c>
      <c r="H392" s="91">
        <f t="shared" si="354"/>
        <v>0</v>
      </c>
      <c r="I392" s="91">
        <f t="shared" si="354"/>
        <v>0</v>
      </c>
      <c r="J392" s="91">
        <f t="shared" si="354"/>
        <v>0</v>
      </c>
      <c r="K392" s="91">
        <f t="shared" si="354"/>
        <v>0</v>
      </c>
      <c r="L392" s="91">
        <f t="shared" si="354"/>
        <v>0</v>
      </c>
      <c r="M392" s="91">
        <f t="shared" si="354"/>
        <v>0</v>
      </c>
      <c r="N392" s="91">
        <f t="shared" si="354"/>
        <v>0</v>
      </c>
      <c r="O392" s="91">
        <f t="shared" si="354"/>
        <v>0</v>
      </c>
      <c r="P392" s="91">
        <f t="shared" si="354"/>
        <v>0</v>
      </c>
      <c r="Q392" s="91">
        <f t="shared" si="354"/>
        <v>0</v>
      </c>
      <c r="R392" s="91">
        <f t="shared" si="354"/>
        <v>0</v>
      </c>
      <c r="S392" s="91">
        <f t="shared" si="354"/>
        <v>0</v>
      </c>
      <c r="T392" s="91">
        <f t="shared" si="354"/>
        <v>0</v>
      </c>
      <c r="U392" s="91">
        <f t="shared" si="354"/>
        <v>0</v>
      </c>
      <c r="V392" s="506">
        <f t="shared" si="294"/>
        <v>0</v>
      </c>
      <c r="W392" s="506">
        <f t="shared" si="295"/>
        <v>0</v>
      </c>
      <c r="X392" s="31"/>
      <c r="Y392" s="486"/>
      <c r="Z392" s="31"/>
      <c r="AA392" s="31"/>
      <c r="AB392" s="31"/>
    </row>
    <row r="393" spans="1:38" ht="13.05" hidden="1" x14ac:dyDescent="0.3">
      <c r="A393" s="92">
        <v>3237</v>
      </c>
      <c r="B393" s="93" t="s">
        <v>30</v>
      </c>
      <c r="C393" s="551"/>
      <c r="D393" s="71"/>
      <c r="E393" s="71"/>
      <c r="F393" s="368"/>
      <c r="G393" s="368"/>
      <c r="H393" s="368"/>
      <c r="I393" s="368"/>
      <c r="J393" s="368"/>
      <c r="K393" s="71"/>
      <c r="L393" s="71"/>
      <c r="M393" s="63"/>
      <c r="N393" s="368"/>
      <c r="O393" s="368"/>
      <c r="P393" s="368"/>
      <c r="Q393" s="368"/>
      <c r="R393" s="368"/>
      <c r="S393" s="70">
        <f>P393-M393</f>
        <v>0</v>
      </c>
      <c r="T393" s="70">
        <f>P393-N393</f>
        <v>0</v>
      </c>
      <c r="U393" s="70">
        <f>Q393-O393</f>
        <v>0</v>
      </c>
      <c r="V393" s="506">
        <f t="shared" si="294"/>
        <v>0</v>
      </c>
      <c r="W393" s="506">
        <f t="shared" si="295"/>
        <v>0</v>
      </c>
      <c r="X393" s="31"/>
      <c r="Y393" s="486"/>
      <c r="Z393" s="31"/>
      <c r="AA393" s="31"/>
      <c r="AB393" s="31"/>
    </row>
    <row r="394" spans="1:38" ht="39" hidden="1" x14ac:dyDescent="0.3">
      <c r="A394" s="584" t="s">
        <v>274</v>
      </c>
      <c r="B394" s="585" t="s">
        <v>275</v>
      </c>
      <c r="C394" s="539">
        <f t="shared" ref="C394:U394" si="355">SUM(C395)</f>
        <v>156900</v>
      </c>
      <c r="D394" s="65"/>
      <c r="E394" s="65">
        <f t="shared" si="355"/>
        <v>0</v>
      </c>
      <c r="F394" s="365">
        <f t="shared" si="355"/>
        <v>0</v>
      </c>
      <c r="G394" s="365">
        <f t="shared" si="355"/>
        <v>0</v>
      </c>
      <c r="H394" s="365">
        <f t="shared" si="355"/>
        <v>0</v>
      </c>
      <c r="I394" s="365">
        <f t="shared" si="355"/>
        <v>0</v>
      </c>
      <c r="J394" s="365">
        <f t="shared" si="355"/>
        <v>0</v>
      </c>
      <c r="K394" s="365">
        <f t="shared" si="355"/>
        <v>0</v>
      </c>
      <c r="L394" s="365">
        <f t="shared" si="355"/>
        <v>0</v>
      </c>
      <c r="M394" s="365">
        <f t="shared" si="355"/>
        <v>0</v>
      </c>
      <c r="N394" s="365">
        <f t="shared" si="355"/>
        <v>0</v>
      </c>
      <c r="O394" s="365">
        <f t="shared" si="355"/>
        <v>0</v>
      </c>
      <c r="P394" s="365">
        <f t="shared" si="355"/>
        <v>0</v>
      </c>
      <c r="Q394" s="365">
        <f t="shared" si="355"/>
        <v>0</v>
      </c>
      <c r="R394" s="365">
        <f t="shared" si="355"/>
        <v>0</v>
      </c>
      <c r="S394" s="365">
        <f t="shared" si="355"/>
        <v>0</v>
      </c>
      <c r="T394" s="365">
        <f t="shared" si="355"/>
        <v>0</v>
      </c>
      <c r="U394" s="365">
        <f t="shared" si="355"/>
        <v>0</v>
      </c>
      <c r="V394" s="506">
        <f t="shared" si="294"/>
        <v>0</v>
      </c>
      <c r="W394" s="506">
        <f t="shared" si="295"/>
        <v>0</v>
      </c>
      <c r="X394" s="31"/>
      <c r="Y394" s="486"/>
      <c r="Z394" s="31"/>
      <c r="AA394" s="31"/>
      <c r="AB394" s="31"/>
      <c r="AD394" s="408" t="s">
        <v>430</v>
      </c>
    </row>
    <row r="395" spans="1:38" ht="18" hidden="1" customHeight="1" x14ac:dyDescent="0.3">
      <c r="A395" s="700" t="s">
        <v>77</v>
      </c>
      <c r="B395" s="700"/>
      <c r="C395" s="85">
        <f>SUM(C396,C413)</f>
        <v>156900</v>
      </c>
      <c r="D395" s="66"/>
      <c r="E395" s="66">
        <f>SUM(E405+E397+E399+E409+E414+E411)</f>
        <v>0</v>
      </c>
      <c r="F395" s="86">
        <f t="shared" ref="F395:U395" si="356">SUM(F405+F397+F399+F409+F414+F411)</f>
        <v>0</v>
      </c>
      <c r="G395" s="86">
        <f t="shared" si="356"/>
        <v>0</v>
      </c>
      <c r="H395" s="86">
        <f t="shared" si="356"/>
        <v>0</v>
      </c>
      <c r="I395" s="86">
        <f t="shared" si="356"/>
        <v>0</v>
      </c>
      <c r="J395" s="86">
        <f t="shared" si="356"/>
        <v>0</v>
      </c>
      <c r="K395" s="86">
        <f t="shared" si="356"/>
        <v>0</v>
      </c>
      <c r="L395" s="86">
        <f t="shared" si="356"/>
        <v>0</v>
      </c>
      <c r="M395" s="86">
        <f t="shared" si="356"/>
        <v>0</v>
      </c>
      <c r="N395" s="86">
        <f t="shared" si="356"/>
        <v>0</v>
      </c>
      <c r="O395" s="86">
        <f t="shared" si="356"/>
        <v>0</v>
      </c>
      <c r="P395" s="86"/>
      <c r="Q395" s="86"/>
      <c r="R395" s="86"/>
      <c r="S395" s="583">
        <f t="shared" si="356"/>
        <v>0</v>
      </c>
      <c r="T395" s="583">
        <f t="shared" si="356"/>
        <v>0</v>
      </c>
      <c r="U395" s="583">
        <f t="shared" si="356"/>
        <v>0</v>
      </c>
      <c r="V395" s="506">
        <f t="shared" ref="V395:V458" si="357">P395-M395</f>
        <v>0</v>
      </c>
      <c r="W395" s="506">
        <f t="shared" ref="W395:W458" si="358">S395-V395</f>
        <v>0</v>
      </c>
      <c r="X395" s="31"/>
      <c r="Y395" s="486"/>
      <c r="Z395" s="31"/>
      <c r="AA395" s="31"/>
      <c r="AB395" s="31"/>
    </row>
    <row r="396" spans="1:38" ht="14.55" hidden="1" customHeight="1" x14ac:dyDescent="0.3">
      <c r="A396" s="540" t="s">
        <v>317</v>
      </c>
      <c r="B396" s="145" t="s">
        <v>318</v>
      </c>
      <c r="C396" s="146">
        <f>SUM(C397,C399,C405,C409)</f>
        <v>156900</v>
      </c>
      <c r="D396" s="142"/>
      <c r="E396" s="142">
        <f t="shared" ref="E396:U396" si="359">SUM(E397,E399,E405,E409)</f>
        <v>0</v>
      </c>
      <c r="F396" s="147">
        <f t="shared" si="359"/>
        <v>0</v>
      </c>
      <c r="G396" s="147">
        <f t="shared" si="359"/>
        <v>0</v>
      </c>
      <c r="H396" s="147">
        <f t="shared" si="359"/>
        <v>0</v>
      </c>
      <c r="I396" s="147">
        <f t="shared" si="359"/>
        <v>0</v>
      </c>
      <c r="J396" s="147">
        <f t="shared" si="359"/>
        <v>0</v>
      </c>
      <c r="K396" s="147">
        <f t="shared" si="359"/>
        <v>0</v>
      </c>
      <c r="L396" s="147">
        <f t="shared" si="359"/>
        <v>0</v>
      </c>
      <c r="M396" s="147">
        <f t="shared" si="359"/>
        <v>0</v>
      </c>
      <c r="N396" s="147">
        <f t="shared" si="359"/>
        <v>0</v>
      </c>
      <c r="O396" s="147">
        <f t="shared" si="359"/>
        <v>0</v>
      </c>
      <c r="P396" s="147">
        <f t="shared" si="359"/>
        <v>0</v>
      </c>
      <c r="Q396" s="147">
        <f t="shared" si="359"/>
        <v>0</v>
      </c>
      <c r="R396" s="147">
        <f t="shared" si="359"/>
        <v>0</v>
      </c>
      <c r="S396" s="87">
        <f t="shared" si="359"/>
        <v>0</v>
      </c>
      <c r="T396" s="87">
        <f t="shared" si="359"/>
        <v>0</v>
      </c>
      <c r="U396" s="87">
        <f t="shared" si="359"/>
        <v>0</v>
      </c>
      <c r="V396" s="506">
        <f t="shared" si="357"/>
        <v>0</v>
      </c>
      <c r="W396" s="506">
        <f t="shared" si="358"/>
        <v>0</v>
      </c>
      <c r="X396" s="31"/>
      <c r="Y396" s="486"/>
      <c r="Z396" s="31"/>
      <c r="AA396" s="31"/>
      <c r="AB396" s="31"/>
    </row>
    <row r="397" spans="1:38" ht="13.05" hidden="1" x14ac:dyDescent="0.3">
      <c r="A397" s="541">
        <v>321</v>
      </c>
      <c r="B397" s="89" t="s">
        <v>12</v>
      </c>
      <c r="C397" s="90">
        <f t="shared" ref="C397:U397" si="360">SUM(C398)</f>
        <v>10000</v>
      </c>
      <c r="D397" s="62"/>
      <c r="E397" s="62">
        <f t="shared" si="360"/>
        <v>0</v>
      </c>
      <c r="F397" s="91">
        <f t="shared" si="360"/>
        <v>0</v>
      </c>
      <c r="G397" s="91">
        <f t="shared" si="360"/>
        <v>0</v>
      </c>
      <c r="H397" s="91">
        <f t="shared" si="360"/>
        <v>0</v>
      </c>
      <c r="I397" s="91">
        <f t="shared" si="360"/>
        <v>0</v>
      </c>
      <c r="J397" s="91">
        <f t="shared" si="360"/>
        <v>0</v>
      </c>
      <c r="K397" s="91">
        <f t="shared" si="360"/>
        <v>0</v>
      </c>
      <c r="L397" s="91">
        <f t="shared" si="360"/>
        <v>0</v>
      </c>
      <c r="M397" s="91">
        <f t="shared" si="360"/>
        <v>0</v>
      </c>
      <c r="N397" s="91">
        <f t="shared" si="360"/>
        <v>0</v>
      </c>
      <c r="O397" s="91">
        <f t="shared" si="360"/>
        <v>0</v>
      </c>
      <c r="P397" s="91">
        <f t="shared" si="360"/>
        <v>0</v>
      </c>
      <c r="Q397" s="91">
        <f t="shared" si="360"/>
        <v>0</v>
      </c>
      <c r="R397" s="91">
        <f t="shared" si="360"/>
        <v>0</v>
      </c>
      <c r="S397" s="91">
        <f t="shared" si="360"/>
        <v>0</v>
      </c>
      <c r="T397" s="91">
        <f t="shared" si="360"/>
        <v>0</v>
      </c>
      <c r="U397" s="91">
        <f t="shared" si="360"/>
        <v>0</v>
      </c>
      <c r="V397" s="506">
        <f t="shared" si="357"/>
        <v>0</v>
      </c>
      <c r="W397" s="506">
        <f t="shared" si="358"/>
        <v>0</v>
      </c>
      <c r="X397" s="31"/>
      <c r="Y397" s="486"/>
      <c r="Z397" s="31"/>
      <c r="AA397" s="31"/>
      <c r="AB397" s="31"/>
    </row>
    <row r="398" spans="1:38" ht="13.05" hidden="1" x14ac:dyDescent="0.3">
      <c r="A398" s="542">
        <v>3211</v>
      </c>
      <c r="B398" s="535" t="s">
        <v>13</v>
      </c>
      <c r="C398" s="94">
        <v>10000</v>
      </c>
      <c r="D398" s="63"/>
      <c r="E398" s="63">
        <v>0</v>
      </c>
      <c r="F398" s="95"/>
      <c r="G398" s="95"/>
      <c r="H398" s="95"/>
      <c r="I398" s="95"/>
      <c r="J398" s="95"/>
      <c r="K398" s="63"/>
      <c r="L398" s="63"/>
      <c r="M398" s="63"/>
      <c r="N398" s="95"/>
      <c r="O398" s="95"/>
      <c r="P398" s="63"/>
      <c r="Q398" s="63"/>
      <c r="R398" s="63"/>
      <c r="S398" s="70">
        <f>P398-M398</f>
        <v>0</v>
      </c>
      <c r="T398" s="70">
        <f>P398-N398</f>
        <v>0</v>
      </c>
      <c r="U398" s="63">
        <f>N398-G398</f>
        <v>0</v>
      </c>
      <c r="V398" s="506">
        <f t="shared" si="357"/>
        <v>0</v>
      </c>
      <c r="W398" s="506">
        <f t="shared" si="358"/>
        <v>0</v>
      </c>
      <c r="X398" s="31"/>
      <c r="Y398" s="486"/>
      <c r="Z398" s="31"/>
      <c r="AA398" s="31"/>
      <c r="AB398" s="31"/>
    </row>
    <row r="399" spans="1:38" s="2" customFormat="1" ht="13.05" hidden="1" x14ac:dyDescent="0.3">
      <c r="A399" s="557" t="s">
        <v>153</v>
      </c>
      <c r="B399" s="558" t="s">
        <v>16</v>
      </c>
      <c r="C399" s="559">
        <f t="shared" ref="C399:U399" si="361">SUM(C400:C404)</f>
        <v>70000</v>
      </c>
      <c r="D399" s="79"/>
      <c r="E399" s="79">
        <f t="shared" ref="E399" si="362">SUM(E400:E404)</f>
        <v>0</v>
      </c>
      <c r="F399" s="369">
        <f t="shared" si="361"/>
        <v>0</v>
      </c>
      <c r="G399" s="369">
        <f t="shared" si="361"/>
        <v>0</v>
      </c>
      <c r="H399" s="369">
        <f t="shared" si="361"/>
        <v>0</v>
      </c>
      <c r="I399" s="369">
        <f t="shared" si="361"/>
        <v>0</v>
      </c>
      <c r="J399" s="369">
        <f t="shared" si="361"/>
        <v>0</v>
      </c>
      <c r="K399" s="369">
        <f t="shared" si="361"/>
        <v>0</v>
      </c>
      <c r="L399" s="369">
        <f t="shared" si="361"/>
        <v>0</v>
      </c>
      <c r="M399" s="369">
        <f t="shared" si="361"/>
        <v>0</v>
      </c>
      <c r="N399" s="369">
        <f t="shared" si="361"/>
        <v>0</v>
      </c>
      <c r="O399" s="369">
        <f t="shared" si="361"/>
        <v>0</v>
      </c>
      <c r="P399" s="369">
        <f t="shared" si="361"/>
        <v>0</v>
      </c>
      <c r="Q399" s="369">
        <f t="shared" si="361"/>
        <v>0</v>
      </c>
      <c r="R399" s="369">
        <f t="shared" si="361"/>
        <v>0</v>
      </c>
      <c r="S399" s="369">
        <f t="shared" si="361"/>
        <v>0</v>
      </c>
      <c r="T399" s="369">
        <f t="shared" si="361"/>
        <v>0</v>
      </c>
      <c r="U399" s="369">
        <f t="shared" si="361"/>
        <v>0</v>
      </c>
      <c r="V399" s="506">
        <f t="shared" si="357"/>
        <v>0</v>
      </c>
      <c r="W399" s="506">
        <f t="shared" si="358"/>
        <v>0</v>
      </c>
      <c r="X399" s="34"/>
      <c r="Y399" s="490"/>
      <c r="Z399" s="34"/>
      <c r="AA399" s="34"/>
      <c r="AB399" s="34"/>
      <c r="AH399" s="525"/>
      <c r="AI399" s="525"/>
      <c r="AJ399" s="525"/>
      <c r="AK399" s="525"/>
      <c r="AL399" s="525"/>
    </row>
    <row r="400" spans="1:38" ht="13.05" hidden="1" x14ac:dyDescent="0.3">
      <c r="A400" s="130" t="s">
        <v>154</v>
      </c>
      <c r="B400" s="107" t="s">
        <v>17</v>
      </c>
      <c r="C400" s="560">
        <v>3000</v>
      </c>
      <c r="D400" s="81"/>
      <c r="E400" s="81">
        <v>0</v>
      </c>
      <c r="F400" s="370"/>
      <c r="G400" s="370"/>
      <c r="H400" s="370"/>
      <c r="I400" s="370"/>
      <c r="J400" s="370"/>
      <c r="K400" s="370"/>
      <c r="L400" s="370"/>
      <c r="M400" s="370"/>
      <c r="N400" s="370"/>
      <c r="O400" s="370"/>
      <c r="P400" s="81"/>
      <c r="Q400" s="81"/>
      <c r="R400" s="81"/>
      <c r="S400" s="70">
        <f>P400-M400</f>
        <v>0</v>
      </c>
      <c r="T400" s="70">
        <f>P400-N400</f>
        <v>0</v>
      </c>
      <c r="U400" s="63">
        <f>N400-G400</f>
        <v>0</v>
      </c>
      <c r="V400" s="506">
        <f t="shared" si="357"/>
        <v>0</v>
      </c>
      <c r="W400" s="506">
        <f t="shared" si="358"/>
        <v>0</v>
      </c>
      <c r="X400" s="31"/>
      <c r="Y400" s="486"/>
      <c r="Z400" s="31"/>
      <c r="AA400" s="31"/>
      <c r="AB400" s="31"/>
    </row>
    <row r="401" spans="1:28" ht="13.05" hidden="1" x14ac:dyDescent="0.3">
      <c r="A401" s="130" t="s">
        <v>155</v>
      </c>
      <c r="B401" s="107" t="s">
        <v>18</v>
      </c>
      <c r="C401" s="560">
        <v>14000</v>
      </c>
      <c r="D401" s="81"/>
      <c r="E401" s="81">
        <v>0</v>
      </c>
      <c r="F401" s="370"/>
      <c r="G401" s="370"/>
      <c r="H401" s="370"/>
      <c r="I401" s="370"/>
      <c r="J401" s="370"/>
      <c r="K401" s="370"/>
      <c r="L401" s="370"/>
      <c r="M401" s="370"/>
      <c r="N401" s="370"/>
      <c r="O401" s="370"/>
      <c r="P401" s="81"/>
      <c r="Q401" s="81"/>
      <c r="R401" s="81"/>
      <c r="S401" s="70">
        <f>P401-M401</f>
        <v>0</v>
      </c>
      <c r="T401" s="70">
        <f>P401-N401</f>
        <v>0</v>
      </c>
      <c r="U401" s="63">
        <f>N401-G401</f>
        <v>0</v>
      </c>
      <c r="V401" s="506">
        <f t="shared" si="357"/>
        <v>0</v>
      </c>
      <c r="W401" s="506">
        <f t="shared" si="358"/>
        <v>0</v>
      </c>
      <c r="X401" s="31"/>
      <c r="Y401" s="486"/>
      <c r="Z401" s="31"/>
      <c r="AA401" s="31"/>
      <c r="AB401" s="31"/>
    </row>
    <row r="402" spans="1:28" ht="0.75" hidden="1" customHeight="1" x14ac:dyDescent="0.3">
      <c r="A402" s="130" t="s">
        <v>156</v>
      </c>
      <c r="B402" s="107" t="s">
        <v>19</v>
      </c>
      <c r="C402" s="560"/>
      <c r="D402" s="81"/>
      <c r="E402" s="81">
        <v>0</v>
      </c>
      <c r="F402" s="370"/>
      <c r="G402" s="370"/>
      <c r="H402" s="370"/>
      <c r="I402" s="370"/>
      <c r="J402" s="370"/>
      <c r="K402" s="370"/>
      <c r="L402" s="370"/>
      <c r="M402" s="370"/>
      <c r="N402" s="370"/>
      <c r="O402" s="370"/>
      <c r="P402" s="81"/>
      <c r="Q402" s="81"/>
      <c r="R402" s="81"/>
      <c r="S402" s="70">
        <f>P402-M402</f>
        <v>0</v>
      </c>
      <c r="T402" s="63"/>
      <c r="U402" s="370"/>
      <c r="V402" s="506">
        <f t="shared" si="357"/>
        <v>0</v>
      </c>
      <c r="W402" s="506">
        <f t="shared" si="358"/>
        <v>0</v>
      </c>
      <c r="X402" s="31"/>
      <c r="Y402" s="486"/>
      <c r="Z402" s="31"/>
      <c r="AA402" s="31"/>
      <c r="AB402" s="31"/>
    </row>
    <row r="403" spans="1:28" ht="13.05" hidden="1" x14ac:dyDescent="0.3">
      <c r="A403" s="130" t="s">
        <v>158</v>
      </c>
      <c r="B403" s="107" t="s">
        <v>21</v>
      </c>
      <c r="C403" s="560"/>
      <c r="D403" s="81"/>
      <c r="E403" s="81"/>
      <c r="F403" s="370"/>
      <c r="G403" s="370"/>
      <c r="H403" s="370"/>
      <c r="I403" s="370"/>
      <c r="J403" s="370"/>
      <c r="K403" s="370"/>
      <c r="L403" s="370"/>
      <c r="M403" s="370"/>
      <c r="N403" s="370"/>
      <c r="O403" s="370"/>
      <c r="P403" s="81"/>
      <c r="Q403" s="81"/>
      <c r="R403" s="81"/>
      <c r="S403" s="63">
        <f>H403-E403</f>
        <v>0</v>
      </c>
      <c r="T403" s="63"/>
      <c r="U403" s="370"/>
      <c r="V403" s="506">
        <f t="shared" si="357"/>
        <v>0</v>
      </c>
      <c r="W403" s="506">
        <f t="shared" si="358"/>
        <v>0</v>
      </c>
      <c r="X403" s="31"/>
      <c r="Y403" s="486"/>
      <c r="Z403" s="31"/>
      <c r="AA403" s="31"/>
      <c r="AB403" s="31"/>
    </row>
    <row r="404" spans="1:28" ht="13.05" hidden="1" x14ac:dyDescent="0.3">
      <c r="A404" s="130" t="s">
        <v>185</v>
      </c>
      <c r="B404" s="107" t="s">
        <v>22</v>
      </c>
      <c r="C404" s="560">
        <v>53000</v>
      </c>
      <c r="D404" s="81"/>
      <c r="E404" s="81">
        <v>0</v>
      </c>
      <c r="F404" s="370"/>
      <c r="G404" s="370"/>
      <c r="H404" s="370"/>
      <c r="I404" s="370"/>
      <c r="J404" s="370"/>
      <c r="K404" s="370"/>
      <c r="L404" s="370"/>
      <c r="M404" s="370"/>
      <c r="N404" s="370"/>
      <c r="O404" s="370"/>
      <c r="P404" s="81"/>
      <c r="Q404" s="81"/>
      <c r="R404" s="81"/>
      <c r="S404" s="70">
        <f>P404-M404</f>
        <v>0</v>
      </c>
      <c r="T404" s="70">
        <f>P404-N404</f>
        <v>0</v>
      </c>
      <c r="U404" s="63">
        <f>N404-G404</f>
        <v>0</v>
      </c>
      <c r="V404" s="506">
        <f t="shared" si="357"/>
        <v>0</v>
      </c>
      <c r="W404" s="506">
        <f t="shared" si="358"/>
        <v>0</v>
      </c>
      <c r="X404" s="31"/>
      <c r="Y404" s="486"/>
      <c r="Z404" s="31"/>
      <c r="AA404" s="31"/>
      <c r="AB404" s="31"/>
    </row>
    <row r="405" spans="1:28" ht="13.05" hidden="1" x14ac:dyDescent="0.3">
      <c r="A405" s="88">
        <v>323</v>
      </c>
      <c r="B405" s="89" t="s">
        <v>23</v>
      </c>
      <c r="C405" s="90">
        <f t="shared" ref="C405:U405" si="363">SUM(C406:C408)</f>
        <v>56900</v>
      </c>
      <c r="D405" s="62"/>
      <c r="E405" s="62">
        <f t="shared" ref="E405" si="364">SUM(E406:E408)</f>
        <v>0</v>
      </c>
      <c r="F405" s="91">
        <f t="shared" si="363"/>
        <v>0</v>
      </c>
      <c r="G405" s="91">
        <f t="shared" si="363"/>
        <v>0</v>
      </c>
      <c r="H405" s="91">
        <f t="shared" si="363"/>
        <v>0</v>
      </c>
      <c r="I405" s="91">
        <f t="shared" si="363"/>
        <v>0</v>
      </c>
      <c r="J405" s="91">
        <f t="shared" si="363"/>
        <v>0</v>
      </c>
      <c r="K405" s="91">
        <f t="shared" si="363"/>
        <v>0</v>
      </c>
      <c r="L405" s="91">
        <f t="shared" si="363"/>
        <v>0</v>
      </c>
      <c r="M405" s="91">
        <f t="shared" si="363"/>
        <v>0</v>
      </c>
      <c r="N405" s="91">
        <f t="shared" si="363"/>
        <v>0</v>
      </c>
      <c r="O405" s="91">
        <f t="shared" si="363"/>
        <v>0</v>
      </c>
      <c r="P405" s="91">
        <f t="shared" si="363"/>
        <v>0</v>
      </c>
      <c r="Q405" s="91">
        <f t="shared" si="363"/>
        <v>0</v>
      </c>
      <c r="R405" s="91">
        <f t="shared" si="363"/>
        <v>0</v>
      </c>
      <c r="S405" s="91">
        <f t="shared" si="363"/>
        <v>0</v>
      </c>
      <c r="T405" s="91">
        <f t="shared" si="363"/>
        <v>0</v>
      </c>
      <c r="U405" s="91">
        <f t="shared" si="363"/>
        <v>0</v>
      </c>
      <c r="V405" s="506">
        <f t="shared" si="357"/>
        <v>0</v>
      </c>
      <c r="W405" s="506">
        <f t="shared" si="358"/>
        <v>0</v>
      </c>
      <c r="X405" s="31"/>
      <c r="Y405" s="486"/>
      <c r="Z405" s="31"/>
      <c r="AA405" s="31"/>
      <c r="AB405" s="31"/>
    </row>
    <row r="406" spans="1:28" ht="13.05" hidden="1" x14ac:dyDescent="0.3">
      <c r="A406" s="92">
        <v>3233</v>
      </c>
      <c r="B406" s="535" t="s">
        <v>26</v>
      </c>
      <c r="C406" s="94">
        <v>10000</v>
      </c>
      <c r="D406" s="63"/>
      <c r="E406" s="63">
        <v>0</v>
      </c>
      <c r="F406" s="95"/>
      <c r="G406" s="95"/>
      <c r="H406" s="95"/>
      <c r="I406" s="95"/>
      <c r="J406" s="95"/>
      <c r="K406" s="95"/>
      <c r="L406" s="95"/>
      <c r="M406" s="95"/>
      <c r="N406" s="95"/>
      <c r="O406" s="95"/>
      <c r="P406" s="63"/>
      <c r="Q406" s="63"/>
      <c r="R406" s="63"/>
      <c r="S406" s="70">
        <f>P406-M406</f>
        <v>0</v>
      </c>
      <c r="T406" s="70">
        <f>P406-N406</f>
        <v>0</v>
      </c>
      <c r="U406" s="63">
        <f>N406-G406</f>
        <v>0</v>
      </c>
      <c r="V406" s="506">
        <f t="shared" si="357"/>
        <v>0</v>
      </c>
      <c r="W406" s="506">
        <f t="shared" si="358"/>
        <v>0</v>
      </c>
      <c r="X406" s="31"/>
      <c r="Y406" s="486"/>
      <c r="Z406" s="31"/>
      <c r="AA406" s="31"/>
      <c r="AB406" s="31"/>
    </row>
    <row r="407" spans="1:28" ht="13.05" hidden="1" x14ac:dyDescent="0.3">
      <c r="A407" s="92">
        <v>3237</v>
      </c>
      <c r="B407" s="93" t="s">
        <v>30</v>
      </c>
      <c r="C407" s="551">
        <v>29000</v>
      </c>
      <c r="D407" s="71"/>
      <c r="E407" s="71">
        <v>0</v>
      </c>
      <c r="F407" s="368"/>
      <c r="G407" s="368"/>
      <c r="H407" s="368"/>
      <c r="I407" s="368"/>
      <c r="J407" s="368"/>
      <c r="K407" s="368"/>
      <c r="L407" s="368"/>
      <c r="M407" s="368"/>
      <c r="N407" s="368"/>
      <c r="O407" s="368"/>
      <c r="P407" s="71"/>
      <c r="Q407" s="71"/>
      <c r="R407" s="71"/>
      <c r="S407" s="70">
        <f>P407-M407</f>
        <v>0</v>
      </c>
      <c r="T407" s="70">
        <f>P407-N407</f>
        <v>0</v>
      </c>
      <c r="U407" s="63">
        <f>N407-G407</f>
        <v>0</v>
      </c>
      <c r="V407" s="506">
        <f t="shared" si="357"/>
        <v>0</v>
      </c>
      <c r="W407" s="506">
        <f t="shared" si="358"/>
        <v>0</v>
      </c>
      <c r="X407" s="31"/>
      <c r="Y407" s="486"/>
      <c r="Z407" s="31"/>
      <c r="AA407" s="31"/>
      <c r="AB407" s="31"/>
    </row>
    <row r="408" spans="1:28" ht="13.05" hidden="1" x14ac:dyDescent="0.3">
      <c r="A408" s="92">
        <v>3239</v>
      </c>
      <c r="B408" s="93" t="s">
        <v>31</v>
      </c>
      <c r="C408" s="551">
        <v>17900</v>
      </c>
      <c r="D408" s="71"/>
      <c r="E408" s="71">
        <v>0</v>
      </c>
      <c r="F408" s="368"/>
      <c r="G408" s="368"/>
      <c r="H408" s="368"/>
      <c r="I408" s="368"/>
      <c r="J408" s="368"/>
      <c r="K408" s="368"/>
      <c r="L408" s="368"/>
      <c r="M408" s="368"/>
      <c r="N408" s="368"/>
      <c r="O408" s="368"/>
      <c r="P408" s="71"/>
      <c r="Q408" s="71"/>
      <c r="R408" s="71"/>
      <c r="S408" s="70">
        <f>P408-M408</f>
        <v>0</v>
      </c>
      <c r="T408" s="70">
        <f>P408-N408</f>
        <v>0</v>
      </c>
      <c r="U408" s="63">
        <f>N408-G408</f>
        <v>0</v>
      </c>
      <c r="V408" s="506">
        <f t="shared" si="357"/>
        <v>0</v>
      </c>
      <c r="W408" s="506">
        <f t="shared" si="358"/>
        <v>0</v>
      </c>
      <c r="X408" s="31"/>
      <c r="Y408" s="486"/>
      <c r="Z408" s="31"/>
      <c r="AA408" s="31"/>
      <c r="AB408" s="31"/>
    </row>
    <row r="409" spans="1:28" ht="13.05" hidden="1" x14ac:dyDescent="0.3">
      <c r="A409" s="88">
        <v>324</v>
      </c>
      <c r="B409" s="556" t="s">
        <v>32</v>
      </c>
      <c r="C409" s="90">
        <f t="shared" ref="C409:U409" si="365">SUM(C410)</f>
        <v>20000</v>
      </c>
      <c r="D409" s="62"/>
      <c r="E409" s="62">
        <f t="shared" si="365"/>
        <v>0</v>
      </c>
      <c r="F409" s="91">
        <f t="shared" si="365"/>
        <v>0</v>
      </c>
      <c r="G409" s="91">
        <f t="shared" si="365"/>
        <v>0</v>
      </c>
      <c r="H409" s="91">
        <f t="shared" si="365"/>
        <v>0</v>
      </c>
      <c r="I409" s="91">
        <f t="shared" si="365"/>
        <v>0</v>
      </c>
      <c r="J409" s="91">
        <f t="shared" si="365"/>
        <v>0</v>
      </c>
      <c r="K409" s="91">
        <f t="shared" si="365"/>
        <v>0</v>
      </c>
      <c r="L409" s="91">
        <f t="shared" si="365"/>
        <v>0</v>
      </c>
      <c r="M409" s="91">
        <f t="shared" si="365"/>
        <v>0</v>
      </c>
      <c r="N409" s="91">
        <f t="shared" si="365"/>
        <v>0</v>
      </c>
      <c r="O409" s="91">
        <f t="shared" si="365"/>
        <v>0</v>
      </c>
      <c r="P409" s="91">
        <f t="shared" si="365"/>
        <v>0</v>
      </c>
      <c r="Q409" s="91">
        <f t="shared" si="365"/>
        <v>0</v>
      </c>
      <c r="R409" s="91">
        <f t="shared" si="365"/>
        <v>0</v>
      </c>
      <c r="S409" s="91">
        <f t="shared" si="365"/>
        <v>0</v>
      </c>
      <c r="T409" s="91">
        <f t="shared" si="365"/>
        <v>0</v>
      </c>
      <c r="U409" s="91">
        <f t="shared" si="365"/>
        <v>0</v>
      </c>
      <c r="V409" s="506">
        <f t="shared" si="357"/>
        <v>0</v>
      </c>
      <c r="W409" s="506">
        <f t="shared" si="358"/>
        <v>0</v>
      </c>
      <c r="X409" s="31"/>
      <c r="Y409" s="486"/>
      <c r="Z409" s="31"/>
      <c r="AA409" s="31"/>
      <c r="AB409" s="31"/>
    </row>
    <row r="410" spans="1:28" ht="24.75" hidden="1" customHeight="1" x14ac:dyDescent="0.3">
      <c r="A410" s="92">
        <v>3241</v>
      </c>
      <c r="B410" s="93" t="s">
        <v>32</v>
      </c>
      <c r="C410" s="551">
        <v>20000</v>
      </c>
      <c r="D410" s="71"/>
      <c r="E410" s="71">
        <v>0</v>
      </c>
      <c r="F410" s="368"/>
      <c r="G410" s="368"/>
      <c r="H410" s="368"/>
      <c r="I410" s="368"/>
      <c r="J410" s="368"/>
      <c r="K410" s="368"/>
      <c r="L410" s="368"/>
      <c r="M410" s="368"/>
      <c r="N410" s="368"/>
      <c r="O410" s="368"/>
      <c r="P410" s="71"/>
      <c r="Q410" s="71"/>
      <c r="R410" s="71"/>
      <c r="S410" s="70">
        <f>P410-M410</f>
        <v>0</v>
      </c>
      <c r="T410" s="70">
        <f>P410-N410</f>
        <v>0</v>
      </c>
      <c r="U410" s="63">
        <f>N410-G410</f>
        <v>0</v>
      </c>
      <c r="V410" s="506">
        <f t="shared" si="357"/>
        <v>0</v>
      </c>
      <c r="W410" s="506">
        <f t="shared" si="358"/>
        <v>0</v>
      </c>
      <c r="X410" s="31"/>
      <c r="Y410" s="486"/>
      <c r="Z410" s="31"/>
      <c r="AA410" s="31"/>
      <c r="AB410" s="31"/>
    </row>
    <row r="411" spans="1:28" ht="13.05" hidden="1" x14ac:dyDescent="0.3">
      <c r="A411" s="88">
        <v>426</v>
      </c>
      <c r="B411" s="556" t="s">
        <v>73</v>
      </c>
      <c r="C411" s="90">
        <f t="shared" ref="C411:U411" si="366">SUM(C412)</f>
        <v>0</v>
      </c>
      <c r="D411" s="62"/>
      <c r="E411" s="62">
        <f t="shared" si="366"/>
        <v>0</v>
      </c>
      <c r="F411" s="91">
        <f t="shared" si="366"/>
        <v>0</v>
      </c>
      <c r="G411" s="91">
        <f t="shared" si="366"/>
        <v>0</v>
      </c>
      <c r="H411" s="91">
        <f t="shared" si="366"/>
        <v>0</v>
      </c>
      <c r="I411" s="91"/>
      <c r="J411" s="91"/>
      <c r="K411" s="91"/>
      <c r="L411" s="91"/>
      <c r="M411" s="91"/>
      <c r="N411" s="91">
        <f t="shared" si="366"/>
        <v>0</v>
      </c>
      <c r="O411" s="91">
        <f t="shared" si="366"/>
        <v>0</v>
      </c>
      <c r="P411" s="91"/>
      <c r="Q411" s="91"/>
      <c r="R411" s="91"/>
      <c r="S411" s="91">
        <f t="shared" si="366"/>
        <v>0</v>
      </c>
      <c r="T411" s="91"/>
      <c r="U411" s="91">
        <f t="shared" si="366"/>
        <v>0</v>
      </c>
      <c r="V411" s="506">
        <f t="shared" si="357"/>
        <v>0</v>
      </c>
      <c r="W411" s="506">
        <f t="shared" si="358"/>
        <v>0</v>
      </c>
      <c r="X411" s="31"/>
      <c r="Y411" s="486"/>
      <c r="Z411" s="31"/>
      <c r="AA411" s="31"/>
      <c r="AB411" s="31"/>
    </row>
    <row r="412" spans="1:28" ht="13.05" hidden="1" x14ac:dyDescent="0.3">
      <c r="A412" s="92">
        <v>4262</v>
      </c>
      <c r="B412" s="93" t="s">
        <v>88</v>
      </c>
      <c r="C412" s="551"/>
      <c r="D412" s="71"/>
      <c r="E412" s="71"/>
      <c r="F412" s="368"/>
      <c r="G412" s="368"/>
      <c r="H412" s="368"/>
      <c r="I412" s="368"/>
      <c r="J412" s="368"/>
      <c r="K412" s="368"/>
      <c r="L412" s="368"/>
      <c r="M412" s="368"/>
      <c r="N412" s="368"/>
      <c r="O412" s="368"/>
      <c r="P412" s="368"/>
      <c r="Q412" s="368"/>
      <c r="R412" s="368"/>
      <c r="S412" s="368"/>
      <c r="T412" s="368"/>
      <c r="U412" s="368"/>
      <c r="V412" s="506">
        <f t="shared" si="357"/>
        <v>0</v>
      </c>
      <c r="W412" s="506">
        <f t="shared" si="358"/>
        <v>0</v>
      </c>
      <c r="X412" s="31"/>
      <c r="Y412" s="486"/>
      <c r="Z412" s="31"/>
      <c r="AA412" s="31"/>
      <c r="AB412" s="31"/>
    </row>
    <row r="413" spans="1:28" ht="22.2" hidden="1" customHeight="1" x14ac:dyDescent="0.3">
      <c r="A413" s="570" t="s">
        <v>323</v>
      </c>
      <c r="B413" s="571" t="s">
        <v>324</v>
      </c>
      <c r="C413" s="531">
        <f>SUM(C414)</f>
        <v>0</v>
      </c>
      <c r="D413" s="141"/>
      <c r="E413" s="141">
        <f t="shared" ref="E413:U413" si="367">SUM(E414)</f>
        <v>0</v>
      </c>
      <c r="F413" s="364">
        <f t="shared" si="367"/>
        <v>0</v>
      </c>
      <c r="G413" s="364">
        <f t="shared" si="367"/>
        <v>0</v>
      </c>
      <c r="H413" s="364">
        <f t="shared" si="367"/>
        <v>0</v>
      </c>
      <c r="I413" s="364">
        <f t="shared" si="367"/>
        <v>0</v>
      </c>
      <c r="J413" s="364">
        <f t="shared" si="367"/>
        <v>0</v>
      </c>
      <c r="K413" s="364">
        <f t="shared" si="367"/>
        <v>0</v>
      </c>
      <c r="L413" s="364">
        <f t="shared" si="367"/>
        <v>0</v>
      </c>
      <c r="M413" s="364">
        <f t="shared" si="367"/>
        <v>0</v>
      </c>
      <c r="N413" s="364">
        <f t="shared" si="367"/>
        <v>0</v>
      </c>
      <c r="O413" s="364">
        <f t="shared" si="367"/>
        <v>0</v>
      </c>
      <c r="P413" s="364">
        <f t="shared" si="367"/>
        <v>0</v>
      </c>
      <c r="Q413" s="364">
        <f t="shared" si="367"/>
        <v>0</v>
      </c>
      <c r="R413" s="364">
        <f t="shared" si="367"/>
        <v>0</v>
      </c>
      <c r="S413" s="532">
        <f t="shared" si="367"/>
        <v>0</v>
      </c>
      <c r="T413" s="532">
        <f t="shared" si="367"/>
        <v>0</v>
      </c>
      <c r="U413" s="532">
        <f t="shared" si="367"/>
        <v>0</v>
      </c>
      <c r="V413" s="506">
        <f t="shared" si="357"/>
        <v>0</v>
      </c>
      <c r="W413" s="506">
        <f t="shared" si="358"/>
        <v>0</v>
      </c>
      <c r="X413" s="31"/>
      <c r="Y413" s="486"/>
      <c r="Z413" s="31"/>
      <c r="AA413" s="31"/>
      <c r="AB413" s="31"/>
    </row>
    <row r="414" spans="1:28" ht="12.75" hidden="1" customHeight="1" x14ac:dyDescent="0.3">
      <c r="A414" s="88">
        <v>422</v>
      </c>
      <c r="B414" s="556" t="s">
        <v>53</v>
      </c>
      <c r="C414" s="90">
        <f>SUM(C415:C418)</f>
        <v>0</v>
      </c>
      <c r="D414" s="62"/>
      <c r="E414" s="62">
        <f>SUM(E415:E418)</f>
        <v>0</v>
      </c>
      <c r="F414" s="91">
        <f t="shared" ref="F414:U414" si="368">SUM(F415:F417)</f>
        <v>0</v>
      </c>
      <c r="G414" s="91">
        <f t="shared" si="368"/>
        <v>0</v>
      </c>
      <c r="H414" s="91">
        <f t="shared" si="368"/>
        <v>0</v>
      </c>
      <c r="I414" s="91">
        <f t="shared" si="368"/>
        <v>0</v>
      </c>
      <c r="J414" s="91">
        <f t="shared" si="368"/>
        <v>0</v>
      </c>
      <c r="K414" s="91">
        <f t="shared" si="368"/>
        <v>0</v>
      </c>
      <c r="L414" s="91">
        <f t="shared" si="368"/>
        <v>0</v>
      </c>
      <c r="M414" s="91">
        <f t="shared" si="368"/>
        <v>0</v>
      </c>
      <c r="N414" s="91">
        <f t="shared" si="368"/>
        <v>0</v>
      </c>
      <c r="O414" s="91">
        <f t="shared" si="368"/>
        <v>0</v>
      </c>
      <c r="P414" s="91">
        <f t="shared" si="368"/>
        <v>0</v>
      </c>
      <c r="Q414" s="91">
        <f t="shared" si="368"/>
        <v>0</v>
      </c>
      <c r="R414" s="91">
        <f t="shared" si="368"/>
        <v>0</v>
      </c>
      <c r="S414" s="91">
        <f t="shared" si="368"/>
        <v>0</v>
      </c>
      <c r="T414" s="91">
        <f t="shared" si="368"/>
        <v>0</v>
      </c>
      <c r="U414" s="91">
        <f t="shared" si="368"/>
        <v>0</v>
      </c>
      <c r="V414" s="506">
        <f t="shared" si="357"/>
        <v>0</v>
      </c>
      <c r="W414" s="506">
        <f t="shared" si="358"/>
        <v>0</v>
      </c>
      <c r="X414" s="31"/>
      <c r="Y414" s="486"/>
      <c r="Z414" s="31"/>
      <c r="AA414" s="31"/>
      <c r="AB414" s="31"/>
    </row>
    <row r="415" spans="1:28" ht="13.05" hidden="1" x14ac:dyDescent="0.3">
      <c r="A415" s="92">
        <v>4221</v>
      </c>
      <c r="B415" s="93" t="s">
        <v>54</v>
      </c>
      <c r="C415" s="551"/>
      <c r="D415" s="71"/>
      <c r="E415" s="71"/>
      <c r="F415" s="368"/>
      <c r="G415" s="368"/>
      <c r="H415" s="368"/>
      <c r="I415" s="368"/>
      <c r="J415" s="368"/>
      <c r="K415" s="368"/>
      <c r="L415" s="368"/>
      <c r="M415" s="368"/>
      <c r="N415" s="368"/>
      <c r="O415" s="368"/>
      <c r="P415" s="368"/>
      <c r="Q415" s="368"/>
      <c r="R415" s="368"/>
      <c r="S415" s="368"/>
      <c r="T415" s="368"/>
      <c r="U415" s="368"/>
      <c r="V415" s="506">
        <f t="shared" si="357"/>
        <v>0</v>
      </c>
      <c r="W415" s="506">
        <f t="shared" si="358"/>
        <v>0</v>
      </c>
      <c r="X415" s="31"/>
      <c r="Y415" s="486"/>
      <c r="Z415" s="31"/>
      <c r="AA415" s="31"/>
      <c r="AB415" s="31"/>
    </row>
    <row r="416" spans="1:28" ht="13.5" hidden="1" customHeight="1" x14ac:dyDescent="0.3">
      <c r="A416" s="92">
        <v>4222</v>
      </c>
      <c r="B416" s="93" t="s">
        <v>58</v>
      </c>
      <c r="C416" s="551">
        <v>0</v>
      </c>
      <c r="D416" s="71"/>
      <c r="E416" s="71">
        <v>0</v>
      </c>
      <c r="F416" s="368"/>
      <c r="G416" s="368"/>
      <c r="H416" s="368"/>
      <c r="I416" s="368"/>
      <c r="J416" s="368"/>
      <c r="K416" s="368"/>
      <c r="L416" s="368"/>
      <c r="M416" s="368"/>
      <c r="N416" s="368"/>
      <c r="O416" s="368"/>
      <c r="P416" s="71"/>
      <c r="Q416" s="71"/>
      <c r="R416" s="71"/>
      <c r="S416" s="70">
        <f>P416-M416</f>
        <v>0</v>
      </c>
      <c r="T416" s="70">
        <f>P416-N416</f>
        <v>0</v>
      </c>
      <c r="U416" s="63">
        <f>N416-G416</f>
        <v>0</v>
      </c>
      <c r="V416" s="506">
        <f t="shared" si="357"/>
        <v>0</v>
      </c>
      <c r="W416" s="506">
        <f t="shared" si="358"/>
        <v>0</v>
      </c>
      <c r="X416" s="31"/>
      <c r="Y416" s="486"/>
      <c r="Z416" s="31"/>
      <c r="AA416" s="31"/>
      <c r="AB416" s="31"/>
    </row>
    <row r="417" spans="1:38" ht="13.05" hidden="1" x14ac:dyDescent="0.3">
      <c r="A417" s="92">
        <v>4223</v>
      </c>
      <c r="B417" s="93" t="s">
        <v>59</v>
      </c>
      <c r="C417" s="551">
        <v>0</v>
      </c>
      <c r="D417" s="71"/>
      <c r="E417" s="71">
        <v>0</v>
      </c>
      <c r="F417" s="368"/>
      <c r="G417" s="368"/>
      <c r="H417" s="368"/>
      <c r="I417" s="368"/>
      <c r="J417" s="368"/>
      <c r="K417" s="368"/>
      <c r="L417" s="368"/>
      <c r="M417" s="368"/>
      <c r="N417" s="368"/>
      <c r="O417" s="368"/>
      <c r="P417" s="71"/>
      <c r="Q417" s="71"/>
      <c r="R417" s="71"/>
      <c r="S417" s="70">
        <f>P417-M417</f>
        <v>0</v>
      </c>
      <c r="T417" s="70">
        <f>P417-N417</f>
        <v>0</v>
      </c>
      <c r="U417" s="63">
        <f>N417-G417</f>
        <v>0</v>
      </c>
      <c r="V417" s="506">
        <f t="shared" si="357"/>
        <v>0</v>
      </c>
      <c r="W417" s="506">
        <f t="shared" si="358"/>
        <v>0</v>
      </c>
      <c r="X417" s="31"/>
      <c r="Y417" s="486"/>
      <c r="Z417" s="31"/>
      <c r="AA417" s="31"/>
      <c r="AB417" s="31"/>
    </row>
    <row r="418" spans="1:38" ht="13.05" hidden="1" x14ac:dyDescent="0.3">
      <c r="A418" s="92">
        <v>4224</v>
      </c>
      <c r="B418" s="93" t="s">
        <v>283</v>
      </c>
      <c r="C418" s="551">
        <v>0</v>
      </c>
      <c r="D418" s="71"/>
      <c r="E418" s="71">
        <v>0</v>
      </c>
      <c r="F418" s="368"/>
      <c r="G418" s="368"/>
      <c r="H418" s="368"/>
      <c r="I418" s="368"/>
      <c r="J418" s="368"/>
      <c r="K418" s="368"/>
      <c r="L418" s="368"/>
      <c r="M418" s="368"/>
      <c r="N418" s="368"/>
      <c r="O418" s="368"/>
      <c r="P418" s="71"/>
      <c r="Q418" s="71"/>
      <c r="R418" s="71"/>
      <c r="S418" s="70">
        <f>P418-M418</f>
        <v>0</v>
      </c>
      <c r="T418" s="70">
        <f>P418-N418</f>
        <v>0</v>
      </c>
      <c r="U418" s="63">
        <f>N418-G418</f>
        <v>0</v>
      </c>
      <c r="V418" s="506">
        <f t="shared" si="357"/>
        <v>0</v>
      </c>
      <c r="W418" s="506">
        <f t="shared" si="358"/>
        <v>0</v>
      </c>
      <c r="X418" s="31"/>
      <c r="Y418" s="486"/>
      <c r="Z418" s="31"/>
      <c r="AA418" s="31"/>
      <c r="AB418" s="31"/>
    </row>
    <row r="419" spans="1:38" s="2" customFormat="1" ht="26.4" x14ac:dyDescent="0.3">
      <c r="A419" s="579" t="s">
        <v>276</v>
      </c>
      <c r="B419" s="580" t="s">
        <v>277</v>
      </c>
      <c r="C419" s="581">
        <f t="shared" ref="C419:U419" si="369">C420</f>
        <v>136000</v>
      </c>
      <c r="D419" s="99"/>
      <c r="E419" s="99">
        <f t="shared" si="369"/>
        <v>69000</v>
      </c>
      <c r="F419" s="373">
        <f t="shared" si="369"/>
        <v>106000</v>
      </c>
      <c r="G419" s="373">
        <f t="shared" si="369"/>
        <v>18000</v>
      </c>
      <c r="H419" s="373">
        <f t="shared" si="369"/>
        <v>287000</v>
      </c>
      <c r="I419" s="373">
        <f t="shared" si="369"/>
        <v>217000</v>
      </c>
      <c r="J419" s="373">
        <f t="shared" si="369"/>
        <v>0</v>
      </c>
      <c r="K419" s="373">
        <f t="shared" si="369"/>
        <v>0</v>
      </c>
      <c r="L419" s="373">
        <f t="shared" si="369"/>
        <v>0</v>
      </c>
      <c r="M419" s="373">
        <f t="shared" si="369"/>
        <v>70000</v>
      </c>
      <c r="N419" s="373">
        <f t="shared" si="369"/>
        <v>10000</v>
      </c>
      <c r="O419" s="373">
        <f t="shared" si="369"/>
        <v>0</v>
      </c>
      <c r="P419" s="373">
        <f t="shared" si="369"/>
        <v>37500</v>
      </c>
      <c r="Q419" s="373">
        <f t="shared" si="369"/>
        <v>89000</v>
      </c>
      <c r="R419" s="373">
        <f t="shared" si="369"/>
        <v>0</v>
      </c>
      <c r="S419" s="373">
        <f t="shared" si="369"/>
        <v>-32500</v>
      </c>
      <c r="T419" s="373">
        <f t="shared" si="369"/>
        <v>27500</v>
      </c>
      <c r="U419" s="373">
        <f t="shared" si="369"/>
        <v>35000</v>
      </c>
      <c r="V419" s="506">
        <f t="shared" si="357"/>
        <v>-32500</v>
      </c>
      <c r="W419" s="506">
        <f t="shared" si="358"/>
        <v>0</v>
      </c>
      <c r="X419" s="34"/>
      <c r="Y419" s="490"/>
      <c r="Z419" s="34"/>
      <c r="AA419" s="34"/>
      <c r="AB419" s="34"/>
      <c r="AH419" s="525"/>
      <c r="AI419" s="525"/>
      <c r="AJ419" s="525"/>
      <c r="AK419" s="525"/>
      <c r="AL419" s="525"/>
    </row>
    <row r="420" spans="1:38" s="2" customFormat="1" ht="18.75" customHeight="1" x14ac:dyDescent="0.3">
      <c r="A420" s="700" t="s">
        <v>77</v>
      </c>
      <c r="B420" s="700"/>
      <c r="C420" s="582">
        <f>SUM(C421,C429)</f>
        <v>136000</v>
      </c>
      <c r="D420" s="100"/>
      <c r="E420" s="100">
        <f t="shared" ref="E420:O420" si="370">SUM(E421,E429)</f>
        <v>69000</v>
      </c>
      <c r="F420" s="374">
        <f t="shared" si="370"/>
        <v>106000</v>
      </c>
      <c r="G420" s="374">
        <f t="shared" si="370"/>
        <v>18000</v>
      </c>
      <c r="H420" s="374">
        <f t="shared" si="370"/>
        <v>287000</v>
      </c>
      <c r="I420" s="374">
        <f t="shared" si="370"/>
        <v>217000</v>
      </c>
      <c r="J420" s="374">
        <f t="shared" si="370"/>
        <v>0</v>
      </c>
      <c r="K420" s="374">
        <f t="shared" si="370"/>
        <v>0</v>
      </c>
      <c r="L420" s="374">
        <f t="shared" si="370"/>
        <v>0</v>
      </c>
      <c r="M420" s="374">
        <f t="shared" si="370"/>
        <v>70000</v>
      </c>
      <c r="N420" s="374">
        <f t="shared" si="370"/>
        <v>10000</v>
      </c>
      <c r="O420" s="374">
        <f t="shared" si="370"/>
        <v>0</v>
      </c>
      <c r="P420" s="374">
        <f>SUM(P421,P429,P449)</f>
        <v>37500</v>
      </c>
      <c r="Q420" s="374">
        <f t="shared" ref="Q420:U420" si="371">SUM(Q421,Q429,Q449)</f>
        <v>89000</v>
      </c>
      <c r="R420" s="374">
        <f t="shared" si="371"/>
        <v>0</v>
      </c>
      <c r="S420" s="374">
        <f t="shared" si="371"/>
        <v>-32500</v>
      </c>
      <c r="T420" s="374">
        <f t="shared" si="371"/>
        <v>27500</v>
      </c>
      <c r="U420" s="374">
        <f t="shared" si="371"/>
        <v>35000</v>
      </c>
      <c r="V420" s="506">
        <f t="shared" si="357"/>
        <v>-32500</v>
      </c>
      <c r="W420" s="506">
        <f t="shared" si="358"/>
        <v>0</v>
      </c>
      <c r="X420" s="34"/>
      <c r="Y420" s="490"/>
      <c r="Z420" s="34"/>
      <c r="AA420" s="34"/>
      <c r="AB420" s="34"/>
      <c r="AH420" s="525"/>
      <c r="AI420" s="525"/>
      <c r="AJ420" s="525"/>
      <c r="AK420" s="525"/>
      <c r="AL420" s="525"/>
    </row>
    <row r="421" spans="1:38" s="2" customFormat="1" ht="12.6" customHeight="1" x14ac:dyDescent="0.3">
      <c r="A421" s="540" t="s">
        <v>315</v>
      </c>
      <c r="B421" s="145" t="s">
        <v>316</v>
      </c>
      <c r="C421" s="146">
        <f>SUM(C422)</f>
        <v>13000</v>
      </c>
      <c r="D421" s="142"/>
      <c r="E421" s="142">
        <f t="shared" ref="E421:U421" si="372">SUM(E422)</f>
        <v>8000</v>
      </c>
      <c r="F421" s="147">
        <f t="shared" si="372"/>
        <v>13000</v>
      </c>
      <c r="G421" s="147">
        <f t="shared" si="372"/>
        <v>2000</v>
      </c>
      <c r="H421" s="147">
        <f t="shared" si="372"/>
        <v>22000</v>
      </c>
      <c r="I421" s="147">
        <f t="shared" si="372"/>
        <v>0</v>
      </c>
      <c r="J421" s="147">
        <f t="shared" si="372"/>
        <v>0</v>
      </c>
      <c r="K421" s="147">
        <f t="shared" si="372"/>
        <v>0</v>
      </c>
      <c r="L421" s="147">
        <f t="shared" si="372"/>
        <v>0</v>
      </c>
      <c r="M421" s="147">
        <f t="shared" si="372"/>
        <v>22000</v>
      </c>
      <c r="N421" s="147">
        <f t="shared" si="372"/>
        <v>3000</v>
      </c>
      <c r="O421" s="147">
        <f t="shared" si="372"/>
        <v>0</v>
      </c>
      <c r="P421" s="147">
        <f t="shared" si="372"/>
        <v>7000</v>
      </c>
      <c r="Q421" s="147">
        <f t="shared" si="372"/>
        <v>7000</v>
      </c>
      <c r="R421" s="147">
        <f t="shared" si="372"/>
        <v>0</v>
      </c>
      <c r="S421" s="87">
        <f t="shared" si="372"/>
        <v>-15000</v>
      </c>
      <c r="T421" s="87">
        <f t="shared" si="372"/>
        <v>4000</v>
      </c>
      <c r="U421" s="87">
        <f t="shared" si="372"/>
        <v>7000</v>
      </c>
      <c r="V421" s="506">
        <f t="shared" si="357"/>
        <v>-15000</v>
      </c>
      <c r="W421" s="506">
        <f t="shared" si="358"/>
        <v>0</v>
      </c>
      <c r="X421" s="34"/>
      <c r="Y421" s="490"/>
      <c r="Z421" s="34"/>
      <c r="AA421" s="34"/>
      <c r="AB421" s="34"/>
      <c r="AH421" s="525"/>
      <c r="AI421" s="525"/>
      <c r="AJ421" s="525"/>
      <c r="AK421" s="525"/>
      <c r="AL421" s="525"/>
    </row>
    <row r="422" spans="1:38" x14ac:dyDescent="0.3">
      <c r="A422" s="541">
        <v>311</v>
      </c>
      <c r="B422" s="89" t="s">
        <v>4</v>
      </c>
      <c r="C422" s="90">
        <f t="shared" ref="C422:U422" si="373">SUM(C423:C424)</f>
        <v>13000</v>
      </c>
      <c r="D422" s="62"/>
      <c r="E422" s="62">
        <f t="shared" ref="E422" si="374">SUM(E423:E424)</f>
        <v>8000</v>
      </c>
      <c r="F422" s="91">
        <f t="shared" si="373"/>
        <v>13000</v>
      </c>
      <c r="G422" s="91">
        <f t="shared" si="373"/>
        <v>2000</v>
      </c>
      <c r="H422" s="91">
        <f t="shared" si="373"/>
        <v>22000</v>
      </c>
      <c r="I422" s="91">
        <f t="shared" si="373"/>
        <v>0</v>
      </c>
      <c r="J422" s="91">
        <f t="shared" si="373"/>
        <v>0</v>
      </c>
      <c r="K422" s="91">
        <f t="shared" si="373"/>
        <v>0</v>
      </c>
      <c r="L422" s="91">
        <f t="shared" si="373"/>
        <v>0</v>
      </c>
      <c r="M422" s="91">
        <f t="shared" si="373"/>
        <v>22000</v>
      </c>
      <c r="N422" s="91">
        <f t="shared" si="373"/>
        <v>3000</v>
      </c>
      <c r="O422" s="91">
        <f t="shared" si="373"/>
        <v>0</v>
      </c>
      <c r="P422" s="91">
        <f t="shared" si="373"/>
        <v>7000</v>
      </c>
      <c r="Q422" s="91">
        <f t="shared" si="373"/>
        <v>7000</v>
      </c>
      <c r="R422" s="91">
        <f t="shared" si="373"/>
        <v>0</v>
      </c>
      <c r="S422" s="91">
        <f t="shared" si="373"/>
        <v>-15000</v>
      </c>
      <c r="T422" s="91">
        <f t="shared" si="373"/>
        <v>4000</v>
      </c>
      <c r="U422" s="91">
        <f t="shared" si="373"/>
        <v>7000</v>
      </c>
      <c r="V422" s="506">
        <f t="shared" si="357"/>
        <v>-15000</v>
      </c>
      <c r="W422" s="506">
        <f t="shared" si="358"/>
        <v>0</v>
      </c>
      <c r="X422" s="31"/>
      <c r="Y422" s="486"/>
      <c r="Z422" s="31"/>
      <c r="AA422" s="31"/>
      <c r="AB422" s="31"/>
    </row>
    <row r="423" spans="1:38" x14ac:dyDescent="0.3">
      <c r="A423" s="542">
        <v>3111</v>
      </c>
      <c r="B423" s="535" t="s">
        <v>5</v>
      </c>
      <c r="C423" s="94">
        <v>13000</v>
      </c>
      <c r="D423" s="63"/>
      <c r="E423" s="63">
        <v>8000</v>
      </c>
      <c r="F423" s="95">
        <v>13000</v>
      </c>
      <c r="G423" s="95">
        <v>2000</v>
      </c>
      <c r="H423" s="95">
        <v>22000</v>
      </c>
      <c r="I423" s="95"/>
      <c r="J423" s="95"/>
      <c r="K423" s="63"/>
      <c r="L423" s="63"/>
      <c r="M423" s="63">
        <f>H423-I423+J423-K423+L423</f>
        <v>22000</v>
      </c>
      <c r="N423" s="95">
        <v>3000</v>
      </c>
      <c r="O423" s="95"/>
      <c r="P423" s="63">
        <v>7000</v>
      </c>
      <c r="Q423" s="63">
        <v>7000</v>
      </c>
      <c r="R423" s="63"/>
      <c r="S423" s="70">
        <f>P423-M423</f>
        <v>-15000</v>
      </c>
      <c r="T423" s="70">
        <f>P423-N423</f>
        <v>4000</v>
      </c>
      <c r="U423" s="70">
        <f>Q423-O423</f>
        <v>7000</v>
      </c>
      <c r="V423" s="506">
        <f t="shared" si="357"/>
        <v>-15000</v>
      </c>
      <c r="W423" s="506">
        <f t="shared" si="358"/>
        <v>0</v>
      </c>
      <c r="X423" s="31"/>
      <c r="Y423" s="486"/>
      <c r="Z423" s="31"/>
      <c r="AA423" s="31"/>
      <c r="AB423" s="31"/>
    </row>
    <row r="424" spans="1:38" ht="13.05" hidden="1" x14ac:dyDescent="0.3">
      <c r="A424" s="542">
        <v>3113</v>
      </c>
      <c r="B424" s="535" t="s">
        <v>6</v>
      </c>
      <c r="C424" s="94"/>
      <c r="D424" s="63"/>
      <c r="E424" s="63"/>
      <c r="F424" s="95"/>
      <c r="G424" s="95"/>
      <c r="H424" s="95"/>
      <c r="I424" s="95"/>
      <c r="J424" s="95"/>
      <c r="K424" s="95"/>
      <c r="L424" s="95"/>
      <c r="M424" s="95"/>
      <c r="N424" s="95"/>
      <c r="O424" s="95"/>
      <c r="P424" s="95"/>
      <c r="Q424" s="95"/>
      <c r="R424" s="95"/>
      <c r="S424" s="95"/>
      <c r="T424" s="95"/>
      <c r="U424" s="95"/>
      <c r="V424" s="506">
        <f t="shared" si="357"/>
        <v>0</v>
      </c>
      <c r="W424" s="506">
        <f t="shared" si="358"/>
        <v>0</v>
      </c>
      <c r="X424" s="31"/>
      <c r="Y424" s="486"/>
      <c r="Z424" s="31"/>
      <c r="AA424" s="31"/>
      <c r="AB424" s="31"/>
    </row>
    <row r="425" spans="1:38" ht="13.05" hidden="1" x14ac:dyDescent="0.3">
      <c r="A425" s="541">
        <v>313</v>
      </c>
      <c r="B425" s="89" t="s">
        <v>8</v>
      </c>
      <c r="C425" s="90">
        <f t="shared" ref="C425:F425" si="375">SUM(C426:C428)</f>
        <v>0</v>
      </c>
      <c r="D425" s="62"/>
      <c r="E425" s="62">
        <f t="shared" ref="E425" si="376">SUM(E426:E428)</f>
        <v>0</v>
      </c>
      <c r="F425" s="91">
        <f t="shared" si="375"/>
        <v>0</v>
      </c>
      <c r="G425" s="91">
        <f t="shared" ref="G425:H425" si="377">SUM(G426:G428)</f>
        <v>0</v>
      </c>
      <c r="H425" s="91">
        <f t="shared" si="377"/>
        <v>0</v>
      </c>
      <c r="I425" s="91"/>
      <c r="J425" s="91"/>
      <c r="K425" s="91"/>
      <c r="L425" s="91"/>
      <c r="M425" s="91"/>
      <c r="N425" s="91">
        <f t="shared" ref="N425:O425" si="378">SUM(N426:N428)</f>
        <v>0</v>
      </c>
      <c r="O425" s="91">
        <f t="shared" si="378"/>
        <v>0</v>
      </c>
      <c r="P425" s="91"/>
      <c r="Q425" s="91"/>
      <c r="R425" s="91"/>
      <c r="S425" s="91">
        <f t="shared" ref="S425" si="379">SUM(S426:S428)</f>
        <v>0</v>
      </c>
      <c r="T425" s="91"/>
      <c r="U425" s="91">
        <f t="shared" ref="U425" si="380">SUM(U426:U428)</f>
        <v>0</v>
      </c>
      <c r="V425" s="506">
        <f t="shared" si="357"/>
        <v>0</v>
      </c>
      <c r="W425" s="506">
        <f t="shared" si="358"/>
        <v>0</v>
      </c>
      <c r="X425" s="31"/>
      <c r="Y425" s="486"/>
      <c r="Z425" s="31"/>
      <c r="AA425" s="31"/>
      <c r="AB425" s="31"/>
    </row>
    <row r="426" spans="1:38" ht="13.05" hidden="1" x14ac:dyDescent="0.3">
      <c r="A426" s="542">
        <v>3131</v>
      </c>
      <c r="B426" s="535" t="s">
        <v>9</v>
      </c>
      <c r="C426" s="94"/>
      <c r="D426" s="63"/>
      <c r="E426" s="63"/>
      <c r="F426" s="95"/>
      <c r="G426" s="95"/>
      <c r="H426" s="95"/>
      <c r="I426" s="95"/>
      <c r="J426" s="95"/>
      <c r="K426" s="95"/>
      <c r="L426" s="95"/>
      <c r="M426" s="95"/>
      <c r="N426" s="95"/>
      <c r="O426" s="95"/>
      <c r="P426" s="95"/>
      <c r="Q426" s="95"/>
      <c r="R426" s="95"/>
      <c r="S426" s="95"/>
      <c r="T426" s="95"/>
      <c r="U426" s="95"/>
      <c r="V426" s="506">
        <f t="shared" si="357"/>
        <v>0</v>
      </c>
      <c r="W426" s="506">
        <f t="shared" si="358"/>
        <v>0</v>
      </c>
      <c r="X426" s="31"/>
      <c r="Y426" s="486"/>
      <c r="Z426" s="31"/>
      <c r="AA426" s="31"/>
      <c r="AB426" s="31"/>
    </row>
    <row r="427" spans="1:38" ht="13.05" hidden="1" x14ac:dyDescent="0.3">
      <c r="A427" s="542">
        <v>3132</v>
      </c>
      <c r="B427" s="535" t="s">
        <v>10</v>
      </c>
      <c r="C427" s="94"/>
      <c r="D427" s="63"/>
      <c r="E427" s="63"/>
      <c r="F427" s="95"/>
      <c r="G427" s="95"/>
      <c r="H427" s="95"/>
      <c r="I427" s="95"/>
      <c r="J427" s="95"/>
      <c r="K427" s="95"/>
      <c r="L427" s="95"/>
      <c r="M427" s="95"/>
      <c r="N427" s="95"/>
      <c r="O427" s="95"/>
      <c r="P427" s="95"/>
      <c r="Q427" s="95"/>
      <c r="R427" s="95"/>
      <c r="S427" s="95"/>
      <c r="T427" s="95"/>
      <c r="U427" s="95"/>
      <c r="V427" s="506">
        <f t="shared" si="357"/>
        <v>0</v>
      </c>
      <c r="W427" s="506">
        <f t="shared" si="358"/>
        <v>0</v>
      </c>
      <c r="X427" s="31"/>
      <c r="Y427" s="486"/>
      <c r="Z427" s="31"/>
      <c r="AA427" s="31"/>
      <c r="AB427" s="31"/>
    </row>
    <row r="428" spans="1:38" ht="13.05" hidden="1" x14ac:dyDescent="0.3">
      <c r="A428" s="542">
        <v>3133</v>
      </c>
      <c r="B428" s="535" t="s">
        <v>11</v>
      </c>
      <c r="C428" s="94"/>
      <c r="D428" s="63"/>
      <c r="E428" s="63"/>
      <c r="F428" s="95"/>
      <c r="G428" s="95"/>
      <c r="H428" s="95"/>
      <c r="I428" s="95"/>
      <c r="J428" s="95"/>
      <c r="K428" s="95"/>
      <c r="L428" s="95"/>
      <c r="M428" s="95"/>
      <c r="N428" s="95"/>
      <c r="O428" s="95"/>
      <c r="P428" s="95"/>
      <c r="Q428" s="95"/>
      <c r="R428" s="95"/>
      <c r="S428" s="95"/>
      <c r="T428" s="95"/>
      <c r="U428" s="95"/>
      <c r="V428" s="506">
        <f t="shared" si="357"/>
        <v>0</v>
      </c>
      <c r="W428" s="506">
        <f t="shared" si="358"/>
        <v>0</v>
      </c>
      <c r="X428" s="31"/>
      <c r="Y428" s="486"/>
      <c r="Z428" s="31"/>
      <c r="AA428" s="31"/>
      <c r="AB428" s="31"/>
    </row>
    <row r="429" spans="1:38" ht="12.6" customHeight="1" x14ac:dyDescent="0.3">
      <c r="A429" s="540" t="s">
        <v>317</v>
      </c>
      <c r="B429" s="145" t="s">
        <v>318</v>
      </c>
      <c r="C429" s="146">
        <f>SUM(C430,C439,C445,C447)</f>
        <v>123000</v>
      </c>
      <c r="D429" s="142"/>
      <c r="E429" s="142">
        <f t="shared" ref="E429:U429" si="381">SUM(E430,E439,E445,E447)</f>
        <v>61000</v>
      </c>
      <c r="F429" s="147">
        <f t="shared" si="381"/>
        <v>93000</v>
      </c>
      <c r="G429" s="147">
        <f t="shared" si="381"/>
        <v>16000</v>
      </c>
      <c r="H429" s="147">
        <f t="shared" si="381"/>
        <v>265000</v>
      </c>
      <c r="I429" s="147">
        <f t="shared" si="381"/>
        <v>217000</v>
      </c>
      <c r="J429" s="147">
        <f t="shared" si="381"/>
        <v>0</v>
      </c>
      <c r="K429" s="147">
        <f t="shared" si="381"/>
        <v>0</v>
      </c>
      <c r="L429" s="147">
        <f t="shared" si="381"/>
        <v>0</v>
      </c>
      <c r="M429" s="147">
        <f t="shared" si="381"/>
        <v>48000</v>
      </c>
      <c r="N429" s="147">
        <f t="shared" si="381"/>
        <v>7000</v>
      </c>
      <c r="O429" s="147">
        <f t="shared" si="381"/>
        <v>0</v>
      </c>
      <c r="P429" s="147">
        <f t="shared" si="381"/>
        <v>17000</v>
      </c>
      <c r="Q429" s="147">
        <f t="shared" si="381"/>
        <v>28000</v>
      </c>
      <c r="R429" s="147">
        <f t="shared" si="381"/>
        <v>0</v>
      </c>
      <c r="S429" s="87">
        <f t="shared" si="381"/>
        <v>-31000</v>
      </c>
      <c r="T429" s="87">
        <f t="shared" si="381"/>
        <v>10000</v>
      </c>
      <c r="U429" s="87">
        <f t="shared" si="381"/>
        <v>28000</v>
      </c>
      <c r="V429" s="506">
        <f t="shared" si="357"/>
        <v>-31000</v>
      </c>
      <c r="W429" s="506">
        <f t="shared" si="358"/>
        <v>0</v>
      </c>
      <c r="X429" s="31"/>
      <c r="Y429" s="486"/>
      <c r="Z429" s="31"/>
      <c r="AA429" s="31"/>
      <c r="AB429" s="31"/>
    </row>
    <row r="430" spans="1:38" x14ac:dyDescent="0.3">
      <c r="A430" s="541">
        <v>321</v>
      </c>
      <c r="B430" s="89" t="s">
        <v>12</v>
      </c>
      <c r="C430" s="90">
        <f t="shared" ref="C430:U430" si="382">SUM(C431:C432)</f>
        <v>12000</v>
      </c>
      <c r="D430" s="62"/>
      <c r="E430" s="62">
        <f t="shared" ref="E430" si="383">SUM(E431:E432)</f>
        <v>3000</v>
      </c>
      <c r="F430" s="91">
        <f t="shared" si="382"/>
        <v>9000</v>
      </c>
      <c r="G430" s="91">
        <f t="shared" si="382"/>
        <v>2000</v>
      </c>
      <c r="H430" s="91">
        <f t="shared" si="382"/>
        <v>12000</v>
      </c>
      <c r="I430" s="91">
        <f t="shared" si="382"/>
        <v>0</v>
      </c>
      <c r="J430" s="91">
        <f t="shared" si="382"/>
        <v>0</v>
      </c>
      <c r="K430" s="91">
        <f t="shared" si="382"/>
        <v>0</v>
      </c>
      <c r="L430" s="91">
        <f t="shared" si="382"/>
        <v>0</v>
      </c>
      <c r="M430" s="91">
        <f t="shared" si="382"/>
        <v>12000</v>
      </c>
      <c r="N430" s="91">
        <f t="shared" si="382"/>
        <v>1000</v>
      </c>
      <c r="O430" s="91">
        <f t="shared" si="382"/>
        <v>0</v>
      </c>
      <c r="P430" s="91">
        <f t="shared" si="382"/>
        <v>1500</v>
      </c>
      <c r="Q430" s="91">
        <f t="shared" si="382"/>
        <v>1500</v>
      </c>
      <c r="R430" s="91">
        <f t="shared" si="382"/>
        <v>0</v>
      </c>
      <c r="S430" s="91">
        <f t="shared" si="382"/>
        <v>-10500</v>
      </c>
      <c r="T430" s="91">
        <f t="shared" si="382"/>
        <v>500</v>
      </c>
      <c r="U430" s="91">
        <f t="shared" si="382"/>
        <v>1500</v>
      </c>
      <c r="V430" s="506">
        <f t="shared" si="357"/>
        <v>-10500</v>
      </c>
      <c r="W430" s="506">
        <f t="shared" si="358"/>
        <v>0</v>
      </c>
      <c r="X430" s="31"/>
      <c r="Y430" s="486"/>
      <c r="Z430" s="31"/>
      <c r="AA430" s="31"/>
      <c r="AB430" s="31"/>
    </row>
    <row r="431" spans="1:38" x14ac:dyDescent="0.3">
      <c r="A431" s="542">
        <v>3211</v>
      </c>
      <c r="B431" s="535" t="s">
        <v>13</v>
      </c>
      <c r="C431" s="94">
        <v>5000</v>
      </c>
      <c r="D431" s="63"/>
      <c r="E431" s="63">
        <v>2000</v>
      </c>
      <c r="F431" s="95">
        <v>4000</v>
      </c>
      <c r="G431" s="95">
        <v>1000</v>
      </c>
      <c r="H431" s="95">
        <v>5000</v>
      </c>
      <c r="I431" s="95"/>
      <c r="J431" s="95"/>
      <c r="K431" s="63"/>
      <c r="L431" s="63"/>
      <c r="M431" s="63">
        <f>H431-I431+J431-K431+L431</f>
        <v>5000</v>
      </c>
      <c r="N431" s="95">
        <v>1000</v>
      </c>
      <c r="O431" s="95"/>
      <c r="P431" s="63">
        <v>1500</v>
      </c>
      <c r="Q431" s="63">
        <v>1500</v>
      </c>
      <c r="R431" s="63"/>
      <c r="S431" s="70">
        <f>P431-M431</f>
        <v>-3500</v>
      </c>
      <c r="T431" s="70">
        <f>P431-N431</f>
        <v>500</v>
      </c>
      <c r="U431" s="70">
        <f>Q431-O431</f>
        <v>1500</v>
      </c>
      <c r="V431" s="506">
        <f t="shared" si="357"/>
        <v>-3500</v>
      </c>
      <c r="W431" s="506">
        <f t="shared" si="358"/>
        <v>0</v>
      </c>
      <c r="X431" s="31"/>
      <c r="Y431" s="486"/>
      <c r="Z431" s="31"/>
      <c r="AA431" s="31"/>
      <c r="AB431" s="31"/>
    </row>
    <row r="432" spans="1:38" ht="12" hidden="1" customHeight="1" x14ac:dyDescent="0.3">
      <c r="A432" s="542">
        <v>3213</v>
      </c>
      <c r="B432" s="535" t="s">
        <v>15</v>
      </c>
      <c r="C432" s="94">
        <v>7000</v>
      </c>
      <c r="D432" s="63"/>
      <c r="E432" s="63">
        <v>1000</v>
      </c>
      <c r="F432" s="95">
        <v>5000</v>
      </c>
      <c r="G432" s="95">
        <v>1000</v>
      </c>
      <c r="H432" s="95">
        <v>7000</v>
      </c>
      <c r="I432" s="95"/>
      <c r="J432" s="95"/>
      <c r="K432" s="63"/>
      <c r="L432" s="63"/>
      <c r="M432" s="63">
        <f>H432-I432+J432-K432+L432</f>
        <v>7000</v>
      </c>
      <c r="N432" s="95"/>
      <c r="O432" s="95"/>
      <c r="P432" s="63"/>
      <c r="Q432" s="63"/>
      <c r="R432" s="63"/>
      <c r="S432" s="70">
        <f>P432-M432</f>
        <v>-7000</v>
      </c>
      <c r="T432" s="70">
        <f>P432-N432</f>
        <v>0</v>
      </c>
      <c r="U432" s="70">
        <f>Q432-O432</f>
        <v>0</v>
      </c>
      <c r="V432" s="506">
        <f t="shared" si="357"/>
        <v>-7000</v>
      </c>
      <c r="W432" s="506">
        <f t="shared" si="358"/>
        <v>0</v>
      </c>
      <c r="X432" s="31"/>
      <c r="Y432" s="486"/>
      <c r="Z432" s="31"/>
      <c r="AA432" s="31"/>
      <c r="AB432" s="31"/>
    </row>
    <row r="433" spans="1:38" s="2" customFormat="1" ht="13.05" hidden="1" x14ac:dyDescent="0.3">
      <c r="A433" s="557" t="s">
        <v>153</v>
      </c>
      <c r="B433" s="558" t="s">
        <v>16</v>
      </c>
      <c r="C433" s="559">
        <f t="shared" ref="C433:G433" si="384">SUM(C434:C438)</f>
        <v>0</v>
      </c>
      <c r="D433" s="79"/>
      <c r="E433" s="79">
        <f t="shared" ref="E433" si="385">SUM(E434:E438)</f>
        <v>0</v>
      </c>
      <c r="F433" s="369">
        <f t="shared" si="384"/>
        <v>0</v>
      </c>
      <c r="G433" s="369">
        <f t="shared" si="384"/>
        <v>0</v>
      </c>
      <c r="H433" s="369">
        <f t="shared" ref="H433:S433" si="386">SUM(H434:H438)</f>
        <v>0</v>
      </c>
      <c r="I433" s="369"/>
      <c r="J433" s="369"/>
      <c r="K433" s="369"/>
      <c r="L433" s="369"/>
      <c r="M433" s="369"/>
      <c r="N433" s="369">
        <f t="shared" si="386"/>
        <v>0</v>
      </c>
      <c r="O433" s="369">
        <f t="shared" si="386"/>
        <v>0</v>
      </c>
      <c r="P433" s="369"/>
      <c r="Q433" s="369"/>
      <c r="R433" s="369"/>
      <c r="S433" s="369">
        <f t="shared" si="386"/>
        <v>0</v>
      </c>
      <c r="T433" s="369"/>
      <c r="U433" s="369">
        <f t="shared" ref="U433" si="387">SUM(U434:U438)</f>
        <v>0</v>
      </c>
      <c r="V433" s="506">
        <f t="shared" si="357"/>
        <v>0</v>
      </c>
      <c r="W433" s="506">
        <f t="shared" si="358"/>
        <v>0</v>
      </c>
      <c r="X433" s="34"/>
      <c r="Y433" s="490"/>
      <c r="Z433" s="34"/>
      <c r="AA433" s="34"/>
      <c r="AB433" s="34"/>
      <c r="AH433" s="525"/>
      <c r="AI433" s="525"/>
      <c r="AJ433" s="525"/>
      <c r="AK433" s="525"/>
      <c r="AL433" s="525"/>
    </row>
    <row r="434" spans="1:38" ht="13.05" hidden="1" x14ac:dyDescent="0.3">
      <c r="A434" s="130" t="s">
        <v>154</v>
      </c>
      <c r="B434" s="107" t="s">
        <v>17</v>
      </c>
      <c r="C434" s="560"/>
      <c r="D434" s="81"/>
      <c r="E434" s="81"/>
      <c r="F434" s="370"/>
      <c r="G434" s="370"/>
      <c r="H434" s="370"/>
      <c r="I434" s="370"/>
      <c r="J434" s="370"/>
      <c r="K434" s="370"/>
      <c r="L434" s="370"/>
      <c r="M434" s="370"/>
      <c r="N434" s="370"/>
      <c r="O434" s="370"/>
      <c r="P434" s="370"/>
      <c r="Q434" s="370"/>
      <c r="R434" s="370"/>
      <c r="S434" s="370"/>
      <c r="T434" s="370"/>
      <c r="U434" s="370"/>
      <c r="V434" s="506">
        <f t="shared" si="357"/>
        <v>0</v>
      </c>
      <c r="W434" s="506">
        <f t="shared" si="358"/>
        <v>0</v>
      </c>
      <c r="X434" s="31"/>
      <c r="Y434" s="486"/>
      <c r="Z434" s="31"/>
      <c r="AA434" s="31"/>
      <c r="AB434" s="31"/>
    </row>
    <row r="435" spans="1:38" ht="13.05" hidden="1" x14ac:dyDescent="0.3">
      <c r="A435" s="130" t="s">
        <v>155</v>
      </c>
      <c r="B435" s="107" t="s">
        <v>18</v>
      </c>
      <c r="C435" s="560"/>
      <c r="D435" s="81"/>
      <c r="E435" s="81"/>
      <c r="F435" s="370"/>
      <c r="G435" s="370"/>
      <c r="H435" s="370"/>
      <c r="I435" s="370"/>
      <c r="J435" s="370"/>
      <c r="K435" s="370"/>
      <c r="L435" s="370"/>
      <c r="M435" s="370"/>
      <c r="N435" s="370"/>
      <c r="O435" s="370"/>
      <c r="P435" s="370"/>
      <c r="Q435" s="370"/>
      <c r="R435" s="370"/>
      <c r="S435" s="370"/>
      <c r="T435" s="370"/>
      <c r="U435" s="370"/>
      <c r="V435" s="506">
        <f t="shared" si="357"/>
        <v>0</v>
      </c>
      <c r="W435" s="506">
        <f t="shared" si="358"/>
        <v>0</v>
      </c>
      <c r="X435" s="31"/>
      <c r="Y435" s="486"/>
      <c r="Z435" s="31"/>
      <c r="AA435" s="31"/>
      <c r="AB435" s="31"/>
    </row>
    <row r="436" spans="1:38" ht="13.05" hidden="1" x14ac:dyDescent="0.3">
      <c r="A436" s="130" t="s">
        <v>156</v>
      </c>
      <c r="B436" s="107" t="s">
        <v>19</v>
      </c>
      <c r="C436" s="560"/>
      <c r="D436" s="81"/>
      <c r="E436" s="81"/>
      <c r="F436" s="370"/>
      <c r="G436" s="370"/>
      <c r="H436" s="370"/>
      <c r="I436" s="370"/>
      <c r="J436" s="370"/>
      <c r="K436" s="370"/>
      <c r="L436" s="370"/>
      <c r="M436" s="370"/>
      <c r="N436" s="370"/>
      <c r="O436" s="370"/>
      <c r="P436" s="370"/>
      <c r="Q436" s="370"/>
      <c r="R436" s="370"/>
      <c r="S436" s="370"/>
      <c r="T436" s="370"/>
      <c r="U436" s="370"/>
      <c r="V436" s="506">
        <f t="shared" si="357"/>
        <v>0</v>
      </c>
      <c r="W436" s="506">
        <f t="shared" si="358"/>
        <v>0</v>
      </c>
      <c r="X436" s="31"/>
      <c r="Y436" s="486"/>
      <c r="Z436" s="31"/>
      <c r="AA436" s="31"/>
      <c r="AB436" s="31"/>
    </row>
    <row r="437" spans="1:38" ht="13.05" hidden="1" x14ac:dyDescent="0.3">
      <c r="A437" s="130" t="s">
        <v>158</v>
      </c>
      <c r="B437" s="107" t="s">
        <v>21</v>
      </c>
      <c r="C437" s="560"/>
      <c r="D437" s="81"/>
      <c r="E437" s="81"/>
      <c r="F437" s="370"/>
      <c r="G437" s="370"/>
      <c r="H437" s="370"/>
      <c r="I437" s="370"/>
      <c r="J437" s="370"/>
      <c r="K437" s="370"/>
      <c r="L437" s="370"/>
      <c r="M437" s="370"/>
      <c r="N437" s="370"/>
      <c r="O437" s="370"/>
      <c r="P437" s="370"/>
      <c r="Q437" s="370"/>
      <c r="R437" s="370"/>
      <c r="S437" s="370"/>
      <c r="T437" s="370"/>
      <c r="U437" s="370"/>
      <c r="V437" s="506">
        <f t="shared" si="357"/>
        <v>0</v>
      </c>
      <c r="W437" s="506">
        <f t="shared" si="358"/>
        <v>0</v>
      </c>
      <c r="X437" s="31"/>
      <c r="Y437" s="486"/>
      <c r="Z437" s="31"/>
      <c r="AA437" s="31"/>
      <c r="AB437" s="31"/>
    </row>
    <row r="438" spans="1:38" ht="13.05" hidden="1" x14ac:dyDescent="0.3">
      <c r="A438" s="130" t="s">
        <v>185</v>
      </c>
      <c r="B438" s="107" t="s">
        <v>22</v>
      </c>
      <c r="C438" s="560"/>
      <c r="D438" s="81"/>
      <c r="E438" s="81"/>
      <c r="F438" s="370"/>
      <c r="G438" s="370"/>
      <c r="H438" s="370"/>
      <c r="I438" s="370"/>
      <c r="J438" s="370"/>
      <c r="K438" s="370"/>
      <c r="L438" s="370"/>
      <c r="M438" s="370"/>
      <c r="N438" s="370"/>
      <c r="O438" s="370"/>
      <c r="P438" s="370"/>
      <c r="Q438" s="370"/>
      <c r="R438" s="370"/>
      <c r="S438" s="370"/>
      <c r="T438" s="370"/>
      <c r="U438" s="370"/>
      <c r="V438" s="506">
        <f t="shared" si="357"/>
        <v>0</v>
      </c>
      <c r="W438" s="506">
        <f t="shared" si="358"/>
        <v>0</v>
      </c>
      <c r="X438" s="31"/>
      <c r="Y438" s="486"/>
      <c r="Z438" s="31"/>
      <c r="AA438" s="31"/>
      <c r="AB438" s="31"/>
    </row>
    <row r="439" spans="1:38" s="2" customFormat="1" x14ac:dyDescent="0.3">
      <c r="A439" s="586" t="s">
        <v>159</v>
      </c>
      <c r="B439" s="558" t="s">
        <v>123</v>
      </c>
      <c r="C439" s="559">
        <f>SUM(C442:C444)</f>
        <v>108000</v>
      </c>
      <c r="D439" s="79"/>
      <c r="E439" s="79">
        <f>SUM(E442:E444)</f>
        <v>55000</v>
      </c>
      <c r="F439" s="369">
        <f t="shared" ref="F439:U439" si="388">SUM(F442:F444)</f>
        <v>82000</v>
      </c>
      <c r="G439" s="369">
        <f t="shared" si="388"/>
        <v>13000</v>
      </c>
      <c r="H439" s="369">
        <f t="shared" si="388"/>
        <v>249000</v>
      </c>
      <c r="I439" s="369">
        <f t="shared" si="388"/>
        <v>217000</v>
      </c>
      <c r="J439" s="369">
        <f t="shared" si="388"/>
        <v>0</v>
      </c>
      <c r="K439" s="369">
        <f t="shared" si="388"/>
        <v>0</v>
      </c>
      <c r="L439" s="369">
        <f t="shared" si="388"/>
        <v>0</v>
      </c>
      <c r="M439" s="369">
        <f t="shared" si="388"/>
        <v>32000</v>
      </c>
      <c r="N439" s="369">
        <f t="shared" si="388"/>
        <v>6000</v>
      </c>
      <c r="O439" s="369">
        <f t="shared" si="388"/>
        <v>0</v>
      </c>
      <c r="P439" s="369">
        <f t="shared" si="388"/>
        <v>15000</v>
      </c>
      <c r="Q439" s="369">
        <f t="shared" si="388"/>
        <v>26000</v>
      </c>
      <c r="R439" s="369">
        <f t="shared" si="388"/>
        <v>0</v>
      </c>
      <c r="S439" s="369">
        <f t="shared" si="388"/>
        <v>-17000</v>
      </c>
      <c r="T439" s="369">
        <f t="shared" si="388"/>
        <v>9000</v>
      </c>
      <c r="U439" s="369">
        <f t="shared" si="388"/>
        <v>26000</v>
      </c>
      <c r="V439" s="506">
        <f t="shared" si="357"/>
        <v>-17000</v>
      </c>
      <c r="W439" s="506">
        <f t="shared" si="358"/>
        <v>0</v>
      </c>
      <c r="X439" s="34"/>
      <c r="Y439" s="490"/>
      <c r="Z439" s="34"/>
      <c r="AA439" s="34"/>
      <c r="AB439" s="34"/>
      <c r="AH439" s="525"/>
      <c r="AI439" s="525"/>
      <c r="AJ439" s="525"/>
      <c r="AK439" s="525"/>
      <c r="AL439" s="525"/>
    </row>
    <row r="440" spans="1:38" ht="13.5" hidden="1" customHeight="1" x14ac:dyDescent="0.3">
      <c r="A440" s="92">
        <v>3233</v>
      </c>
      <c r="B440" s="535" t="s">
        <v>26</v>
      </c>
      <c r="C440" s="94"/>
      <c r="D440" s="63"/>
      <c r="E440" s="63"/>
      <c r="F440" s="95"/>
      <c r="G440" s="95"/>
      <c r="H440" s="95"/>
      <c r="I440" s="95"/>
      <c r="J440" s="95"/>
      <c r="K440" s="95"/>
      <c r="L440" s="95"/>
      <c r="M440" s="95"/>
      <c r="N440" s="95"/>
      <c r="O440" s="95"/>
      <c r="P440" s="95"/>
      <c r="Q440" s="95"/>
      <c r="R440" s="95"/>
      <c r="S440" s="95"/>
      <c r="T440" s="95"/>
      <c r="U440" s="95"/>
      <c r="V440" s="506">
        <f t="shared" si="357"/>
        <v>0</v>
      </c>
      <c r="W440" s="506">
        <f t="shared" si="358"/>
        <v>0</v>
      </c>
      <c r="X440" s="31"/>
      <c r="Y440" s="486"/>
      <c r="Z440" s="31"/>
      <c r="AA440" s="31"/>
      <c r="AB440" s="31"/>
    </row>
    <row r="441" spans="1:38" ht="13.05" hidden="1" x14ac:dyDescent="0.3">
      <c r="A441" s="92">
        <v>3235</v>
      </c>
      <c r="B441" s="93" t="s">
        <v>28</v>
      </c>
      <c r="C441" s="551"/>
      <c r="D441" s="71"/>
      <c r="E441" s="71"/>
      <c r="F441" s="368"/>
      <c r="G441" s="368"/>
      <c r="H441" s="368"/>
      <c r="I441" s="368"/>
      <c r="J441" s="368"/>
      <c r="K441" s="368"/>
      <c r="L441" s="368"/>
      <c r="M441" s="368"/>
      <c r="N441" s="368"/>
      <c r="O441" s="368"/>
      <c r="P441" s="368"/>
      <c r="Q441" s="368"/>
      <c r="R441" s="368"/>
      <c r="S441" s="368"/>
      <c r="T441" s="368"/>
      <c r="U441" s="368"/>
      <c r="V441" s="506">
        <f t="shared" si="357"/>
        <v>0</v>
      </c>
      <c r="W441" s="506">
        <f t="shared" si="358"/>
        <v>0</v>
      </c>
      <c r="X441" s="31"/>
      <c r="Y441" s="486"/>
      <c r="Z441" s="31"/>
      <c r="AA441" s="31"/>
      <c r="AB441" s="31"/>
    </row>
    <row r="442" spans="1:38" x14ac:dyDescent="0.3">
      <c r="A442" s="92">
        <v>3235</v>
      </c>
      <c r="B442" s="93" t="s">
        <v>28</v>
      </c>
      <c r="C442" s="551">
        <v>3000</v>
      </c>
      <c r="D442" s="71"/>
      <c r="E442" s="71">
        <v>0</v>
      </c>
      <c r="F442" s="368">
        <v>2000</v>
      </c>
      <c r="G442" s="368">
        <v>1000</v>
      </c>
      <c r="H442" s="368">
        <v>7000</v>
      </c>
      <c r="I442" s="368"/>
      <c r="J442" s="368"/>
      <c r="K442" s="71"/>
      <c r="L442" s="71"/>
      <c r="M442" s="63">
        <f>H442-I442+J442-K442+L442</f>
        <v>7000</v>
      </c>
      <c r="N442" s="368">
        <v>1000</v>
      </c>
      <c r="O442" s="368"/>
      <c r="P442" s="71">
        <v>1000</v>
      </c>
      <c r="Q442" s="71">
        <v>1000</v>
      </c>
      <c r="R442" s="71"/>
      <c r="S442" s="70">
        <f>P442-M442</f>
        <v>-6000</v>
      </c>
      <c r="T442" s="70">
        <f t="shared" ref="T442:U444" si="389">P442-N442</f>
        <v>0</v>
      </c>
      <c r="U442" s="70">
        <f t="shared" si="389"/>
        <v>1000</v>
      </c>
      <c r="V442" s="506">
        <f t="shared" si="357"/>
        <v>-6000</v>
      </c>
      <c r="W442" s="506">
        <f t="shared" si="358"/>
        <v>0</v>
      </c>
      <c r="X442" s="31"/>
      <c r="Y442" s="486"/>
      <c r="Z442" s="31"/>
      <c r="AA442" s="31"/>
      <c r="AB442" s="31"/>
    </row>
    <row r="443" spans="1:38" x14ac:dyDescent="0.3">
      <c r="A443" s="130" t="s">
        <v>166</v>
      </c>
      <c r="B443" s="107" t="s">
        <v>30</v>
      </c>
      <c r="C443" s="560">
        <v>102000</v>
      </c>
      <c r="D443" s="81"/>
      <c r="E443" s="81">
        <v>52000</v>
      </c>
      <c r="F443" s="370">
        <v>78000</v>
      </c>
      <c r="G443" s="370">
        <v>11000</v>
      </c>
      <c r="H443" s="370">
        <v>237000</v>
      </c>
      <c r="I443" s="370">
        <v>217000</v>
      </c>
      <c r="J443" s="370"/>
      <c r="K443" s="81"/>
      <c r="L443" s="81"/>
      <c r="M443" s="63">
        <f>H443-I443+J443-K443+L443</f>
        <v>20000</v>
      </c>
      <c r="N443" s="370">
        <v>5000</v>
      </c>
      <c r="O443" s="370"/>
      <c r="P443" s="81">
        <v>7000</v>
      </c>
      <c r="Q443" s="81">
        <v>17000</v>
      </c>
      <c r="R443" s="81"/>
      <c r="S443" s="70">
        <f>P443-M443</f>
        <v>-13000</v>
      </c>
      <c r="T443" s="70">
        <f t="shared" si="389"/>
        <v>2000</v>
      </c>
      <c r="U443" s="70">
        <f t="shared" si="389"/>
        <v>17000</v>
      </c>
      <c r="V443" s="506">
        <f t="shared" si="357"/>
        <v>-13000</v>
      </c>
      <c r="W443" s="506">
        <f t="shared" si="358"/>
        <v>0</v>
      </c>
      <c r="X443" s="31"/>
      <c r="Y443" s="486"/>
      <c r="Z443" s="31"/>
      <c r="AA443" s="31"/>
      <c r="AB443" s="31"/>
    </row>
    <row r="444" spans="1:38" x14ac:dyDescent="0.3">
      <c r="A444" s="130">
        <v>3239</v>
      </c>
      <c r="B444" s="93" t="s">
        <v>31</v>
      </c>
      <c r="C444" s="560">
        <v>3000</v>
      </c>
      <c r="D444" s="81"/>
      <c r="E444" s="81">
        <v>3000</v>
      </c>
      <c r="F444" s="370">
        <v>2000</v>
      </c>
      <c r="G444" s="370">
        <v>1000</v>
      </c>
      <c r="H444" s="370">
        <v>5000</v>
      </c>
      <c r="I444" s="370"/>
      <c r="J444" s="370"/>
      <c r="K444" s="81"/>
      <c r="L444" s="81"/>
      <c r="M444" s="63">
        <f>H444-I444+J444-K444+L444</f>
        <v>5000</v>
      </c>
      <c r="N444" s="370"/>
      <c r="O444" s="370"/>
      <c r="P444" s="81">
        <v>7000</v>
      </c>
      <c r="Q444" s="81">
        <v>8000</v>
      </c>
      <c r="R444" s="81"/>
      <c r="S444" s="70">
        <f>P444-M444</f>
        <v>2000</v>
      </c>
      <c r="T444" s="70">
        <f t="shared" si="389"/>
        <v>7000</v>
      </c>
      <c r="U444" s="70">
        <f t="shared" si="389"/>
        <v>8000</v>
      </c>
      <c r="V444" s="506">
        <f t="shared" si="357"/>
        <v>2000</v>
      </c>
      <c r="W444" s="506">
        <f t="shared" si="358"/>
        <v>0</v>
      </c>
      <c r="X444" s="31"/>
      <c r="Y444" s="486"/>
      <c r="Z444" s="31"/>
      <c r="AA444" s="31"/>
      <c r="AB444" s="31"/>
    </row>
    <row r="445" spans="1:38" x14ac:dyDescent="0.3">
      <c r="A445" s="88">
        <v>324</v>
      </c>
      <c r="B445" s="556" t="s">
        <v>32</v>
      </c>
      <c r="C445" s="90">
        <f t="shared" ref="C445:U445" si="390">SUM(C446)</f>
        <v>3000</v>
      </c>
      <c r="D445" s="62"/>
      <c r="E445" s="62">
        <f t="shared" si="390"/>
        <v>3000</v>
      </c>
      <c r="F445" s="91">
        <f t="shared" si="390"/>
        <v>2000</v>
      </c>
      <c r="G445" s="91">
        <f t="shared" si="390"/>
        <v>1000</v>
      </c>
      <c r="H445" s="91">
        <f t="shared" si="390"/>
        <v>3000</v>
      </c>
      <c r="I445" s="91">
        <f t="shared" si="390"/>
        <v>0</v>
      </c>
      <c r="J445" s="91">
        <f t="shared" si="390"/>
        <v>0</v>
      </c>
      <c r="K445" s="91">
        <f t="shared" si="390"/>
        <v>0</v>
      </c>
      <c r="L445" s="91">
        <f t="shared" si="390"/>
        <v>0</v>
      </c>
      <c r="M445" s="91">
        <f t="shared" si="390"/>
        <v>3000</v>
      </c>
      <c r="N445" s="91">
        <f t="shared" si="390"/>
        <v>0</v>
      </c>
      <c r="O445" s="91">
        <f t="shared" si="390"/>
        <v>0</v>
      </c>
      <c r="P445" s="91">
        <f t="shared" si="390"/>
        <v>500</v>
      </c>
      <c r="Q445" s="91">
        <f t="shared" si="390"/>
        <v>500</v>
      </c>
      <c r="R445" s="91">
        <f t="shared" si="390"/>
        <v>0</v>
      </c>
      <c r="S445" s="91">
        <f t="shared" si="390"/>
        <v>-2500</v>
      </c>
      <c r="T445" s="91">
        <f t="shared" si="390"/>
        <v>500</v>
      </c>
      <c r="U445" s="91">
        <f t="shared" si="390"/>
        <v>500</v>
      </c>
      <c r="V445" s="506">
        <f t="shared" si="357"/>
        <v>-2500</v>
      </c>
      <c r="W445" s="506">
        <f t="shared" si="358"/>
        <v>0</v>
      </c>
      <c r="X445" s="31"/>
      <c r="Y445" s="486"/>
      <c r="Z445" s="31"/>
      <c r="AA445" s="31"/>
      <c r="AB445" s="31"/>
    </row>
    <row r="446" spans="1:38" x14ac:dyDescent="0.3">
      <c r="A446" s="92">
        <v>3241</v>
      </c>
      <c r="B446" s="93" t="s">
        <v>32</v>
      </c>
      <c r="C446" s="551">
        <v>3000</v>
      </c>
      <c r="D446" s="71"/>
      <c r="E446" s="71">
        <v>3000</v>
      </c>
      <c r="F446" s="368">
        <v>2000</v>
      </c>
      <c r="G446" s="368">
        <v>1000</v>
      </c>
      <c r="H446" s="368">
        <v>3000</v>
      </c>
      <c r="I446" s="368"/>
      <c r="J446" s="368"/>
      <c r="K446" s="71"/>
      <c r="L446" s="71"/>
      <c r="M446" s="63">
        <f>H446-I446+J446-K446+L446</f>
        <v>3000</v>
      </c>
      <c r="N446" s="368"/>
      <c r="O446" s="368"/>
      <c r="P446" s="71">
        <v>500</v>
      </c>
      <c r="Q446" s="71">
        <v>500</v>
      </c>
      <c r="R446" s="71"/>
      <c r="S446" s="70">
        <f>P446-M446</f>
        <v>-2500</v>
      </c>
      <c r="T446" s="70">
        <f>P446-N446</f>
        <v>500</v>
      </c>
      <c r="U446" s="70">
        <f>Q446-O446</f>
        <v>500</v>
      </c>
      <c r="V446" s="506">
        <f t="shared" si="357"/>
        <v>-2500</v>
      </c>
      <c r="W446" s="506">
        <f t="shared" si="358"/>
        <v>0</v>
      </c>
      <c r="X446" s="31"/>
      <c r="Y446" s="486"/>
      <c r="Z446" s="31"/>
      <c r="AA446" s="31"/>
      <c r="AB446" s="31"/>
    </row>
    <row r="447" spans="1:38" ht="23.25" hidden="1" customHeight="1" x14ac:dyDescent="0.3">
      <c r="A447" s="88">
        <v>329</v>
      </c>
      <c r="B447" s="89" t="s">
        <v>33</v>
      </c>
      <c r="C447" s="90">
        <f t="shared" ref="C447:U447" si="391">SUM(C448)</f>
        <v>0</v>
      </c>
      <c r="D447" s="62"/>
      <c r="E447" s="62">
        <f t="shared" si="391"/>
        <v>0</v>
      </c>
      <c r="F447" s="91">
        <f t="shared" si="391"/>
        <v>0</v>
      </c>
      <c r="G447" s="91">
        <f t="shared" si="391"/>
        <v>0</v>
      </c>
      <c r="H447" s="91">
        <f t="shared" si="391"/>
        <v>1000</v>
      </c>
      <c r="I447" s="91">
        <f t="shared" si="391"/>
        <v>0</v>
      </c>
      <c r="J447" s="91">
        <f t="shared" si="391"/>
        <v>0</v>
      </c>
      <c r="K447" s="91">
        <f t="shared" si="391"/>
        <v>0</v>
      </c>
      <c r="L447" s="91">
        <f t="shared" si="391"/>
        <v>0</v>
      </c>
      <c r="M447" s="91">
        <f t="shared" si="391"/>
        <v>1000</v>
      </c>
      <c r="N447" s="91">
        <f t="shared" si="391"/>
        <v>0</v>
      </c>
      <c r="O447" s="91">
        <f t="shared" si="391"/>
        <v>0</v>
      </c>
      <c r="P447" s="91">
        <f t="shared" si="391"/>
        <v>0</v>
      </c>
      <c r="Q447" s="91">
        <f t="shared" si="391"/>
        <v>0</v>
      </c>
      <c r="R447" s="91">
        <f t="shared" si="391"/>
        <v>0</v>
      </c>
      <c r="S447" s="91">
        <f t="shared" si="391"/>
        <v>-1000</v>
      </c>
      <c r="T447" s="91">
        <f t="shared" si="391"/>
        <v>0</v>
      </c>
      <c r="U447" s="91">
        <f t="shared" si="391"/>
        <v>0</v>
      </c>
      <c r="V447" s="506">
        <f t="shared" si="357"/>
        <v>-1000</v>
      </c>
      <c r="W447" s="506">
        <f t="shared" si="358"/>
        <v>0</v>
      </c>
      <c r="X447" s="31"/>
      <c r="Y447" s="486"/>
      <c r="Z447" s="31"/>
      <c r="AA447" s="31"/>
      <c r="AB447" s="31"/>
    </row>
    <row r="448" spans="1:38" hidden="1" x14ac:dyDescent="0.3">
      <c r="A448" s="92">
        <v>3299</v>
      </c>
      <c r="B448" s="93" t="s">
        <v>33</v>
      </c>
      <c r="C448" s="94"/>
      <c r="D448" s="63"/>
      <c r="E448" s="63"/>
      <c r="F448" s="95"/>
      <c r="G448" s="95"/>
      <c r="H448" s="95">
        <v>1000</v>
      </c>
      <c r="I448" s="95"/>
      <c r="J448" s="95"/>
      <c r="K448" s="63"/>
      <c r="L448" s="63"/>
      <c r="M448" s="63">
        <f>H448-I448+J448-K448+L448</f>
        <v>1000</v>
      </c>
      <c r="N448" s="95"/>
      <c r="O448" s="95"/>
      <c r="P448" s="63"/>
      <c r="Q448" s="63"/>
      <c r="R448" s="63"/>
      <c r="S448" s="70">
        <f>P448-M448</f>
        <v>-1000</v>
      </c>
      <c r="T448" s="70">
        <f>P448-N448</f>
        <v>0</v>
      </c>
      <c r="U448" s="70">
        <f>Q448-O448</f>
        <v>0</v>
      </c>
      <c r="V448" s="506">
        <f t="shared" si="357"/>
        <v>-1000</v>
      </c>
      <c r="W448" s="506">
        <f t="shared" si="358"/>
        <v>0</v>
      </c>
      <c r="X448" s="31"/>
      <c r="Y448" s="486"/>
      <c r="Z448" s="31"/>
      <c r="AA448" s="31"/>
      <c r="AB448" s="31"/>
    </row>
    <row r="449" spans="1:38" customFormat="1" ht="26.4" x14ac:dyDescent="0.3">
      <c r="A449" s="570" t="s">
        <v>325</v>
      </c>
      <c r="B449" s="571" t="s">
        <v>326</v>
      </c>
      <c r="C449" s="531">
        <f>SUM(C450)</f>
        <v>279000</v>
      </c>
      <c r="D449" s="141"/>
      <c r="E449" s="141">
        <f t="shared" ref="E449:U449" si="392">SUM(E450)</f>
        <v>29000</v>
      </c>
      <c r="F449" s="364">
        <f t="shared" si="392"/>
        <v>1400</v>
      </c>
      <c r="G449" s="364">
        <f t="shared" si="392"/>
        <v>0</v>
      </c>
      <c r="H449" s="364">
        <f t="shared" si="392"/>
        <v>0</v>
      </c>
      <c r="I449" s="364">
        <f t="shared" si="392"/>
        <v>0</v>
      </c>
      <c r="J449" s="364">
        <f t="shared" si="392"/>
        <v>0</v>
      </c>
      <c r="K449" s="364">
        <f t="shared" si="392"/>
        <v>0</v>
      </c>
      <c r="L449" s="364">
        <f t="shared" si="392"/>
        <v>0</v>
      </c>
      <c r="M449" s="364">
        <f t="shared" si="392"/>
        <v>0</v>
      </c>
      <c r="N449" s="364">
        <f t="shared" si="392"/>
        <v>0</v>
      </c>
      <c r="O449" s="364">
        <f t="shared" si="392"/>
        <v>0</v>
      </c>
      <c r="P449" s="364">
        <f t="shared" si="392"/>
        <v>13500</v>
      </c>
      <c r="Q449" s="364">
        <f t="shared" si="392"/>
        <v>54000</v>
      </c>
      <c r="R449" s="364">
        <f t="shared" si="392"/>
        <v>0</v>
      </c>
      <c r="S449" s="532">
        <f t="shared" si="392"/>
        <v>13500</v>
      </c>
      <c r="T449" s="532">
        <f t="shared" si="392"/>
        <v>13500</v>
      </c>
      <c r="U449" s="532">
        <f t="shared" si="392"/>
        <v>0</v>
      </c>
      <c r="V449" s="506">
        <f t="shared" si="357"/>
        <v>13500</v>
      </c>
      <c r="W449" s="506">
        <f t="shared" si="358"/>
        <v>0</v>
      </c>
      <c r="X449" s="98"/>
      <c r="Y449" s="497"/>
      <c r="Z449" s="98"/>
      <c r="AA449" s="98"/>
      <c r="AB449" s="98"/>
      <c r="AH449" s="485"/>
      <c r="AI449" s="485"/>
      <c r="AJ449" s="485"/>
      <c r="AK449" s="485"/>
      <c r="AL449" s="485"/>
    </row>
    <row r="450" spans="1:38" s="6" customFormat="1" ht="14.4" x14ac:dyDescent="0.3">
      <c r="A450" s="557" t="s">
        <v>183</v>
      </c>
      <c r="B450" s="558" t="s">
        <v>55</v>
      </c>
      <c r="C450" s="559">
        <f t="shared" ref="C450:U450" si="393">C451</f>
        <v>279000</v>
      </c>
      <c r="D450" s="79"/>
      <c r="E450" s="79">
        <f t="shared" si="393"/>
        <v>29000</v>
      </c>
      <c r="F450" s="369">
        <f t="shared" si="393"/>
        <v>1400</v>
      </c>
      <c r="G450" s="369">
        <f t="shared" si="393"/>
        <v>0</v>
      </c>
      <c r="H450" s="369">
        <f t="shared" si="393"/>
        <v>0</v>
      </c>
      <c r="I450" s="369">
        <f t="shared" si="393"/>
        <v>0</v>
      </c>
      <c r="J450" s="369">
        <f t="shared" si="393"/>
        <v>0</v>
      </c>
      <c r="K450" s="369">
        <f t="shared" si="393"/>
        <v>0</v>
      </c>
      <c r="L450" s="369">
        <f t="shared" si="393"/>
        <v>0</v>
      </c>
      <c r="M450" s="369">
        <f t="shared" si="393"/>
        <v>0</v>
      </c>
      <c r="N450" s="369">
        <f t="shared" si="393"/>
        <v>0</v>
      </c>
      <c r="O450" s="369">
        <f t="shared" si="393"/>
        <v>0</v>
      </c>
      <c r="P450" s="369">
        <f t="shared" si="393"/>
        <v>13500</v>
      </c>
      <c r="Q450" s="369">
        <f t="shared" si="393"/>
        <v>54000</v>
      </c>
      <c r="R450" s="369">
        <f t="shared" si="393"/>
        <v>0</v>
      </c>
      <c r="S450" s="369">
        <f t="shared" si="393"/>
        <v>13500</v>
      </c>
      <c r="T450" s="369">
        <f t="shared" si="393"/>
        <v>13500</v>
      </c>
      <c r="U450" s="369">
        <f t="shared" si="393"/>
        <v>0</v>
      </c>
      <c r="V450" s="506">
        <f t="shared" si="357"/>
        <v>13500</v>
      </c>
      <c r="W450" s="506">
        <f t="shared" si="358"/>
        <v>0</v>
      </c>
      <c r="X450" s="97"/>
      <c r="Y450" s="496"/>
      <c r="Z450" s="97"/>
      <c r="AA450" s="97"/>
      <c r="AB450" s="97"/>
      <c r="AH450" s="575"/>
      <c r="AI450" s="575"/>
      <c r="AJ450" s="575"/>
      <c r="AK450" s="575"/>
      <c r="AL450" s="575"/>
    </row>
    <row r="451" spans="1:38" customFormat="1" ht="26.25" customHeight="1" x14ac:dyDescent="0.3">
      <c r="A451" s="130" t="s">
        <v>184</v>
      </c>
      <c r="B451" s="107" t="s">
        <v>55</v>
      </c>
      <c r="C451" s="560">
        <v>279000</v>
      </c>
      <c r="D451" s="81"/>
      <c r="E451" s="81">
        <v>29000</v>
      </c>
      <c r="F451" s="370">
        <v>1400</v>
      </c>
      <c r="G451" s="370"/>
      <c r="H451" s="370">
        <v>0</v>
      </c>
      <c r="I451" s="370">
        <v>0</v>
      </c>
      <c r="J451" s="370"/>
      <c r="K451" s="81"/>
      <c r="L451" s="81"/>
      <c r="M451" s="63">
        <f>H451-I451+J451-K451+L451</f>
        <v>0</v>
      </c>
      <c r="N451" s="370"/>
      <c r="O451" s="370"/>
      <c r="P451" s="81">
        <v>13500</v>
      </c>
      <c r="Q451" s="81">
        <v>54000</v>
      </c>
      <c r="R451" s="81"/>
      <c r="S451" s="70">
        <f>P451-M451</f>
        <v>13500</v>
      </c>
      <c r="T451" s="70">
        <f>P451-N451</f>
        <v>13500</v>
      </c>
      <c r="U451" s="63">
        <f>N451-G451</f>
        <v>0</v>
      </c>
      <c r="V451" s="506">
        <f t="shared" si="357"/>
        <v>13500</v>
      </c>
      <c r="W451" s="506">
        <f t="shared" si="358"/>
        <v>0</v>
      </c>
      <c r="X451" s="98"/>
      <c r="Y451" s="497"/>
      <c r="Z451" s="98"/>
      <c r="AA451" s="98"/>
      <c r="AB451" s="98"/>
      <c r="AH451" s="485"/>
      <c r="AI451" s="485"/>
      <c r="AJ451" s="485"/>
      <c r="AK451" s="485"/>
      <c r="AL451" s="485"/>
    </row>
    <row r="452" spans="1:38" ht="39.6" hidden="1" x14ac:dyDescent="0.3">
      <c r="A452" s="573" t="s">
        <v>83</v>
      </c>
      <c r="B452" s="538" t="s">
        <v>360</v>
      </c>
      <c r="C452" s="539">
        <f t="shared" ref="C452:U452" si="394">SUM(C453)</f>
        <v>827000</v>
      </c>
      <c r="D452" s="65"/>
      <c r="E452" s="65">
        <f t="shared" si="394"/>
        <v>184000</v>
      </c>
      <c r="F452" s="365">
        <f t="shared" si="394"/>
        <v>106000</v>
      </c>
      <c r="G452" s="365">
        <f t="shared" si="394"/>
        <v>0</v>
      </c>
      <c r="H452" s="365">
        <f t="shared" si="394"/>
        <v>70000</v>
      </c>
      <c r="I452" s="365">
        <f t="shared" si="394"/>
        <v>46000</v>
      </c>
      <c r="J452" s="365">
        <f t="shared" si="394"/>
        <v>0</v>
      </c>
      <c r="K452" s="365">
        <f t="shared" si="394"/>
        <v>0</v>
      </c>
      <c r="L452" s="365">
        <f t="shared" si="394"/>
        <v>0</v>
      </c>
      <c r="M452" s="365">
        <f t="shared" si="394"/>
        <v>24000</v>
      </c>
      <c r="N452" s="365">
        <f t="shared" si="394"/>
        <v>0</v>
      </c>
      <c r="O452" s="365">
        <f t="shared" si="394"/>
        <v>0</v>
      </c>
      <c r="P452" s="365">
        <f t="shared" si="394"/>
        <v>0</v>
      </c>
      <c r="Q452" s="365">
        <f t="shared" si="394"/>
        <v>0</v>
      </c>
      <c r="R452" s="365">
        <f t="shared" si="394"/>
        <v>0</v>
      </c>
      <c r="S452" s="365">
        <f t="shared" si="394"/>
        <v>-24000</v>
      </c>
      <c r="T452" s="365">
        <f t="shared" si="394"/>
        <v>0</v>
      </c>
      <c r="U452" s="365">
        <f t="shared" si="394"/>
        <v>0</v>
      </c>
      <c r="V452" s="506">
        <f t="shared" si="357"/>
        <v>-24000</v>
      </c>
      <c r="W452" s="506">
        <f t="shared" si="358"/>
        <v>0</v>
      </c>
      <c r="X452" s="31"/>
      <c r="Y452" s="486"/>
      <c r="Z452" s="31"/>
      <c r="AA452" s="31"/>
      <c r="AB452" s="31"/>
      <c r="AD452" s="3"/>
    </row>
    <row r="453" spans="1:38" ht="16.5" hidden="1" customHeight="1" x14ac:dyDescent="0.3">
      <c r="A453" s="700" t="s">
        <v>77</v>
      </c>
      <c r="B453" s="700"/>
      <c r="C453" s="582">
        <f>SUM(C454,C471,C474)</f>
        <v>827000</v>
      </c>
      <c r="D453" s="100"/>
      <c r="E453" s="100">
        <f t="shared" ref="E453:U453" si="395">SUM(E454,E471,E474)</f>
        <v>184000</v>
      </c>
      <c r="F453" s="374">
        <f t="shared" si="395"/>
        <v>106000</v>
      </c>
      <c r="G453" s="374">
        <f t="shared" si="395"/>
        <v>0</v>
      </c>
      <c r="H453" s="374">
        <f t="shared" si="395"/>
        <v>70000</v>
      </c>
      <c r="I453" s="374">
        <f t="shared" si="395"/>
        <v>46000</v>
      </c>
      <c r="J453" s="374">
        <f t="shared" si="395"/>
        <v>0</v>
      </c>
      <c r="K453" s="374">
        <f t="shared" si="395"/>
        <v>0</v>
      </c>
      <c r="L453" s="374">
        <f t="shared" si="395"/>
        <v>0</v>
      </c>
      <c r="M453" s="374">
        <f t="shared" si="395"/>
        <v>24000</v>
      </c>
      <c r="N453" s="374">
        <f t="shared" si="395"/>
        <v>0</v>
      </c>
      <c r="O453" s="374">
        <f t="shared" si="395"/>
        <v>0</v>
      </c>
      <c r="P453" s="374">
        <f t="shared" si="395"/>
        <v>0</v>
      </c>
      <c r="Q453" s="374">
        <f t="shared" si="395"/>
        <v>0</v>
      </c>
      <c r="R453" s="374">
        <f t="shared" si="395"/>
        <v>0</v>
      </c>
      <c r="S453" s="587">
        <f t="shared" si="395"/>
        <v>-24000</v>
      </c>
      <c r="T453" s="587">
        <f t="shared" si="395"/>
        <v>0</v>
      </c>
      <c r="U453" s="587">
        <f t="shared" si="395"/>
        <v>0</v>
      </c>
      <c r="V453" s="506">
        <f t="shared" si="357"/>
        <v>-24000</v>
      </c>
      <c r="W453" s="506">
        <f t="shared" si="358"/>
        <v>0</v>
      </c>
      <c r="X453" s="31"/>
      <c r="Y453" s="486"/>
      <c r="Z453" s="31"/>
      <c r="AA453" s="31"/>
      <c r="AB453" s="31"/>
    </row>
    <row r="454" spans="1:38" ht="12.6" hidden="1" customHeight="1" x14ac:dyDescent="0.3">
      <c r="A454" s="540" t="s">
        <v>317</v>
      </c>
      <c r="B454" s="145" t="s">
        <v>318</v>
      </c>
      <c r="C454" s="146">
        <f t="shared" ref="C454:U454" si="396">SUM(C455,C462,C469)</f>
        <v>97000</v>
      </c>
      <c r="D454" s="142"/>
      <c r="E454" s="142">
        <f t="shared" si="396"/>
        <v>101000</v>
      </c>
      <c r="F454" s="147">
        <f t="shared" si="396"/>
        <v>106000</v>
      </c>
      <c r="G454" s="147">
        <f t="shared" si="396"/>
        <v>0</v>
      </c>
      <c r="H454" s="147">
        <f>SUM(H455,H458,H462,H469)</f>
        <v>20000</v>
      </c>
      <c r="I454" s="147">
        <f t="shared" ref="I454:M454" si="397">SUM(I455,I458,I462,I469)</f>
        <v>0</v>
      </c>
      <c r="J454" s="147">
        <f t="shared" si="397"/>
        <v>0</v>
      </c>
      <c r="K454" s="147">
        <f t="shared" si="397"/>
        <v>0</v>
      </c>
      <c r="L454" s="147">
        <f t="shared" si="397"/>
        <v>0</v>
      </c>
      <c r="M454" s="147">
        <f t="shared" si="397"/>
        <v>20000</v>
      </c>
      <c r="N454" s="147">
        <f t="shared" si="396"/>
        <v>0</v>
      </c>
      <c r="O454" s="147">
        <f t="shared" si="396"/>
        <v>0</v>
      </c>
      <c r="P454" s="147">
        <f t="shared" si="396"/>
        <v>0</v>
      </c>
      <c r="Q454" s="147">
        <f t="shared" si="396"/>
        <v>0</v>
      </c>
      <c r="R454" s="147">
        <f t="shared" si="396"/>
        <v>0</v>
      </c>
      <c r="S454" s="87">
        <f t="shared" si="396"/>
        <v>-20000</v>
      </c>
      <c r="T454" s="87">
        <f t="shared" si="396"/>
        <v>0</v>
      </c>
      <c r="U454" s="87">
        <f t="shared" si="396"/>
        <v>0</v>
      </c>
      <c r="V454" s="506">
        <f t="shared" si="357"/>
        <v>-20000</v>
      </c>
      <c r="W454" s="506">
        <f t="shared" si="358"/>
        <v>0</v>
      </c>
      <c r="X454" s="31"/>
      <c r="Y454" s="486"/>
      <c r="Z454" s="31"/>
      <c r="AA454" s="31"/>
      <c r="AB454" s="31"/>
    </row>
    <row r="455" spans="1:38" s="2" customFormat="1" ht="13.05" hidden="1" x14ac:dyDescent="0.3">
      <c r="A455" s="557" t="s">
        <v>149</v>
      </c>
      <c r="B455" s="558" t="s">
        <v>12</v>
      </c>
      <c r="C455" s="559">
        <f t="shared" ref="C455:U455" si="398">SUM(C456:C457)</f>
        <v>27000</v>
      </c>
      <c r="D455" s="79"/>
      <c r="E455" s="79">
        <f t="shared" ref="E455" si="399">SUM(E456:E457)</f>
        <v>0</v>
      </c>
      <c r="F455" s="369">
        <f t="shared" si="398"/>
        <v>0</v>
      </c>
      <c r="G455" s="369">
        <f t="shared" si="398"/>
        <v>0</v>
      </c>
      <c r="H455" s="369">
        <f t="shared" si="398"/>
        <v>0</v>
      </c>
      <c r="I455" s="369">
        <f t="shared" si="398"/>
        <v>0</v>
      </c>
      <c r="J455" s="369">
        <f t="shared" si="398"/>
        <v>0</v>
      </c>
      <c r="K455" s="369">
        <f t="shared" si="398"/>
        <v>0</v>
      </c>
      <c r="L455" s="369">
        <f t="shared" si="398"/>
        <v>0</v>
      </c>
      <c r="M455" s="369">
        <f t="shared" si="398"/>
        <v>0</v>
      </c>
      <c r="N455" s="369">
        <f t="shared" si="398"/>
        <v>0</v>
      </c>
      <c r="O455" s="369">
        <f t="shared" si="398"/>
        <v>0</v>
      </c>
      <c r="P455" s="369">
        <f t="shared" si="398"/>
        <v>0</v>
      </c>
      <c r="Q455" s="369">
        <f t="shared" si="398"/>
        <v>0</v>
      </c>
      <c r="R455" s="369">
        <f t="shared" si="398"/>
        <v>0</v>
      </c>
      <c r="S455" s="369">
        <f t="shared" si="398"/>
        <v>0</v>
      </c>
      <c r="T455" s="369">
        <f t="shared" si="398"/>
        <v>0</v>
      </c>
      <c r="U455" s="369">
        <f t="shared" si="398"/>
        <v>0</v>
      </c>
      <c r="V455" s="506">
        <f t="shared" si="357"/>
        <v>0</v>
      </c>
      <c r="W455" s="506">
        <f t="shared" si="358"/>
        <v>0</v>
      </c>
      <c r="X455" s="34"/>
      <c r="Y455" s="490"/>
      <c r="Z455" s="34"/>
      <c r="AA455" s="34"/>
      <c r="AB455" s="34"/>
      <c r="AH455" s="525"/>
      <c r="AI455" s="525"/>
      <c r="AJ455" s="525"/>
      <c r="AK455" s="525"/>
      <c r="AL455" s="525"/>
    </row>
    <row r="456" spans="1:38" ht="13.05" hidden="1" x14ac:dyDescent="0.3">
      <c r="A456" s="130" t="s">
        <v>150</v>
      </c>
      <c r="B456" s="107" t="s">
        <v>13</v>
      </c>
      <c r="C456" s="560">
        <v>7000</v>
      </c>
      <c r="D456" s="81"/>
      <c r="E456" s="81">
        <v>0</v>
      </c>
      <c r="F456" s="370"/>
      <c r="G456" s="370"/>
      <c r="H456" s="370"/>
      <c r="I456" s="370"/>
      <c r="J456" s="370"/>
      <c r="K456" s="81"/>
      <c r="L456" s="81"/>
      <c r="M456" s="63">
        <f t="shared" ref="M456:M457" si="400">H456-I456+J456-K456+L456</f>
        <v>0</v>
      </c>
      <c r="N456" s="370"/>
      <c r="O456" s="370"/>
      <c r="P456" s="81"/>
      <c r="Q456" s="81"/>
      <c r="R456" s="81"/>
      <c r="S456" s="63"/>
      <c r="T456" s="70">
        <f>P456-N456</f>
        <v>0</v>
      </c>
      <c r="U456" s="63">
        <f>N456-G456</f>
        <v>0</v>
      </c>
      <c r="V456" s="506">
        <f t="shared" si="357"/>
        <v>0</v>
      </c>
      <c r="W456" s="506">
        <f t="shared" si="358"/>
        <v>0</v>
      </c>
      <c r="X456" s="31"/>
      <c r="Y456" s="486"/>
      <c r="Z456" s="31"/>
      <c r="AA456" s="31"/>
      <c r="AB456" s="31"/>
    </row>
    <row r="457" spans="1:38" ht="13.05" hidden="1" x14ac:dyDescent="0.3">
      <c r="A457" s="130" t="s">
        <v>152</v>
      </c>
      <c r="B457" s="107" t="s">
        <v>15</v>
      </c>
      <c r="C457" s="560">
        <v>20000</v>
      </c>
      <c r="D457" s="81"/>
      <c r="E457" s="81">
        <v>0</v>
      </c>
      <c r="F457" s="370"/>
      <c r="G457" s="370"/>
      <c r="H457" s="370"/>
      <c r="I457" s="370"/>
      <c r="J457" s="370"/>
      <c r="K457" s="81"/>
      <c r="L457" s="81"/>
      <c r="M457" s="63">
        <f t="shared" si="400"/>
        <v>0</v>
      </c>
      <c r="N457" s="370"/>
      <c r="O457" s="370"/>
      <c r="P457" s="81"/>
      <c r="Q457" s="81"/>
      <c r="R457" s="81"/>
      <c r="S457" s="63"/>
      <c r="T457" s="70">
        <f>P457-N457</f>
        <v>0</v>
      </c>
      <c r="U457" s="63">
        <f>N457-G457</f>
        <v>0</v>
      </c>
      <c r="V457" s="506">
        <f t="shared" si="357"/>
        <v>0</v>
      </c>
      <c r="W457" s="506">
        <f t="shared" si="358"/>
        <v>0</v>
      </c>
      <c r="X457" s="31"/>
      <c r="Y457" s="486"/>
      <c r="Z457" s="31"/>
      <c r="AA457" s="31"/>
      <c r="AB457" s="31"/>
    </row>
    <row r="458" spans="1:38" s="2" customFormat="1" ht="15" hidden="1" customHeight="1" x14ac:dyDescent="0.3">
      <c r="A458" s="557" t="s">
        <v>153</v>
      </c>
      <c r="B458" s="558" t="s">
        <v>16</v>
      </c>
      <c r="C458" s="559">
        <f t="shared" ref="C458:O458" si="401">SUM(C459:C461)</f>
        <v>0</v>
      </c>
      <c r="D458" s="79"/>
      <c r="E458" s="79">
        <f t="shared" ref="E458" si="402">SUM(E459:E461)</f>
        <v>0</v>
      </c>
      <c r="F458" s="369">
        <f t="shared" si="401"/>
        <v>0</v>
      </c>
      <c r="G458" s="369">
        <f t="shared" si="401"/>
        <v>0</v>
      </c>
      <c r="H458" s="369">
        <f t="shared" si="401"/>
        <v>0</v>
      </c>
      <c r="I458" s="369">
        <f t="shared" si="401"/>
        <v>0</v>
      </c>
      <c r="J458" s="369">
        <f t="shared" si="401"/>
        <v>0</v>
      </c>
      <c r="K458" s="369">
        <f t="shared" si="401"/>
        <v>0</v>
      </c>
      <c r="L458" s="369">
        <f t="shared" si="401"/>
        <v>0</v>
      </c>
      <c r="M458" s="369">
        <f t="shared" si="401"/>
        <v>0</v>
      </c>
      <c r="N458" s="369">
        <f t="shared" si="401"/>
        <v>0</v>
      </c>
      <c r="O458" s="369">
        <f t="shared" si="401"/>
        <v>0</v>
      </c>
      <c r="P458" s="369"/>
      <c r="Q458" s="369"/>
      <c r="R458" s="369"/>
      <c r="S458" s="369">
        <f t="shared" ref="S458" si="403">SUM(S459:S461)</f>
        <v>0</v>
      </c>
      <c r="T458" s="369"/>
      <c r="U458" s="369">
        <f t="shared" ref="U458" si="404">SUM(U459:U461)</f>
        <v>0</v>
      </c>
      <c r="V458" s="506">
        <f t="shared" si="357"/>
        <v>0</v>
      </c>
      <c r="W458" s="506">
        <f t="shared" si="358"/>
        <v>0</v>
      </c>
      <c r="X458" s="34"/>
      <c r="Y458" s="490"/>
      <c r="Z458" s="34"/>
      <c r="AA458" s="34"/>
      <c r="AB458" s="34"/>
      <c r="AH458" s="525"/>
      <c r="AI458" s="525"/>
      <c r="AJ458" s="525"/>
      <c r="AK458" s="525"/>
      <c r="AL458" s="525"/>
    </row>
    <row r="459" spans="1:38" ht="13.05" hidden="1" x14ac:dyDescent="0.3">
      <c r="A459" s="130" t="s">
        <v>155</v>
      </c>
      <c r="B459" s="107" t="s">
        <v>18</v>
      </c>
      <c r="C459" s="560"/>
      <c r="D459" s="81"/>
      <c r="E459" s="81"/>
      <c r="F459" s="370"/>
      <c r="G459" s="370"/>
      <c r="H459" s="370"/>
      <c r="I459" s="370"/>
      <c r="J459" s="370"/>
      <c r="K459" s="370"/>
      <c r="L459" s="370"/>
      <c r="M459" s="370">
        <f t="shared" ref="M459:M460" si="405">H459-I459+J459-K459+L459</f>
        <v>0</v>
      </c>
      <c r="N459" s="370"/>
      <c r="O459" s="370"/>
      <c r="P459" s="370"/>
      <c r="Q459" s="370"/>
      <c r="R459" s="370"/>
      <c r="S459" s="370"/>
      <c r="T459" s="370"/>
      <c r="U459" s="370"/>
      <c r="V459" s="506">
        <f t="shared" ref="V459:V522" si="406">P459-M459</f>
        <v>0</v>
      </c>
      <c r="W459" s="506">
        <f t="shared" ref="W459:W522" si="407">S459-V459</f>
        <v>0</v>
      </c>
      <c r="X459" s="31"/>
      <c r="Y459" s="486"/>
      <c r="Z459" s="31"/>
      <c r="AA459" s="31"/>
      <c r="AB459" s="31"/>
    </row>
    <row r="460" spans="1:38" ht="13.05" hidden="1" x14ac:dyDescent="0.3">
      <c r="A460" s="130">
        <v>3223</v>
      </c>
      <c r="B460" s="107" t="s">
        <v>19</v>
      </c>
      <c r="C460" s="560"/>
      <c r="D460" s="81"/>
      <c r="E460" s="81"/>
      <c r="F460" s="370"/>
      <c r="G460" s="370"/>
      <c r="H460" s="370"/>
      <c r="I460" s="370"/>
      <c r="J460" s="370"/>
      <c r="K460" s="370"/>
      <c r="L460" s="370"/>
      <c r="M460" s="370">
        <f t="shared" si="405"/>
        <v>0</v>
      </c>
      <c r="N460" s="370"/>
      <c r="O460" s="370"/>
      <c r="P460" s="370"/>
      <c r="Q460" s="370"/>
      <c r="R460" s="370"/>
      <c r="S460" s="370"/>
      <c r="T460" s="370"/>
      <c r="U460" s="370"/>
      <c r="V460" s="506">
        <f t="shared" si="406"/>
        <v>0</v>
      </c>
      <c r="W460" s="506">
        <f t="shared" si="407"/>
        <v>0</v>
      </c>
      <c r="X460" s="31"/>
      <c r="Y460" s="486"/>
      <c r="Z460" s="31"/>
      <c r="AA460" s="31"/>
      <c r="AB460" s="31"/>
    </row>
    <row r="461" spans="1:38" ht="13.05" hidden="1" x14ac:dyDescent="0.3">
      <c r="A461" s="130" t="s">
        <v>158</v>
      </c>
      <c r="B461" s="107" t="s">
        <v>21</v>
      </c>
      <c r="C461" s="560"/>
      <c r="D461" s="81"/>
      <c r="E461" s="81"/>
      <c r="F461" s="370"/>
      <c r="G461" s="370"/>
      <c r="H461" s="370"/>
      <c r="I461" s="370"/>
      <c r="J461" s="370"/>
      <c r="K461" s="370"/>
      <c r="L461" s="370"/>
      <c r="M461" s="370">
        <f>H461-I461+J461-K461+L461</f>
        <v>0</v>
      </c>
      <c r="N461" s="370"/>
      <c r="O461" s="370"/>
      <c r="P461" s="370"/>
      <c r="Q461" s="370"/>
      <c r="R461" s="370"/>
      <c r="S461" s="370"/>
      <c r="T461" s="370"/>
      <c r="U461" s="370"/>
      <c r="V461" s="506">
        <f t="shared" si="406"/>
        <v>0</v>
      </c>
      <c r="W461" s="506">
        <f t="shared" si="407"/>
        <v>0</v>
      </c>
      <c r="X461" s="31"/>
      <c r="Y461" s="486"/>
      <c r="Z461" s="31"/>
      <c r="AA461" s="31"/>
      <c r="AB461" s="31"/>
    </row>
    <row r="462" spans="1:38" s="2" customFormat="1" ht="12.6" hidden="1" customHeight="1" x14ac:dyDescent="0.3">
      <c r="A462" s="557" t="s">
        <v>159</v>
      </c>
      <c r="B462" s="558" t="s">
        <v>123</v>
      </c>
      <c r="C462" s="559">
        <f t="shared" ref="C462:F462" si="408">SUM(C463:C468)</f>
        <v>70000</v>
      </c>
      <c r="D462" s="79"/>
      <c r="E462" s="79">
        <f t="shared" ref="E462" si="409">SUM(E463:E468)</f>
        <v>101000</v>
      </c>
      <c r="F462" s="369">
        <f t="shared" si="408"/>
        <v>106000</v>
      </c>
      <c r="G462" s="369">
        <f t="shared" ref="G462:U462" si="410">SUM(G463:G468)</f>
        <v>0</v>
      </c>
      <c r="H462" s="369">
        <f t="shared" si="410"/>
        <v>20000</v>
      </c>
      <c r="I462" s="369">
        <f t="shared" si="410"/>
        <v>0</v>
      </c>
      <c r="J462" s="369">
        <f t="shared" si="410"/>
        <v>0</v>
      </c>
      <c r="K462" s="369">
        <f t="shared" si="410"/>
        <v>0</v>
      </c>
      <c r="L462" s="369">
        <f t="shared" si="410"/>
        <v>0</v>
      </c>
      <c r="M462" s="369">
        <f t="shared" si="410"/>
        <v>20000</v>
      </c>
      <c r="N462" s="369">
        <f t="shared" si="410"/>
        <v>0</v>
      </c>
      <c r="O462" s="369">
        <f t="shared" si="410"/>
        <v>0</v>
      </c>
      <c r="P462" s="369">
        <f t="shared" si="410"/>
        <v>0</v>
      </c>
      <c r="Q462" s="369">
        <f t="shared" si="410"/>
        <v>0</v>
      </c>
      <c r="R462" s="369">
        <f t="shared" si="410"/>
        <v>0</v>
      </c>
      <c r="S462" s="369">
        <f t="shared" si="410"/>
        <v>-20000</v>
      </c>
      <c r="T462" s="369">
        <f t="shared" si="410"/>
        <v>0</v>
      </c>
      <c r="U462" s="369">
        <f t="shared" si="410"/>
        <v>0</v>
      </c>
      <c r="V462" s="506">
        <f t="shared" si="406"/>
        <v>-20000</v>
      </c>
      <c r="W462" s="506">
        <f t="shared" si="407"/>
        <v>0</v>
      </c>
      <c r="X462" s="34"/>
      <c r="Y462" s="490"/>
      <c r="Z462" s="34"/>
      <c r="AA462" s="34"/>
      <c r="AB462" s="34"/>
      <c r="AH462" s="525"/>
      <c r="AI462" s="525"/>
      <c r="AJ462" s="525"/>
      <c r="AK462" s="525"/>
      <c r="AL462" s="525"/>
    </row>
    <row r="463" spans="1:38" ht="12.6" hidden="1" customHeight="1" x14ac:dyDescent="0.3">
      <c r="A463" s="130" t="s">
        <v>160</v>
      </c>
      <c r="B463" s="107" t="s">
        <v>24</v>
      </c>
      <c r="C463" s="560"/>
      <c r="D463" s="81"/>
      <c r="E463" s="81"/>
      <c r="F463" s="370"/>
      <c r="G463" s="370"/>
      <c r="H463" s="370"/>
      <c r="I463" s="370"/>
      <c r="J463" s="370"/>
      <c r="K463" s="81"/>
      <c r="L463" s="81"/>
      <c r="M463" s="63">
        <f>H463-I463+J463-K463+L463</f>
        <v>0</v>
      </c>
      <c r="N463" s="370"/>
      <c r="O463" s="370"/>
      <c r="P463" s="81"/>
      <c r="Q463" s="81"/>
      <c r="R463" s="81"/>
      <c r="S463" s="63"/>
      <c r="T463" s="70">
        <f t="shared" ref="T463:T468" si="411">P463-N463</f>
        <v>0</v>
      </c>
      <c r="U463" s="63">
        <f t="shared" ref="U463:U468" si="412">N463-G463</f>
        <v>0</v>
      </c>
      <c r="V463" s="506">
        <f t="shared" si="406"/>
        <v>0</v>
      </c>
      <c r="W463" s="506">
        <f t="shared" si="407"/>
        <v>0</v>
      </c>
      <c r="X463" s="31"/>
      <c r="Y463" s="486"/>
      <c r="Z463" s="31"/>
      <c r="AA463" s="31"/>
      <c r="AB463" s="31"/>
    </row>
    <row r="464" spans="1:38" ht="13.5" hidden="1" customHeight="1" x14ac:dyDescent="0.3">
      <c r="A464" s="130">
        <v>3232</v>
      </c>
      <c r="B464" s="107" t="s">
        <v>25</v>
      </c>
      <c r="C464" s="560">
        <v>20000</v>
      </c>
      <c r="D464" s="81"/>
      <c r="E464" s="81">
        <v>40000</v>
      </c>
      <c r="F464" s="370"/>
      <c r="G464" s="370"/>
      <c r="H464" s="370">
        <v>20000</v>
      </c>
      <c r="I464" s="370"/>
      <c r="J464" s="370"/>
      <c r="K464" s="81"/>
      <c r="L464" s="81"/>
      <c r="M464" s="63">
        <f>H464-I464+J464-K464+L464</f>
        <v>20000</v>
      </c>
      <c r="N464" s="370"/>
      <c r="O464" s="370"/>
      <c r="P464" s="81"/>
      <c r="Q464" s="81"/>
      <c r="R464" s="81"/>
      <c r="S464" s="70">
        <f>P464-M464</f>
        <v>-20000</v>
      </c>
      <c r="T464" s="70">
        <f t="shared" si="411"/>
        <v>0</v>
      </c>
      <c r="U464" s="63">
        <f t="shared" si="412"/>
        <v>0</v>
      </c>
      <c r="V464" s="506">
        <f t="shared" si="406"/>
        <v>-20000</v>
      </c>
      <c r="W464" s="506">
        <f t="shared" si="407"/>
        <v>0</v>
      </c>
      <c r="X464" s="31"/>
      <c r="Y464" s="486"/>
      <c r="Z464" s="31"/>
      <c r="AA464" s="31"/>
      <c r="AB464" s="31"/>
    </row>
    <row r="465" spans="1:38" ht="13.05" hidden="1" x14ac:dyDescent="0.3">
      <c r="A465" s="130" t="s">
        <v>162</v>
      </c>
      <c r="B465" s="107" t="s">
        <v>26</v>
      </c>
      <c r="C465" s="560"/>
      <c r="D465" s="81"/>
      <c r="E465" s="81"/>
      <c r="F465" s="370"/>
      <c r="G465" s="370"/>
      <c r="H465" s="370"/>
      <c r="I465" s="370"/>
      <c r="J465" s="370"/>
      <c r="K465" s="81"/>
      <c r="L465" s="81"/>
      <c r="M465" s="63">
        <f t="shared" ref="M465:M467" si="413">H465-I465+J465-K465+L465</f>
        <v>0</v>
      </c>
      <c r="N465" s="370"/>
      <c r="O465" s="370"/>
      <c r="P465" s="81"/>
      <c r="Q465" s="81"/>
      <c r="R465" s="81"/>
      <c r="S465" s="63"/>
      <c r="T465" s="70">
        <f t="shared" si="411"/>
        <v>0</v>
      </c>
      <c r="U465" s="63">
        <f t="shared" si="412"/>
        <v>0</v>
      </c>
      <c r="V465" s="506">
        <f t="shared" si="406"/>
        <v>0</v>
      </c>
      <c r="W465" s="506">
        <f t="shared" si="407"/>
        <v>0</v>
      </c>
      <c r="X465" s="31"/>
      <c r="Y465" s="486"/>
      <c r="Z465" s="31"/>
      <c r="AA465" s="31"/>
      <c r="AB465" s="31"/>
    </row>
    <row r="466" spans="1:38" ht="13.05" hidden="1" x14ac:dyDescent="0.3">
      <c r="A466" s="130" t="s">
        <v>166</v>
      </c>
      <c r="B466" s="107" t="s">
        <v>30</v>
      </c>
      <c r="C466" s="560"/>
      <c r="D466" s="81"/>
      <c r="E466" s="81"/>
      <c r="F466" s="370"/>
      <c r="G466" s="370"/>
      <c r="H466" s="370"/>
      <c r="I466" s="370"/>
      <c r="J466" s="370"/>
      <c r="K466" s="81"/>
      <c r="L466" s="81"/>
      <c r="M466" s="63">
        <f t="shared" si="413"/>
        <v>0</v>
      </c>
      <c r="N466" s="370"/>
      <c r="O466" s="370"/>
      <c r="P466" s="81"/>
      <c r="Q466" s="81"/>
      <c r="R466" s="81"/>
      <c r="S466" s="63"/>
      <c r="T466" s="70">
        <f t="shared" si="411"/>
        <v>0</v>
      </c>
      <c r="U466" s="63">
        <f t="shared" si="412"/>
        <v>0</v>
      </c>
      <c r="V466" s="506">
        <f t="shared" si="406"/>
        <v>0</v>
      </c>
      <c r="W466" s="506">
        <f t="shared" si="407"/>
        <v>0</v>
      </c>
      <c r="X466" s="31"/>
      <c r="Y466" s="486"/>
      <c r="Z466" s="31"/>
      <c r="AA466" s="31"/>
      <c r="AB466" s="31"/>
    </row>
    <row r="467" spans="1:38" ht="13.05" hidden="1" x14ac:dyDescent="0.3">
      <c r="A467" s="130">
        <v>3238</v>
      </c>
      <c r="B467" s="107" t="s">
        <v>70</v>
      </c>
      <c r="C467" s="560">
        <v>50000</v>
      </c>
      <c r="D467" s="81"/>
      <c r="E467" s="81">
        <v>61000</v>
      </c>
      <c r="F467" s="370"/>
      <c r="G467" s="370"/>
      <c r="H467" s="370"/>
      <c r="I467" s="370"/>
      <c r="J467" s="370"/>
      <c r="K467" s="81"/>
      <c r="L467" s="81"/>
      <c r="M467" s="63">
        <f t="shared" si="413"/>
        <v>0</v>
      </c>
      <c r="N467" s="370"/>
      <c r="O467" s="370"/>
      <c r="P467" s="81"/>
      <c r="Q467" s="81"/>
      <c r="R467" s="81"/>
      <c r="S467" s="63"/>
      <c r="T467" s="70">
        <f t="shared" si="411"/>
        <v>0</v>
      </c>
      <c r="U467" s="63">
        <f t="shared" si="412"/>
        <v>0</v>
      </c>
      <c r="V467" s="506">
        <f t="shared" si="406"/>
        <v>0</v>
      </c>
      <c r="W467" s="506">
        <f t="shared" si="407"/>
        <v>0</v>
      </c>
      <c r="X467" s="31"/>
      <c r="Y467" s="486"/>
      <c r="Z467" s="31"/>
      <c r="AA467" s="31"/>
      <c r="AB467" s="31"/>
    </row>
    <row r="468" spans="1:38" ht="13.05" hidden="1" x14ac:dyDescent="0.3">
      <c r="A468" s="130" t="s">
        <v>167</v>
      </c>
      <c r="B468" s="107" t="s">
        <v>31</v>
      </c>
      <c r="C468" s="560"/>
      <c r="D468" s="81"/>
      <c r="E468" s="81"/>
      <c r="F468" s="370">
        <v>106000</v>
      </c>
      <c r="G468" s="370"/>
      <c r="H468" s="370"/>
      <c r="I468" s="370"/>
      <c r="J468" s="370"/>
      <c r="K468" s="81"/>
      <c r="L468" s="81"/>
      <c r="M468" s="63">
        <f>H468-I468+J468-K468+L468</f>
        <v>0</v>
      </c>
      <c r="N468" s="370"/>
      <c r="O468" s="370"/>
      <c r="P468" s="81"/>
      <c r="Q468" s="81"/>
      <c r="R468" s="81"/>
      <c r="S468" s="63"/>
      <c r="T468" s="70">
        <f t="shared" si="411"/>
        <v>0</v>
      </c>
      <c r="U468" s="63">
        <f t="shared" si="412"/>
        <v>0</v>
      </c>
      <c r="V468" s="506">
        <f t="shared" si="406"/>
        <v>0</v>
      </c>
      <c r="W468" s="506">
        <f t="shared" si="407"/>
        <v>0</v>
      </c>
      <c r="X468" s="31"/>
      <c r="Y468" s="486"/>
      <c r="Z468" s="31"/>
      <c r="AA468" s="31"/>
      <c r="AB468" s="31"/>
    </row>
    <row r="469" spans="1:38" ht="13.05" hidden="1" x14ac:dyDescent="0.3">
      <c r="A469" s="88">
        <v>329</v>
      </c>
      <c r="B469" s="89" t="s">
        <v>33</v>
      </c>
      <c r="C469" s="90">
        <f t="shared" ref="C469:U469" si="414">SUM(C470)</f>
        <v>0</v>
      </c>
      <c r="D469" s="62"/>
      <c r="E469" s="62">
        <f t="shared" si="414"/>
        <v>0</v>
      </c>
      <c r="F469" s="91">
        <f t="shared" si="414"/>
        <v>0</v>
      </c>
      <c r="G469" s="91">
        <f t="shared" si="414"/>
        <v>0</v>
      </c>
      <c r="H469" s="91">
        <f t="shared" si="414"/>
        <v>0</v>
      </c>
      <c r="I469" s="91">
        <f t="shared" si="414"/>
        <v>0</v>
      </c>
      <c r="J469" s="91">
        <f t="shared" si="414"/>
        <v>0</v>
      </c>
      <c r="K469" s="91">
        <f t="shared" si="414"/>
        <v>0</v>
      </c>
      <c r="L469" s="91">
        <f t="shared" si="414"/>
        <v>0</v>
      </c>
      <c r="M469" s="91">
        <f t="shared" si="414"/>
        <v>0</v>
      </c>
      <c r="N469" s="91">
        <f t="shared" si="414"/>
        <v>0</v>
      </c>
      <c r="O469" s="91">
        <f t="shared" si="414"/>
        <v>0</v>
      </c>
      <c r="P469" s="91">
        <f t="shared" si="414"/>
        <v>0</v>
      </c>
      <c r="Q469" s="91">
        <f t="shared" si="414"/>
        <v>0</v>
      </c>
      <c r="R469" s="91">
        <f t="shared" si="414"/>
        <v>0</v>
      </c>
      <c r="S469" s="91">
        <f t="shared" si="414"/>
        <v>0</v>
      </c>
      <c r="T469" s="91">
        <f t="shared" si="414"/>
        <v>0</v>
      </c>
      <c r="U469" s="91">
        <f t="shared" si="414"/>
        <v>0</v>
      </c>
      <c r="V469" s="506">
        <f t="shared" si="406"/>
        <v>0</v>
      </c>
      <c r="W469" s="506">
        <f t="shared" si="407"/>
        <v>0</v>
      </c>
      <c r="X469" s="31"/>
      <c r="Y469" s="486"/>
      <c r="Z469" s="31"/>
      <c r="AA469" s="31"/>
      <c r="AB469" s="31"/>
    </row>
    <row r="470" spans="1:38" ht="13.05" hidden="1" x14ac:dyDescent="0.3">
      <c r="A470" s="92">
        <v>3294</v>
      </c>
      <c r="B470" s="93" t="s">
        <v>37</v>
      </c>
      <c r="C470" s="94"/>
      <c r="D470" s="63"/>
      <c r="E470" s="63"/>
      <c r="F470" s="95"/>
      <c r="G470" s="95"/>
      <c r="H470" s="95"/>
      <c r="I470" s="95"/>
      <c r="J470" s="95"/>
      <c r="K470" s="63"/>
      <c r="L470" s="63"/>
      <c r="M470" s="63"/>
      <c r="N470" s="95"/>
      <c r="O470" s="95"/>
      <c r="P470" s="63"/>
      <c r="Q470" s="63"/>
      <c r="R470" s="63"/>
      <c r="S470" s="63"/>
      <c r="T470" s="70">
        <f>P470-N470</f>
        <v>0</v>
      </c>
      <c r="U470" s="63">
        <f>N470-G470</f>
        <v>0</v>
      </c>
      <c r="V470" s="506">
        <f t="shared" si="406"/>
        <v>0</v>
      </c>
      <c r="W470" s="506">
        <f t="shared" si="407"/>
        <v>0</v>
      </c>
      <c r="X470" s="31"/>
      <c r="Y470" s="486"/>
      <c r="Z470" s="31"/>
      <c r="AA470" s="31"/>
      <c r="AB470" s="31"/>
    </row>
    <row r="471" spans="1:38" ht="25.95" hidden="1" x14ac:dyDescent="0.3">
      <c r="A471" s="570" t="s">
        <v>327</v>
      </c>
      <c r="B471" s="571" t="s">
        <v>328</v>
      </c>
      <c r="C471" s="531">
        <f>SUM(C472)</f>
        <v>0</v>
      </c>
      <c r="D471" s="141"/>
      <c r="E471" s="141">
        <f t="shared" ref="E471:U471" si="415">SUM(E472)</f>
        <v>0</v>
      </c>
      <c r="F471" s="364">
        <f t="shared" si="415"/>
        <v>0</v>
      </c>
      <c r="G471" s="364">
        <f t="shared" si="415"/>
        <v>0</v>
      </c>
      <c r="H471" s="364">
        <f t="shared" si="415"/>
        <v>0</v>
      </c>
      <c r="I471" s="364">
        <f t="shared" si="415"/>
        <v>0</v>
      </c>
      <c r="J471" s="364">
        <f t="shared" si="415"/>
        <v>0</v>
      </c>
      <c r="K471" s="364">
        <f t="shared" si="415"/>
        <v>0</v>
      </c>
      <c r="L471" s="364">
        <f t="shared" si="415"/>
        <v>0</v>
      </c>
      <c r="M471" s="364">
        <f t="shared" si="415"/>
        <v>0</v>
      </c>
      <c r="N471" s="364">
        <f t="shared" si="415"/>
        <v>0</v>
      </c>
      <c r="O471" s="364">
        <f t="shared" si="415"/>
        <v>0</v>
      </c>
      <c r="P471" s="364">
        <f t="shared" si="415"/>
        <v>0</v>
      </c>
      <c r="Q471" s="364">
        <f t="shared" si="415"/>
        <v>0</v>
      </c>
      <c r="R471" s="364">
        <f t="shared" si="415"/>
        <v>0</v>
      </c>
      <c r="S471" s="532">
        <f t="shared" si="415"/>
        <v>0</v>
      </c>
      <c r="T471" s="532">
        <f t="shared" si="415"/>
        <v>0</v>
      </c>
      <c r="U471" s="532">
        <f t="shared" si="415"/>
        <v>0</v>
      </c>
      <c r="V471" s="506">
        <f t="shared" si="406"/>
        <v>0</v>
      </c>
      <c r="W471" s="506">
        <f t="shared" si="407"/>
        <v>0</v>
      </c>
      <c r="X471" s="31"/>
      <c r="Y471" s="486"/>
      <c r="Z471" s="31"/>
      <c r="AA471" s="31"/>
      <c r="AB471" s="31"/>
      <c r="AD471" s="431"/>
    </row>
    <row r="472" spans="1:38" ht="13.05" hidden="1" x14ac:dyDescent="0.3">
      <c r="A472" s="586">
        <v>412</v>
      </c>
      <c r="B472" s="558" t="s">
        <v>67</v>
      </c>
      <c r="C472" s="559">
        <f t="shared" ref="C472:U472" si="416">SUM(C473)</f>
        <v>0</v>
      </c>
      <c r="D472" s="79"/>
      <c r="E472" s="79">
        <f t="shared" si="416"/>
        <v>0</v>
      </c>
      <c r="F472" s="369">
        <f t="shared" si="416"/>
        <v>0</v>
      </c>
      <c r="G472" s="369">
        <f t="shared" si="416"/>
        <v>0</v>
      </c>
      <c r="H472" s="369">
        <f t="shared" si="416"/>
        <v>0</v>
      </c>
      <c r="I472" s="369">
        <f t="shared" si="416"/>
        <v>0</v>
      </c>
      <c r="J472" s="369">
        <f t="shared" si="416"/>
        <v>0</v>
      </c>
      <c r="K472" s="369">
        <f t="shared" si="416"/>
        <v>0</v>
      </c>
      <c r="L472" s="369">
        <f t="shared" si="416"/>
        <v>0</v>
      </c>
      <c r="M472" s="369">
        <f t="shared" si="416"/>
        <v>0</v>
      </c>
      <c r="N472" s="369">
        <f t="shared" si="416"/>
        <v>0</v>
      </c>
      <c r="O472" s="369">
        <f t="shared" si="416"/>
        <v>0</v>
      </c>
      <c r="P472" s="369">
        <f t="shared" si="416"/>
        <v>0</v>
      </c>
      <c r="Q472" s="369">
        <f t="shared" si="416"/>
        <v>0</v>
      </c>
      <c r="R472" s="369">
        <f t="shared" si="416"/>
        <v>0</v>
      </c>
      <c r="S472" s="369">
        <f t="shared" si="416"/>
        <v>0</v>
      </c>
      <c r="T472" s="369">
        <f t="shared" si="416"/>
        <v>0</v>
      </c>
      <c r="U472" s="369">
        <f t="shared" si="416"/>
        <v>0</v>
      </c>
      <c r="V472" s="506">
        <f t="shared" si="406"/>
        <v>0</v>
      </c>
      <c r="W472" s="506">
        <f t="shared" si="407"/>
        <v>0</v>
      </c>
      <c r="X472" s="31"/>
      <c r="Y472" s="486"/>
      <c r="Z472" s="31"/>
      <c r="AA472" s="31"/>
      <c r="AB472" s="31"/>
      <c r="AD472" s="431"/>
    </row>
    <row r="473" spans="1:38" ht="13.05" hidden="1" x14ac:dyDescent="0.3">
      <c r="A473" s="130">
        <v>4123</v>
      </c>
      <c r="B473" s="107" t="s">
        <v>68</v>
      </c>
      <c r="C473" s="560"/>
      <c r="D473" s="81"/>
      <c r="E473" s="81"/>
      <c r="F473" s="370"/>
      <c r="G473" s="370"/>
      <c r="H473" s="370"/>
      <c r="I473" s="370"/>
      <c r="J473" s="370"/>
      <c r="K473" s="81"/>
      <c r="L473" s="81"/>
      <c r="M473" s="63"/>
      <c r="N473" s="370"/>
      <c r="O473" s="370"/>
      <c r="P473" s="81"/>
      <c r="Q473" s="81"/>
      <c r="R473" s="81"/>
      <c r="S473" s="63"/>
      <c r="T473" s="70">
        <f>P473-N473</f>
        <v>0</v>
      </c>
      <c r="U473" s="63">
        <f>N473-G473</f>
        <v>0</v>
      </c>
      <c r="V473" s="506">
        <f t="shared" si="406"/>
        <v>0</v>
      </c>
      <c r="W473" s="506">
        <f t="shared" si="407"/>
        <v>0</v>
      </c>
      <c r="X473" s="31"/>
      <c r="Y473" s="486"/>
      <c r="Z473" s="31"/>
      <c r="AA473" s="31"/>
      <c r="AB473" s="31"/>
      <c r="AD473" s="431"/>
    </row>
    <row r="474" spans="1:38" ht="21" hidden="1" customHeight="1" x14ac:dyDescent="0.3">
      <c r="A474" s="570" t="s">
        <v>323</v>
      </c>
      <c r="B474" s="571" t="s">
        <v>324</v>
      </c>
      <c r="C474" s="531">
        <f>SUM(C475,C482)</f>
        <v>730000</v>
      </c>
      <c r="D474" s="141"/>
      <c r="E474" s="141">
        <f t="shared" ref="E474:U474" si="417">SUM(E475,E482)</f>
        <v>83000</v>
      </c>
      <c r="F474" s="364">
        <f t="shared" si="417"/>
        <v>0</v>
      </c>
      <c r="G474" s="364">
        <f t="shared" si="417"/>
        <v>0</v>
      </c>
      <c r="H474" s="364">
        <f>SUM(H475,H482)</f>
        <v>50000</v>
      </c>
      <c r="I474" s="364">
        <f t="shared" ref="I474:M474" si="418">SUM(I475,I482)</f>
        <v>46000</v>
      </c>
      <c r="J474" s="364">
        <f t="shared" si="418"/>
        <v>0</v>
      </c>
      <c r="K474" s="364">
        <f t="shared" si="418"/>
        <v>0</v>
      </c>
      <c r="L474" s="364">
        <f t="shared" si="418"/>
        <v>0</v>
      </c>
      <c r="M474" s="364">
        <f t="shared" si="418"/>
        <v>4000</v>
      </c>
      <c r="N474" s="364">
        <f t="shared" si="417"/>
        <v>0</v>
      </c>
      <c r="O474" s="364">
        <f t="shared" si="417"/>
        <v>0</v>
      </c>
      <c r="P474" s="364">
        <f t="shared" si="417"/>
        <v>0</v>
      </c>
      <c r="Q474" s="364">
        <f t="shared" si="417"/>
        <v>0</v>
      </c>
      <c r="R474" s="364">
        <f t="shared" si="417"/>
        <v>0</v>
      </c>
      <c r="S474" s="532">
        <f t="shared" si="417"/>
        <v>-4000</v>
      </c>
      <c r="T474" s="532">
        <f t="shared" si="417"/>
        <v>0</v>
      </c>
      <c r="U474" s="532">
        <f t="shared" si="417"/>
        <v>0</v>
      </c>
      <c r="V474" s="506">
        <f t="shared" si="406"/>
        <v>-4000</v>
      </c>
      <c r="W474" s="506">
        <f t="shared" si="407"/>
        <v>0</v>
      </c>
      <c r="X474" s="31"/>
      <c r="Y474" s="486"/>
      <c r="Z474" s="31"/>
      <c r="AA474" s="31"/>
      <c r="AB474" s="31"/>
      <c r="AD474" s="431"/>
    </row>
    <row r="475" spans="1:38" s="2" customFormat="1" ht="14.55" hidden="1" customHeight="1" x14ac:dyDescent="0.3">
      <c r="A475" s="557" t="s">
        <v>177</v>
      </c>
      <c r="B475" s="558" t="s">
        <v>129</v>
      </c>
      <c r="C475" s="559">
        <f t="shared" ref="C475:F475" si="419">SUM(C476:C479)</f>
        <v>650000</v>
      </c>
      <c r="D475" s="79"/>
      <c r="E475" s="79">
        <f t="shared" ref="E475" si="420">SUM(E476:E479)</f>
        <v>83000</v>
      </c>
      <c r="F475" s="369">
        <f t="shared" si="419"/>
        <v>0</v>
      </c>
      <c r="G475" s="369">
        <f t="shared" ref="G475:U475" si="421">SUM(G476:G479)</f>
        <v>0</v>
      </c>
      <c r="H475" s="369">
        <f t="shared" si="421"/>
        <v>30000</v>
      </c>
      <c r="I475" s="369">
        <f t="shared" si="421"/>
        <v>26000</v>
      </c>
      <c r="J475" s="369">
        <f t="shared" si="421"/>
        <v>0</v>
      </c>
      <c r="K475" s="369">
        <f t="shared" si="421"/>
        <v>0</v>
      </c>
      <c r="L475" s="369">
        <f t="shared" si="421"/>
        <v>0</v>
      </c>
      <c r="M475" s="369">
        <f t="shared" si="421"/>
        <v>4000</v>
      </c>
      <c r="N475" s="369">
        <f t="shared" si="421"/>
        <v>0</v>
      </c>
      <c r="O475" s="369">
        <f t="shared" si="421"/>
        <v>0</v>
      </c>
      <c r="P475" s="369">
        <f t="shared" si="421"/>
        <v>0</v>
      </c>
      <c r="Q475" s="369">
        <f t="shared" si="421"/>
        <v>0</v>
      </c>
      <c r="R475" s="369">
        <f t="shared" si="421"/>
        <v>0</v>
      </c>
      <c r="S475" s="369">
        <f t="shared" si="421"/>
        <v>-4000</v>
      </c>
      <c r="T475" s="369">
        <f t="shared" si="421"/>
        <v>0</v>
      </c>
      <c r="U475" s="369">
        <f t="shared" si="421"/>
        <v>0</v>
      </c>
      <c r="V475" s="506">
        <f t="shared" si="406"/>
        <v>-4000</v>
      </c>
      <c r="W475" s="506">
        <f t="shared" si="407"/>
        <v>0</v>
      </c>
      <c r="X475" s="34"/>
      <c r="Y475" s="490"/>
      <c r="Z475" s="34"/>
      <c r="AA475" s="34"/>
      <c r="AB475" s="34"/>
      <c r="AD475" s="432"/>
      <c r="AH475" s="525"/>
      <c r="AI475" s="525"/>
      <c r="AJ475" s="525"/>
      <c r="AK475" s="525"/>
      <c r="AL475" s="525"/>
    </row>
    <row r="476" spans="1:38" ht="13.05" hidden="1" x14ac:dyDescent="0.3">
      <c r="A476" s="130" t="s">
        <v>178</v>
      </c>
      <c r="B476" s="107" t="s">
        <v>54</v>
      </c>
      <c r="C476" s="560">
        <v>53000</v>
      </c>
      <c r="D476" s="81"/>
      <c r="E476" s="81">
        <v>0</v>
      </c>
      <c r="F476" s="370"/>
      <c r="G476" s="370"/>
      <c r="H476" s="370"/>
      <c r="I476" s="370"/>
      <c r="J476" s="370"/>
      <c r="K476" s="81"/>
      <c r="L476" s="81"/>
      <c r="M476" s="63">
        <f t="shared" ref="M476" si="422">H476-I476+J476-K476+L476</f>
        <v>0</v>
      </c>
      <c r="N476" s="370"/>
      <c r="O476" s="370"/>
      <c r="P476" s="81"/>
      <c r="Q476" s="81"/>
      <c r="R476" s="81"/>
      <c r="S476" s="63"/>
      <c r="T476" s="70">
        <f>P476-N476</f>
        <v>0</v>
      </c>
      <c r="U476" s="63">
        <f>N476-G476</f>
        <v>0</v>
      </c>
      <c r="V476" s="506">
        <f t="shared" si="406"/>
        <v>0</v>
      </c>
      <c r="W476" s="506">
        <f t="shared" si="407"/>
        <v>0</v>
      </c>
      <c r="X476" s="31"/>
      <c r="Y476" s="486"/>
      <c r="Z476" s="31"/>
      <c r="AA476" s="31"/>
      <c r="AB476" s="31"/>
      <c r="AD476" s="431"/>
    </row>
    <row r="477" spans="1:38" hidden="1" x14ac:dyDescent="0.3">
      <c r="A477" s="130" t="s">
        <v>186</v>
      </c>
      <c r="B477" s="107" t="s">
        <v>58</v>
      </c>
      <c r="C477" s="560">
        <v>199000</v>
      </c>
      <c r="D477" s="81"/>
      <c r="E477" s="81">
        <v>35000</v>
      </c>
      <c r="F477" s="370"/>
      <c r="G477" s="370"/>
      <c r="H477" s="370">
        <v>20000</v>
      </c>
      <c r="I477" s="370">
        <v>16000</v>
      </c>
      <c r="J477" s="370"/>
      <c r="K477" s="81"/>
      <c r="L477" s="81"/>
      <c r="M477" s="63">
        <f>H477-I477+J477-K477+L477</f>
        <v>4000</v>
      </c>
      <c r="N477" s="370"/>
      <c r="O477" s="370"/>
      <c r="P477" s="81"/>
      <c r="Q477" s="81"/>
      <c r="R477" s="81"/>
      <c r="S477" s="70">
        <f>P477-M477</f>
        <v>-4000</v>
      </c>
      <c r="T477" s="70">
        <f>P477-N477</f>
        <v>0</v>
      </c>
      <c r="U477" s="63">
        <f>N477-G477</f>
        <v>0</v>
      </c>
      <c r="V477" s="506">
        <f t="shared" si="406"/>
        <v>-4000</v>
      </c>
      <c r="W477" s="506">
        <f t="shared" si="407"/>
        <v>0</v>
      </c>
      <c r="X477" s="31"/>
      <c r="Y477" s="486"/>
      <c r="Z477" s="31"/>
      <c r="AA477" s="31"/>
      <c r="AB477" s="31"/>
    </row>
    <row r="478" spans="1:38" hidden="1" x14ac:dyDescent="0.3">
      <c r="A478" s="130" t="s">
        <v>179</v>
      </c>
      <c r="B478" s="107" t="s">
        <v>59</v>
      </c>
      <c r="C478" s="560">
        <v>398000</v>
      </c>
      <c r="D478" s="81"/>
      <c r="E478" s="81">
        <v>48000</v>
      </c>
      <c r="F478" s="370"/>
      <c r="G478" s="370"/>
      <c r="H478" s="370">
        <v>10000</v>
      </c>
      <c r="I478" s="370">
        <v>10000</v>
      </c>
      <c r="J478" s="370"/>
      <c r="K478" s="81"/>
      <c r="L478" s="81"/>
      <c r="M478" s="63">
        <f>H478-I478+J478-K478+L478</f>
        <v>0</v>
      </c>
      <c r="N478" s="370"/>
      <c r="O478" s="370"/>
      <c r="P478" s="81"/>
      <c r="Q478" s="81"/>
      <c r="R478" s="81"/>
      <c r="S478" s="70">
        <f>P478-M478</f>
        <v>0</v>
      </c>
      <c r="T478" s="70">
        <f>P478-N478</f>
        <v>0</v>
      </c>
      <c r="U478" s="63">
        <f>N478-G478</f>
        <v>0</v>
      </c>
      <c r="V478" s="506">
        <f t="shared" si="406"/>
        <v>0</v>
      </c>
      <c r="W478" s="506">
        <f t="shared" si="407"/>
        <v>0</v>
      </c>
      <c r="X478" s="31"/>
      <c r="Y478" s="486"/>
      <c r="Z478" s="31"/>
      <c r="AA478" s="31"/>
      <c r="AB478" s="31"/>
    </row>
    <row r="479" spans="1:38" ht="13.05" hidden="1" x14ac:dyDescent="0.3">
      <c r="A479" s="130" t="s">
        <v>180</v>
      </c>
      <c r="B479" s="107" t="s">
        <v>60</v>
      </c>
      <c r="C479" s="588"/>
      <c r="D479" s="101"/>
      <c r="E479" s="101"/>
      <c r="F479" s="375"/>
      <c r="G479" s="375"/>
      <c r="H479" s="375"/>
      <c r="I479" s="375"/>
      <c r="J479" s="375"/>
      <c r="K479" s="375"/>
      <c r="L479" s="375"/>
      <c r="M479" s="375"/>
      <c r="N479" s="375"/>
      <c r="O479" s="375"/>
      <c r="P479" s="375"/>
      <c r="Q479" s="375"/>
      <c r="R479" s="375"/>
      <c r="S479" s="375"/>
      <c r="T479" s="375"/>
      <c r="U479" s="375"/>
      <c r="V479" s="506">
        <f t="shared" si="406"/>
        <v>0</v>
      </c>
      <c r="W479" s="506">
        <f t="shared" si="407"/>
        <v>0</v>
      </c>
      <c r="X479" s="31"/>
      <c r="Y479" s="486"/>
      <c r="Z479" s="31"/>
      <c r="AA479" s="31"/>
      <c r="AB479" s="31"/>
    </row>
    <row r="480" spans="1:38" s="2" customFormat="1" ht="13.05" hidden="1" x14ac:dyDescent="0.3">
      <c r="A480" s="557" t="s">
        <v>181</v>
      </c>
      <c r="B480" s="558" t="s">
        <v>61</v>
      </c>
      <c r="C480" s="559">
        <f t="shared" ref="C480:U480" si="423">SUM(C481)</f>
        <v>0</v>
      </c>
      <c r="D480" s="79"/>
      <c r="E480" s="79">
        <f t="shared" si="423"/>
        <v>0</v>
      </c>
      <c r="F480" s="369">
        <f t="shared" si="423"/>
        <v>0</v>
      </c>
      <c r="G480" s="369">
        <f t="shared" si="423"/>
        <v>0</v>
      </c>
      <c r="H480" s="369">
        <f t="shared" si="423"/>
        <v>0</v>
      </c>
      <c r="I480" s="369"/>
      <c r="J480" s="369"/>
      <c r="K480" s="369"/>
      <c r="L480" s="369"/>
      <c r="M480" s="369"/>
      <c r="N480" s="369">
        <f t="shared" si="423"/>
        <v>0</v>
      </c>
      <c r="O480" s="369">
        <f t="shared" si="423"/>
        <v>0</v>
      </c>
      <c r="P480" s="369"/>
      <c r="Q480" s="369"/>
      <c r="R480" s="369"/>
      <c r="S480" s="369">
        <f t="shared" si="423"/>
        <v>0</v>
      </c>
      <c r="T480" s="369"/>
      <c r="U480" s="369">
        <f t="shared" si="423"/>
        <v>0</v>
      </c>
      <c r="V480" s="506">
        <f t="shared" si="406"/>
        <v>0</v>
      </c>
      <c r="W480" s="506">
        <f t="shared" si="407"/>
        <v>0</v>
      </c>
      <c r="X480" s="34"/>
      <c r="Y480" s="490"/>
      <c r="Z480" s="34"/>
      <c r="AA480" s="34"/>
      <c r="AB480" s="34"/>
      <c r="AH480" s="525"/>
      <c r="AI480" s="525"/>
      <c r="AJ480" s="525"/>
      <c r="AK480" s="525"/>
      <c r="AL480" s="525"/>
    </row>
    <row r="481" spans="1:38" ht="13.05" hidden="1" x14ac:dyDescent="0.3">
      <c r="A481" s="130" t="s">
        <v>182</v>
      </c>
      <c r="B481" s="107" t="s">
        <v>62</v>
      </c>
      <c r="C481" s="560"/>
      <c r="D481" s="81"/>
      <c r="E481" s="81"/>
      <c r="F481" s="370"/>
      <c r="G481" s="370"/>
      <c r="H481" s="370"/>
      <c r="I481" s="370"/>
      <c r="J481" s="370"/>
      <c r="K481" s="370"/>
      <c r="L481" s="370"/>
      <c r="M481" s="370"/>
      <c r="N481" s="370"/>
      <c r="O481" s="370"/>
      <c r="P481" s="370"/>
      <c r="Q481" s="370"/>
      <c r="R481" s="370"/>
      <c r="S481" s="370"/>
      <c r="T481" s="370"/>
      <c r="U481" s="370"/>
      <c r="V481" s="506">
        <f t="shared" si="406"/>
        <v>0</v>
      </c>
      <c r="W481" s="506">
        <f t="shared" si="407"/>
        <v>0</v>
      </c>
      <c r="X481" s="31"/>
      <c r="Y481" s="486"/>
      <c r="Z481" s="31"/>
      <c r="AA481" s="31"/>
      <c r="AB481" s="31"/>
    </row>
    <row r="482" spans="1:38" s="2" customFormat="1" hidden="1" x14ac:dyDescent="0.3">
      <c r="A482" s="557" t="s">
        <v>193</v>
      </c>
      <c r="B482" s="558" t="s">
        <v>73</v>
      </c>
      <c r="C482" s="559">
        <f t="shared" ref="C482:U482" si="424">SUM(C483)</f>
        <v>80000</v>
      </c>
      <c r="D482" s="79"/>
      <c r="E482" s="79">
        <f t="shared" si="424"/>
        <v>0</v>
      </c>
      <c r="F482" s="369">
        <f t="shared" si="424"/>
        <v>0</v>
      </c>
      <c r="G482" s="369">
        <f t="shared" si="424"/>
        <v>0</v>
      </c>
      <c r="H482" s="369">
        <f t="shared" si="424"/>
        <v>20000</v>
      </c>
      <c r="I482" s="369">
        <f t="shared" si="424"/>
        <v>20000</v>
      </c>
      <c r="J482" s="369">
        <f t="shared" si="424"/>
        <v>0</v>
      </c>
      <c r="K482" s="369">
        <f t="shared" si="424"/>
        <v>0</v>
      </c>
      <c r="L482" s="369">
        <f t="shared" si="424"/>
        <v>0</v>
      </c>
      <c r="M482" s="369">
        <f t="shared" si="424"/>
        <v>0</v>
      </c>
      <c r="N482" s="369">
        <f t="shared" si="424"/>
        <v>0</v>
      </c>
      <c r="O482" s="369">
        <f t="shared" si="424"/>
        <v>0</v>
      </c>
      <c r="P482" s="369">
        <f t="shared" si="424"/>
        <v>0</v>
      </c>
      <c r="Q482" s="369">
        <f t="shared" si="424"/>
        <v>0</v>
      </c>
      <c r="R482" s="369">
        <f t="shared" si="424"/>
        <v>0</v>
      </c>
      <c r="S482" s="369">
        <f t="shared" si="424"/>
        <v>0</v>
      </c>
      <c r="T482" s="369">
        <f t="shared" si="424"/>
        <v>0</v>
      </c>
      <c r="U482" s="369">
        <f t="shared" si="424"/>
        <v>0</v>
      </c>
      <c r="V482" s="506">
        <f t="shared" si="406"/>
        <v>0</v>
      </c>
      <c r="W482" s="506">
        <f t="shared" si="407"/>
        <v>0</v>
      </c>
      <c r="X482" s="34"/>
      <c r="Y482" s="490"/>
      <c r="Z482" s="34"/>
      <c r="AA482" s="34"/>
      <c r="AB482" s="34"/>
      <c r="AH482" s="525"/>
      <c r="AI482" s="525"/>
      <c r="AJ482" s="525"/>
      <c r="AK482" s="525"/>
      <c r="AL482" s="525"/>
    </row>
    <row r="483" spans="1:38" hidden="1" x14ac:dyDescent="0.3">
      <c r="A483" s="130" t="s">
        <v>194</v>
      </c>
      <c r="B483" s="107" t="s">
        <v>88</v>
      </c>
      <c r="C483" s="560">
        <v>80000</v>
      </c>
      <c r="D483" s="81"/>
      <c r="E483" s="81">
        <v>0</v>
      </c>
      <c r="F483" s="370"/>
      <c r="G483" s="370"/>
      <c r="H483" s="370">
        <v>20000</v>
      </c>
      <c r="I483" s="370">
        <v>20000</v>
      </c>
      <c r="J483" s="370"/>
      <c r="K483" s="81"/>
      <c r="L483" s="81"/>
      <c r="M483" s="63">
        <f>H483-I483+J483-K483+L483</f>
        <v>0</v>
      </c>
      <c r="N483" s="370"/>
      <c r="O483" s="370"/>
      <c r="P483" s="81"/>
      <c r="Q483" s="81"/>
      <c r="R483" s="81"/>
      <c r="S483" s="70">
        <f>P483-M483</f>
        <v>0</v>
      </c>
      <c r="T483" s="70">
        <f>P483-N483</f>
        <v>0</v>
      </c>
      <c r="U483" s="63">
        <f>N483-G483</f>
        <v>0</v>
      </c>
      <c r="V483" s="506">
        <f t="shared" si="406"/>
        <v>0</v>
      </c>
      <c r="W483" s="506">
        <f t="shared" si="407"/>
        <v>0</v>
      </c>
      <c r="X483" s="31"/>
      <c r="Y483" s="486"/>
      <c r="Z483" s="31"/>
      <c r="AA483" s="31"/>
      <c r="AB483" s="31"/>
    </row>
    <row r="484" spans="1:38" s="2" customFormat="1" ht="13.05" hidden="1" x14ac:dyDescent="0.3">
      <c r="A484" s="557" t="s">
        <v>183</v>
      </c>
      <c r="B484" s="558" t="s">
        <v>55</v>
      </c>
      <c r="C484" s="559">
        <f t="shared" ref="C484:U484" si="425">SUM(C485)</f>
        <v>0</v>
      </c>
      <c r="D484" s="79"/>
      <c r="E484" s="79">
        <f t="shared" si="425"/>
        <v>0</v>
      </c>
      <c r="F484" s="369">
        <f t="shared" si="425"/>
        <v>0</v>
      </c>
      <c r="G484" s="369">
        <f t="shared" si="425"/>
        <v>0</v>
      </c>
      <c r="H484" s="369">
        <f t="shared" si="425"/>
        <v>0</v>
      </c>
      <c r="I484" s="369"/>
      <c r="J484" s="369"/>
      <c r="K484" s="369"/>
      <c r="L484" s="369"/>
      <c r="M484" s="369"/>
      <c r="N484" s="369">
        <f t="shared" si="425"/>
        <v>0</v>
      </c>
      <c r="O484" s="369">
        <f t="shared" si="425"/>
        <v>0</v>
      </c>
      <c r="P484" s="369"/>
      <c r="Q484" s="369"/>
      <c r="R484" s="369"/>
      <c r="S484" s="369">
        <f t="shared" si="425"/>
        <v>0</v>
      </c>
      <c r="T484" s="369"/>
      <c r="U484" s="369">
        <f t="shared" si="425"/>
        <v>0</v>
      </c>
      <c r="V484" s="506">
        <f t="shared" si="406"/>
        <v>0</v>
      </c>
      <c r="W484" s="506">
        <f t="shared" si="407"/>
        <v>0</v>
      </c>
      <c r="X484" s="34"/>
      <c r="Y484" s="490"/>
      <c r="Z484" s="34"/>
      <c r="AA484" s="34"/>
      <c r="AB484" s="34"/>
      <c r="AH484" s="525"/>
      <c r="AI484" s="525"/>
      <c r="AJ484" s="525"/>
      <c r="AK484" s="525"/>
      <c r="AL484" s="525"/>
    </row>
    <row r="485" spans="1:38" ht="13.05" hidden="1" x14ac:dyDescent="0.3">
      <c r="A485" s="130" t="s">
        <v>184</v>
      </c>
      <c r="B485" s="107" t="s">
        <v>55</v>
      </c>
      <c r="C485" s="560"/>
      <c r="D485" s="81"/>
      <c r="E485" s="81"/>
      <c r="F485" s="370"/>
      <c r="G485" s="370"/>
      <c r="H485" s="370"/>
      <c r="I485" s="370"/>
      <c r="J485" s="370"/>
      <c r="K485" s="370"/>
      <c r="L485" s="370"/>
      <c r="M485" s="370"/>
      <c r="N485" s="370"/>
      <c r="O485" s="370"/>
      <c r="P485" s="370"/>
      <c r="Q485" s="370"/>
      <c r="R485" s="370"/>
      <c r="S485" s="370"/>
      <c r="T485" s="370"/>
      <c r="U485" s="370"/>
      <c r="V485" s="506">
        <f t="shared" si="406"/>
        <v>0</v>
      </c>
      <c r="W485" s="506">
        <f t="shared" si="407"/>
        <v>0</v>
      </c>
      <c r="X485" s="31"/>
      <c r="Y485" s="486"/>
      <c r="Z485" s="31"/>
      <c r="AA485" s="31"/>
      <c r="AB485" s="31"/>
    </row>
    <row r="486" spans="1:38" ht="25.05" hidden="1" customHeight="1" x14ac:dyDescent="0.3">
      <c r="A486" s="573" t="s">
        <v>86</v>
      </c>
      <c r="B486" s="538" t="s">
        <v>87</v>
      </c>
      <c r="C486" s="539">
        <f t="shared" ref="C486:U486" si="426">SUM(C487)</f>
        <v>1713000</v>
      </c>
      <c r="D486" s="65"/>
      <c r="E486" s="65">
        <f t="shared" si="426"/>
        <v>764000</v>
      </c>
      <c r="F486" s="365">
        <f t="shared" si="426"/>
        <v>185000</v>
      </c>
      <c r="G486" s="365">
        <f t="shared" si="426"/>
        <v>0</v>
      </c>
      <c r="H486" s="365">
        <f t="shared" si="426"/>
        <v>20000</v>
      </c>
      <c r="I486" s="365">
        <f t="shared" si="426"/>
        <v>20000</v>
      </c>
      <c r="J486" s="365">
        <f t="shared" si="426"/>
        <v>0</v>
      </c>
      <c r="K486" s="365">
        <f t="shared" si="426"/>
        <v>0</v>
      </c>
      <c r="L486" s="365">
        <f t="shared" si="426"/>
        <v>0</v>
      </c>
      <c r="M486" s="365">
        <f t="shared" si="426"/>
        <v>0</v>
      </c>
      <c r="N486" s="365">
        <f t="shared" si="426"/>
        <v>0</v>
      </c>
      <c r="O486" s="365">
        <f t="shared" si="426"/>
        <v>0</v>
      </c>
      <c r="P486" s="365">
        <f t="shared" si="426"/>
        <v>0</v>
      </c>
      <c r="Q486" s="365">
        <f t="shared" si="426"/>
        <v>0</v>
      </c>
      <c r="R486" s="365">
        <f t="shared" si="426"/>
        <v>0</v>
      </c>
      <c r="S486" s="365">
        <f t="shared" si="426"/>
        <v>0</v>
      </c>
      <c r="T486" s="365">
        <f t="shared" si="426"/>
        <v>0</v>
      </c>
      <c r="U486" s="365">
        <f t="shared" si="426"/>
        <v>0</v>
      </c>
      <c r="V486" s="506">
        <f t="shared" si="406"/>
        <v>0</v>
      </c>
      <c r="W486" s="506">
        <f t="shared" si="407"/>
        <v>0</v>
      </c>
      <c r="X486" s="31"/>
      <c r="Y486" s="486"/>
      <c r="Z486" s="31"/>
      <c r="AA486" s="31"/>
      <c r="AB486" s="31"/>
      <c r="AD486" s="3"/>
    </row>
    <row r="487" spans="1:38" ht="18.600000000000001" hidden="1" customHeight="1" x14ac:dyDescent="0.3">
      <c r="A487" s="700" t="s">
        <v>77</v>
      </c>
      <c r="B487" s="700"/>
      <c r="C487" s="582">
        <f>SUM(C488,C501)</f>
        <v>1713000</v>
      </c>
      <c r="D487" s="100"/>
      <c r="E487" s="100">
        <f>SUM(E488,E501)</f>
        <v>764000</v>
      </c>
      <c r="F487" s="374">
        <f>SUM(F488,F501)</f>
        <v>185000</v>
      </c>
      <c r="G487" s="374">
        <f>SUM(G488,G501)</f>
        <v>0</v>
      </c>
      <c r="H487" s="374">
        <f>SUM(H488,H501)</f>
        <v>20000</v>
      </c>
      <c r="I487" s="374">
        <f t="shared" ref="I487:L487" si="427">SUM(I488,I501)</f>
        <v>20000</v>
      </c>
      <c r="J487" s="374">
        <f t="shared" si="427"/>
        <v>0</v>
      </c>
      <c r="K487" s="374">
        <f t="shared" si="427"/>
        <v>0</v>
      </c>
      <c r="L487" s="374">
        <f t="shared" si="427"/>
        <v>0</v>
      </c>
      <c r="M487" s="374">
        <f>SUM(M488,M501)</f>
        <v>0</v>
      </c>
      <c r="N487" s="374">
        <f>SUM(N488,N501)</f>
        <v>0</v>
      </c>
      <c r="O487" s="374">
        <f>SUM(O488,O501)</f>
        <v>0</v>
      </c>
      <c r="P487" s="374">
        <f t="shared" ref="P487:R487" si="428">SUM(P488,P501)</f>
        <v>0</v>
      </c>
      <c r="Q487" s="374">
        <f t="shared" si="428"/>
        <v>0</v>
      </c>
      <c r="R487" s="374">
        <f t="shared" si="428"/>
        <v>0</v>
      </c>
      <c r="S487" s="587">
        <f>SUM(S488,S501)</f>
        <v>0</v>
      </c>
      <c r="T487" s="587">
        <f>SUM(T488,T501)</f>
        <v>0</v>
      </c>
      <c r="U487" s="587">
        <f>SUM(U488,U501)</f>
        <v>0</v>
      </c>
      <c r="V487" s="506">
        <f t="shared" si="406"/>
        <v>0</v>
      </c>
      <c r="W487" s="506">
        <f t="shared" si="407"/>
        <v>0</v>
      </c>
      <c r="X487" s="31"/>
      <c r="Y487" s="486"/>
      <c r="Z487" s="31"/>
      <c r="AA487" s="31"/>
      <c r="AB487" s="31"/>
    </row>
    <row r="488" spans="1:38" ht="19.5" hidden="1" customHeight="1" x14ac:dyDescent="0.3">
      <c r="A488" s="540" t="s">
        <v>317</v>
      </c>
      <c r="B488" s="145" t="s">
        <v>318</v>
      </c>
      <c r="C488" s="146">
        <f>SUM(C489,C496)</f>
        <v>674000</v>
      </c>
      <c r="D488" s="142"/>
      <c r="E488" s="142">
        <f t="shared" ref="E488:U488" si="429">SUM(E489,E496)</f>
        <v>406000</v>
      </c>
      <c r="F488" s="147">
        <f t="shared" si="429"/>
        <v>56000</v>
      </c>
      <c r="G488" s="147">
        <f t="shared" si="429"/>
        <v>0</v>
      </c>
      <c r="H488" s="147">
        <f t="shared" si="429"/>
        <v>0</v>
      </c>
      <c r="I488" s="147">
        <f t="shared" si="429"/>
        <v>0</v>
      </c>
      <c r="J488" s="147">
        <f t="shared" si="429"/>
        <v>0</v>
      </c>
      <c r="K488" s="147">
        <f t="shared" si="429"/>
        <v>0</v>
      </c>
      <c r="L488" s="147">
        <f t="shared" si="429"/>
        <v>0</v>
      </c>
      <c r="M488" s="147">
        <f t="shared" si="429"/>
        <v>0</v>
      </c>
      <c r="N488" s="147">
        <f t="shared" si="429"/>
        <v>0</v>
      </c>
      <c r="O488" s="147">
        <f t="shared" si="429"/>
        <v>0</v>
      </c>
      <c r="P488" s="147">
        <f t="shared" si="429"/>
        <v>0</v>
      </c>
      <c r="Q488" s="147">
        <f t="shared" si="429"/>
        <v>0</v>
      </c>
      <c r="R488" s="147">
        <f t="shared" si="429"/>
        <v>0</v>
      </c>
      <c r="S488" s="87">
        <f t="shared" si="429"/>
        <v>0</v>
      </c>
      <c r="T488" s="87">
        <f t="shared" si="429"/>
        <v>0</v>
      </c>
      <c r="U488" s="87">
        <f t="shared" si="429"/>
        <v>0</v>
      </c>
      <c r="V488" s="506">
        <f t="shared" si="406"/>
        <v>0</v>
      </c>
      <c r="W488" s="506">
        <f t="shared" si="407"/>
        <v>0</v>
      </c>
      <c r="X488" s="31"/>
      <c r="Y488" s="486"/>
      <c r="Z488" s="31"/>
      <c r="AA488" s="31"/>
      <c r="AB488" s="31"/>
    </row>
    <row r="489" spans="1:38" ht="15" hidden="1" customHeight="1" x14ac:dyDescent="0.3">
      <c r="A489" s="541">
        <v>321</v>
      </c>
      <c r="B489" s="558" t="s">
        <v>12</v>
      </c>
      <c r="C489" s="559">
        <f t="shared" ref="C489:G489" si="430">SUM(C490:C491)</f>
        <v>40000</v>
      </c>
      <c r="D489" s="79"/>
      <c r="E489" s="79">
        <f t="shared" ref="E489" si="431">SUM(E490:E491)</f>
        <v>0</v>
      </c>
      <c r="F489" s="369">
        <f t="shared" si="430"/>
        <v>0</v>
      </c>
      <c r="G489" s="369">
        <f t="shared" si="430"/>
        <v>0</v>
      </c>
      <c r="H489" s="369">
        <f t="shared" ref="H489:U489" si="432">SUM(H490:H491)</f>
        <v>0</v>
      </c>
      <c r="I489" s="369">
        <f t="shared" si="432"/>
        <v>0</v>
      </c>
      <c r="J489" s="369">
        <f t="shared" si="432"/>
        <v>0</v>
      </c>
      <c r="K489" s="369">
        <f t="shared" si="432"/>
        <v>0</v>
      </c>
      <c r="L489" s="369">
        <f t="shared" si="432"/>
        <v>0</v>
      </c>
      <c r="M489" s="369">
        <f t="shared" si="432"/>
        <v>0</v>
      </c>
      <c r="N489" s="369">
        <f t="shared" si="432"/>
        <v>0</v>
      </c>
      <c r="O489" s="369">
        <f t="shared" si="432"/>
        <v>0</v>
      </c>
      <c r="P489" s="369">
        <f t="shared" si="432"/>
        <v>0</v>
      </c>
      <c r="Q489" s="369">
        <f t="shared" si="432"/>
        <v>0</v>
      </c>
      <c r="R489" s="369">
        <f t="shared" si="432"/>
        <v>0</v>
      </c>
      <c r="S489" s="369">
        <f t="shared" si="432"/>
        <v>0</v>
      </c>
      <c r="T489" s="369">
        <f t="shared" si="432"/>
        <v>0</v>
      </c>
      <c r="U489" s="369">
        <f t="shared" si="432"/>
        <v>0</v>
      </c>
      <c r="V489" s="506">
        <f t="shared" si="406"/>
        <v>0</v>
      </c>
      <c r="W489" s="506">
        <f t="shared" si="407"/>
        <v>0</v>
      </c>
      <c r="X489" s="31"/>
      <c r="Y489" s="486"/>
      <c r="Z489" s="31"/>
      <c r="AA489" s="31"/>
      <c r="AB489" s="31"/>
    </row>
    <row r="490" spans="1:38" s="4" customFormat="1" ht="15" hidden="1" customHeight="1" x14ac:dyDescent="0.3">
      <c r="A490" s="542">
        <v>3211</v>
      </c>
      <c r="B490" s="107" t="s">
        <v>13</v>
      </c>
      <c r="C490" s="108"/>
      <c r="D490" s="102"/>
      <c r="E490" s="102"/>
      <c r="F490" s="109"/>
      <c r="G490" s="109"/>
      <c r="H490" s="109"/>
      <c r="I490" s="109"/>
      <c r="J490" s="109"/>
      <c r="K490" s="109"/>
      <c r="L490" s="109"/>
      <c r="M490" s="109"/>
      <c r="N490" s="109"/>
      <c r="O490" s="109"/>
      <c r="P490" s="109"/>
      <c r="Q490" s="109"/>
      <c r="R490" s="109"/>
      <c r="S490" s="109"/>
      <c r="T490" s="109"/>
      <c r="U490" s="109"/>
      <c r="V490" s="506">
        <f t="shared" si="406"/>
        <v>0</v>
      </c>
      <c r="W490" s="506">
        <f t="shared" si="407"/>
        <v>0</v>
      </c>
      <c r="X490" s="31"/>
      <c r="Y490" s="486"/>
      <c r="Z490" s="31"/>
      <c r="AA490" s="31"/>
      <c r="AB490" s="31"/>
      <c r="AH490" s="457"/>
      <c r="AI490" s="457"/>
      <c r="AJ490" s="457"/>
      <c r="AK490" s="457"/>
      <c r="AL490" s="457"/>
    </row>
    <row r="491" spans="1:38" ht="15" hidden="1" customHeight="1" x14ac:dyDescent="0.3">
      <c r="A491" s="542">
        <v>3213</v>
      </c>
      <c r="B491" s="107" t="s">
        <v>15</v>
      </c>
      <c r="C491" s="108">
        <v>40000</v>
      </c>
      <c r="D491" s="102"/>
      <c r="E491" s="102">
        <v>0</v>
      </c>
      <c r="F491" s="109"/>
      <c r="G491" s="109"/>
      <c r="H491" s="109"/>
      <c r="I491" s="109"/>
      <c r="J491" s="109"/>
      <c r="K491" s="102"/>
      <c r="L491" s="102"/>
      <c r="M491" s="63"/>
      <c r="N491" s="109"/>
      <c r="O491" s="109"/>
      <c r="P491" s="102"/>
      <c r="Q491" s="102"/>
      <c r="R491" s="102"/>
      <c r="S491" s="70">
        <f>P491-M491</f>
        <v>0</v>
      </c>
      <c r="T491" s="70">
        <f>P491-N491</f>
        <v>0</v>
      </c>
      <c r="U491" s="63">
        <f>N491-G491</f>
        <v>0</v>
      </c>
      <c r="V491" s="506">
        <f t="shared" si="406"/>
        <v>0</v>
      </c>
      <c r="W491" s="506">
        <f t="shared" si="407"/>
        <v>0</v>
      </c>
      <c r="X491" s="31"/>
      <c r="Y491" s="486"/>
      <c r="Z491" s="31"/>
      <c r="AA491" s="31"/>
      <c r="AB491" s="31"/>
    </row>
    <row r="492" spans="1:38" s="2" customFormat="1" ht="13.05" hidden="1" x14ac:dyDescent="0.3">
      <c r="A492" s="557" t="s">
        <v>153</v>
      </c>
      <c r="B492" s="558" t="s">
        <v>16</v>
      </c>
      <c r="C492" s="589">
        <f t="shared" ref="C492:S492" si="433">SUM(C493:C495)</f>
        <v>0</v>
      </c>
      <c r="D492" s="103"/>
      <c r="E492" s="103">
        <f t="shared" ref="E492" si="434">SUM(E493:E495)</f>
        <v>0</v>
      </c>
      <c r="F492" s="376">
        <f t="shared" si="433"/>
        <v>0</v>
      </c>
      <c r="G492" s="376">
        <f t="shared" si="433"/>
        <v>0</v>
      </c>
      <c r="H492" s="376">
        <f t="shared" si="433"/>
        <v>0</v>
      </c>
      <c r="I492" s="376"/>
      <c r="J492" s="376"/>
      <c r="K492" s="376"/>
      <c r="L492" s="376"/>
      <c r="M492" s="376"/>
      <c r="N492" s="376">
        <f t="shared" si="433"/>
        <v>0</v>
      </c>
      <c r="O492" s="376">
        <f t="shared" si="433"/>
        <v>0</v>
      </c>
      <c r="P492" s="376"/>
      <c r="Q492" s="376"/>
      <c r="R492" s="376"/>
      <c r="S492" s="376">
        <f t="shared" si="433"/>
        <v>0</v>
      </c>
      <c r="T492" s="376"/>
      <c r="U492" s="376">
        <f t="shared" ref="U492" si="435">SUM(U493:U495)</f>
        <v>0</v>
      </c>
      <c r="V492" s="506">
        <f t="shared" si="406"/>
        <v>0</v>
      </c>
      <c r="W492" s="506">
        <f t="shared" si="407"/>
        <v>0</v>
      </c>
      <c r="X492" s="34"/>
      <c r="Y492" s="490"/>
      <c r="Z492" s="34"/>
      <c r="AA492" s="34"/>
      <c r="AB492" s="34"/>
      <c r="AH492" s="525"/>
      <c r="AI492" s="525"/>
      <c r="AJ492" s="525"/>
      <c r="AK492" s="525"/>
      <c r="AL492" s="525"/>
    </row>
    <row r="493" spans="1:38" ht="13.05" hidden="1" x14ac:dyDescent="0.3">
      <c r="A493" s="130" t="s">
        <v>154</v>
      </c>
      <c r="B493" s="107" t="s">
        <v>17</v>
      </c>
      <c r="C493" s="560"/>
      <c r="D493" s="81"/>
      <c r="E493" s="81"/>
      <c r="F493" s="370"/>
      <c r="G493" s="370"/>
      <c r="H493" s="370"/>
      <c r="I493" s="370"/>
      <c r="J493" s="370"/>
      <c r="K493" s="370"/>
      <c r="L493" s="370"/>
      <c r="M493" s="370"/>
      <c r="N493" s="370"/>
      <c r="O493" s="370"/>
      <c r="P493" s="370"/>
      <c r="Q493" s="370"/>
      <c r="R493" s="370"/>
      <c r="S493" s="370"/>
      <c r="T493" s="370"/>
      <c r="U493" s="370"/>
      <c r="V493" s="506">
        <f t="shared" si="406"/>
        <v>0</v>
      </c>
      <c r="W493" s="506">
        <f t="shared" si="407"/>
        <v>0</v>
      </c>
      <c r="X493" s="31"/>
      <c r="Y493" s="486"/>
      <c r="Z493" s="31"/>
      <c r="AA493" s="31"/>
      <c r="AB493" s="31"/>
    </row>
    <row r="494" spans="1:38" ht="13.05" hidden="1" x14ac:dyDescent="0.3">
      <c r="A494" s="130" t="s">
        <v>155</v>
      </c>
      <c r="B494" s="107" t="s">
        <v>18</v>
      </c>
      <c r="C494" s="588"/>
      <c r="D494" s="101"/>
      <c r="E494" s="101"/>
      <c r="F494" s="375"/>
      <c r="G494" s="375"/>
      <c r="H494" s="375"/>
      <c r="I494" s="375"/>
      <c r="J494" s="375"/>
      <c r="K494" s="375"/>
      <c r="L494" s="375"/>
      <c r="M494" s="375"/>
      <c r="N494" s="375"/>
      <c r="O494" s="375"/>
      <c r="P494" s="375"/>
      <c r="Q494" s="375"/>
      <c r="R494" s="375"/>
      <c r="S494" s="375"/>
      <c r="T494" s="375"/>
      <c r="U494" s="375"/>
      <c r="V494" s="506">
        <f t="shared" si="406"/>
        <v>0</v>
      </c>
      <c r="W494" s="506">
        <f t="shared" si="407"/>
        <v>0</v>
      </c>
      <c r="X494" s="31"/>
      <c r="Y494" s="486"/>
      <c r="Z494" s="31"/>
      <c r="AA494" s="31"/>
      <c r="AB494" s="31"/>
    </row>
    <row r="495" spans="1:38" ht="13.05" hidden="1" x14ac:dyDescent="0.3">
      <c r="A495" s="130">
        <v>3223</v>
      </c>
      <c r="B495" s="107" t="s">
        <v>19</v>
      </c>
      <c r="C495" s="588"/>
      <c r="D495" s="101"/>
      <c r="E495" s="101"/>
      <c r="F495" s="375"/>
      <c r="G495" s="375"/>
      <c r="H495" s="375"/>
      <c r="I495" s="375"/>
      <c r="J495" s="375"/>
      <c r="K495" s="375"/>
      <c r="L495" s="375"/>
      <c r="M495" s="375"/>
      <c r="N495" s="375"/>
      <c r="O495" s="375"/>
      <c r="P495" s="375"/>
      <c r="Q495" s="375"/>
      <c r="R495" s="375"/>
      <c r="S495" s="375"/>
      <c r="T495" s="375"/>
      <c r="U495" s="375"/>
      <c r="V495" s="506">
        <f t="shared" si="406"/>
        <v>0</v>
      </c>
      <c r="W495" s="506">
        <f t="shared" si="407"/>
        <v>0</v>
      </c>
      <c r="X495" s="31"/>
      <c r="Y495" s="486"/>
      <c r="Z495" s="31"/>
      <c r="AA495" s="31"/>
      <c r="AB495" s="31"/>
    </row>
    <row r="496" spans="1:38" ht="13.05" hidden="1" x14ac:dyDescent="0.3">
      <c r="A496" s="586">
        <v>323</v>
      </c>
      <c r="B496" s="558" t="s">
        <v>123</v>
      </c>
      <c r="C496" s="559">
        <f>SUM(C497:C500)</f>
        <v>634000</v>
      </c>
      <c r="D496" s="79"/>
      <c r="E496" s="79">
        <f>SUM(E497:E500)</f>
        <v>406000</v>
      </c>
      <c r="F496" s="369">
        <f t="shared" ref="F496:U496" si="436">SUM(F497:F500)</f>
        <v>56000</v>
      </c>
      <c r="G496" s="369">
        <f t="shared" si="436"/>
        <v>0</v>
      </c>
      <c r="H496" s="369">
        <f t="shared" si="436"/>
        <v>0</v>
      </c>
      <c r="I496" s="369">
        <f t="shared" si="436"/>
        <v>0</v>
      </c>
      <c r="J496" s="369">
        <f t="shared" si="436"/>
        <v>0</v>
      </c>
      <c r="K496" s="369">
        <f t="shared" si="436"/>
        <v>0</v>
      </c>
      <c r="L496" s="369">
        <f t="shared" si="436"/>
        <v>0</v>
      </c>
      <c r="M496" s="369">
        <f t="shared" si="436"/>
        <v>0</v>
      </c>
      <c r="N496" s="369">
        <f t="shared" si="436"/>
        <v>0</v>
      </c>
      <c r="O496" s="369">
        <f t="shared" si="436"/>
        <v>0</v>
      </c>
      <c r="P496" s="369">
        <f t="shared" si="436"/>
        <v>0</v>
      </c>
      <c r="Q496" s="369">
        <f t="shared" si="436"/>
        <v>0</v>
      </c>
      <c r="R496" s="369">
        <f t="shared" si="436"/>
        <v>0</v>
      </c>
      <c r="S496" s="369">
        <f t="shared" si="436"/>
        <v>0</v>
      </c>
      <c r="T496" s="369">
        <f t="shared" si="436"/>
        <v>0</v>
      </c>
      <c r="U496" s="369">
        <f t="shared" si="436"/>
        <v>0</v>
      </c>
      <c r="V496" s="506">
        <f t="shared" si="406"/>
        <v>0</v>
      </c>
      <c r="W496" s="506">
        <f t="shared" si="407"/>
        <v>0</v>
      </c>
      <c r="X496" s="31"/>
      <c r="Y496" s="486"/>
      <c r="Z496" s="31"/>
      <c r="AA496" s="31"/>
      <c r="AB496" s="31"/>
    </row>
    <row r="497" spans="1:38" ht="13.05" hidden="1" x14ac:dyDescent="0.3">
      <c r="A497" s="130">
        <v>3232</v>
      </c>
      <c r="B497" s="107" t="s">
        <v>25</v>
      </c>
      <c r="C497" s="588">
        <v>406000</v>
      </c>
      <c r="D497" s="101"/>
      <c r="E497" s="101">
        <v>406000</v>
      </c>
      <c r="F497" s="375">
        <v>27000</v>
      </c>
      <c r="G497" s="375"/>
      <c r="H497" s="375"/>
      <c r="I497" s="375"/>
      <c r="J497" s="375"/>
      <c r="K497" s="101"/>
      <c r="L497" s="101"/>
      <c r="M497" s="63"/>
      <c r="N497" s="375"/>
      <c r="O497" s="375"/>
      <c r="P497" s="101"/>
      <c r="Q497" s="101"/>
      <c r="R497" s="101"/>
      <c r="S497" s="70">
        <f>P497-M497</f>
        <v>0</v>
      </c>
      <c r="T497" s="70">
        <f>P497-N497</f>
        <v>0</v>
      </c>
      <c r="U497" s="63">
        <f>N497-G497</f>
        <v>0</v>
      </c>
      <c r="V497" s="506">
        <f t="shared" si="406"/>
        <v>0</v>
      </c>
      <c r="W497" s="506">
        <f t="shared" si="407"/>
        <v>0</v>
      </c>
      <c r="X497" s="31"/>
      <c r="Y497" s="486"/>
      <c r="Z497" s="31"/>
      <c r="AA497" s="31"/>
      <c r="AB497" s="31"/>
    </row>
    <row r="498" spans="1:38" ht="13.05" hidden="1" x14ac:dyDescent="0.3">
      <c r="A498" s="130">
        <v>3237</v>
      </c>
      <c r="B498" s="107" t="s">
        <v>30</v>
      </c>
      <c r="C498" s="588">
        <v>55000</v>
      </c>
      <c r="D498" s="101"/>
      <c r="E498" s="101">
        <v>0</v>
      </c>
      <c r="F498" s="375">
        <v>14000</v>
      </c>
      <c r="G498" s="375"/>
      <c r="H498" s="375"/>
      <c r="I498" s="375"/>
      <c r="J498" s="375"/>
      <c r="K498" s="101"/>
      <c r="L498" s="101"/>
      <c r="M498" s="63"/>
      <c r="N498" s="375"/>
      <c r="O498" s="375"/>
      <c r="P498" s="101"/>
      <c r="Q498" s="101"/>
      <c r="R498" s="101"/>
      <c r="S498" s="70">
        <f>P498-M498</f>
        <v>0</v>
      </c>
      <c r="T498" s="70">
        <f>P498-N498</f>
        <v>0</v>
      </c>
      <c r="U498" s="63">
        <f>N498-G498</f>
        <v>0</v>
      </c>
      <c r="V498" s="506">
        <f t="shared" si="406"/>
        <v>0</v>
      </c>
      <c r="W498" s="506">
        <f t="shared" si="407"/>
        <v>0</v>
      </c>
      <c r="X498" s="31"/>
      <c r="Y498" s="486"/>
      <c r="Z498" s="31"/>
      <c r="AA498" s="31"/>
      <c r="AB498" s="31"/>
    </row>
    <row r="499" spans="1:38" ht="13.05" hidden="1" x14ac:dyDescent="0.3">
      <c r="A499" s="130">
        <v>3238</v>
      </c>
      <c r="B499" s="107" t="s">
        <v>70</v>
      </c>
      <c r="C499" s="588">
        <v>133000</v>
      </c>
      <c r="D499" s="101"/>
      <c r="E499" s="101">
        <v>0</v>
      </c>
      <c r="F499" s="375"/>
      <c r="G499" s="375"/>
      <c r="H499" s="375"/>
      <c r="I499" s="375"/>
      <c r="J499" s="375"/>
      <c r="K499" s="101"/>
      <c r="L499" s="101"/>
      <c r="M499" s="63"/>
      <c r="N499" s="375"/>
      <c r="O499" s="375"/>
      <c r="P499" s="101"/>
      <c r="Q499" s="101"/>
      <c r="R499" s="101"/>
      <c r="S499" s="70">
        <f>P499-M499</f>
        <v>0</v>
      </c>
      <c r="T499" s="70">
        <f>P499-N499</f>
        <v>0</v>
      </c>
      <c r="U499" s="63">
        <f>N499-G499</f>
        <v>0</v>
      </c>
      <c r="V499" s="506">
        <f t="shared" si="406"/>
        <v>0</v>
      </c>
      <c r="W499" s="506">
        <f t="shared" si="407"/>
        <v>0</v>
      </c>
      <c r="X499" s="31"/>
      <c r="Y499" s="486"/>
      <c r="Z499" s="31"/>
      <c r="AA499" s="31"/>
      <c r="AB499" s="31"/>
    </row>
    <row r="500" spans="1:38" ht="13.05" hidden="1" x14ac:dyDescent="0.3">
      <c r="A500" s="130">
        <v>3239</v>
      </c>
      <c r="B500" s="107" t="s">
        <v>31</v>
      </c>
      <c r="C500" s="588">
        <v>40000</v>
      </c>
      <c r="D500" s="101"/>
      <c r="E500" s="101">
        <v>0</v>
      </c>
      <c r="F500" s="375">
        <v>15000</v>
      </c>
      <c r="G500" s="375"/>
      <c r="H500" s="375"/>
      <c r="I500" s="375"/>
      <c r="J500" s="375"/>
      <c r="K500" s="101"/>
      <c r="L500" s="101"/>
      <c r="M500" s="63"/>
      <c r="N500" s="375"/>
      <c r="O500" s="375"/>
      <c r="P500" s="101"/>
      <c r="Q500" s="101"/>
      <c r="R500" s="101"/>
      <c r="S500" s="70">
        <f>P500-M500</f>
        <v>0</v>
      </c>
      <c r="T500" s="70">
        <f>P500-N500</f>
        <v>0</v>
      </c>
      <c r="U500" s="63">
        <f>N500-G500</f>
        <v>0</v>
      </c>
      <c r="V500" s="506">
        <f t="shared" si="406"/>
        <v>0</v>
      </c>
      <c r="W500" s="506">
        <f t="shared" si="407"/>
        <v>0</v>
      </c>
      <c r="X500" s="31"/>
      <c r="Y500" s="486"/>
      <c r="Z500" s="31"/>
      <c r="AA500" s="31"/>
      <c r="AB500" s="31"/>
    </row>
    <row r="501" spans="1:38" ht="21.6" hidden="1" customHeight="1" x14ac:dyDescent="0.3">
      <c r="A501" s="570" t="s">
        <v>323</v>
      </c>
      <c r="B501" s="571" t="s">
        <v>324</v>
      </c>
      <c r="C501" s="531">
        <f>SUM(C502,C507,C512)</f>
        <v>1039000</v>
      </c>
      <c r="D501" s="141"/>
      <c r="E501" s="141">
        <f t="shared" ref="E501:U501" si="437">SUM(E502,E507,E512)</f>
        <v>358000</v>
      </c>
      <c r="F501" s="364">
        <f t="shared" si="437"/>
        <v>129000</v>
      </c>
      <c r="G501" s="364">
        <f t="shared" si="437"/>
        <v>0</v>
      </c>
      <c r="H501" s="364">
        <f t="shared" si="437"/>
        <v>20000</v>
      </c>
      <c r="I501" s="364">
        <f t="shared" si="437"/>
        <v>20000</v>
      </c>
      <c r="J501" s="364">
        <f t="shared" si="437"/>
        <v>0</v>
      </c>
      <c r="K501" s="364">
        <f t="shared" si="437"/>
        <v>0</v>
      </c>
      <c r="L501" s="364">
        <f t="shared" si="437"/>
        <v>0</v>
      </c>
      <c r="M501" s="364">
        <f t="shared" si="437"/>
        <v>0</v>
      </c>
      <c r="N501" s="364">
        <f t="shared" si="437"/>
        <v>0</v>
      </c>
      <c r="O501" s="364">
        <f t="shared" si="437"/>
        <v>0</v>
      </c>
      <c r="P501" s="364">
        <f t="shared" si="437"/>
        <v>0</v>
      </c>
      <c r="Q501" s="364">
        <f t="shared" si="437"/>
        <v>0</v>
      </c>
      <c r="R501" s="364">
        <f t="shared" si="437"/>
        <v>0</v>
      </c>
      <c r="S501" s="532">
        <f t="shared" si="437"/>
        <v>0</v>
      </c>
      <c r="T501" s="532">
        <f t="shared" si="437"/>
        <v>0</v>
      </c>
      <c r="U501" s="532">
        <f t="shared" si="437"/>
        <v>0</v>
      </c>
      <c r="V501" s="506">
        <f t="shared" si="406"/>
        <v>0</v>
      </c>
      <c r="W501" s="506">
        <f t="shared" si="407"/>
        <v>0</v>
      </c>
      <c r="X501" s="31"/>
      <c r="Y501" s="486"/>
      <c r="Z501" s="31"/>
      <c r="AA501" s="31"/>
      <c r="AB501" s="31"/>
    </row>
    <row r="502" spans="1:38" s="2" customFormat="1" ht="14.55" hidden="1" customHeight="1" x14ac:dyDescent="0.3">
      <c r="A502" s="557" t="s">
        <v>177</v>
      </c>
      <c r="B502" s="558" t="s">
        <v>129</v>
      </c>
      <c r="C502" s="559">
        <f t="shared" ref="C502:U502" si="438">SUM(C503:C506)</f>
        <v>604000</v>
      </c>
      <c r="D502" s="79"/>
      <c r="E502" s="79">
        <f t="shared" ref="E502" si="439">SUM(E503:E506)</f>
        <v>218000</v>
      </c>
      <c r="F502" s="369">
        <f t="shared" si="438"/>
        <v>59000</v>
      </c>
      <c r="G502" s="369">
        <f t="shared" si="438"/>
        <v>0</v>
      </c>
      <c r="H502" s="369">
        <f t="shared" si="438"/>
        <v>20000</v>
      </c>
      <c r="I502" s="369">
        <f t="shared" si="438"/>
        <v>20000</v>
      </c>
      <c r="J502" s="369">
        <f t="shared" si="438"/>
        <v>0</v>
      </c>
      <c r="K502" s="369">
        <f t="shared" si="438"/>
        <v>0</v>
      </c>
      <c r="L502" s="369">
        <f t="shared" si="438"/>
        <v>0</v>
      </c>
      <c r="M502" s="369">
        <f t="shared" si="438"/>
        <v>0</v>
      </c>
      <c r="N502" s="369">
        <f t="shared" si="438"/>
        <v>0</v>
      </c>
      <c r="O502" s="369">
        <f t="shared" si="438"/>
        <v>0</v>
      </c>
      <c r="P502" s="369">
        <f t="shared" si="438"/>
        <v>0</v>
      </c>
      <c r="Q502" s="369">
        <f t="shared" si="438"/>
        <v>0</v>
      </c>
      <c r="R502" s="369">
        <f t="shared" si="438"/>
        <v>0</v>
      </c>
      <c r="S502" s="369">
        <f t="shared" si="438"/>
        <v>0</v>
      </c>
      <c r="T502" s="369">
        <f t="shared" si="438"/>
        <v>0</v>
      </c>
      <c r="U502" s="369">
        <f t="shared" si="438"/>
        <v>0</v>
      </c>
      <c r="V502" s="506">
        <f t="shared" si="406"/>
        <v>0</v>
      </c>
      <c r="W502" s="506">
        <f t="shared" si="407"/>
        <v>0</v>
      </c>
      <c r="X502" s="34"/>
      <c r="Y502" s="490"/>
      <c r="Z502" s="34"/>
      <c r="AA502" s="34"/>
      <c r="AB502" s="34"/>
      <c r="AH502" s="525"/>
      <c r="AI502" s="525"/>
      <c r="AJ502" s="525"/>
      <c r="AK502" s="525"/>
      <c r="AL502" s="525"/>
    </row>
    <row r="503" spans="1:38" ht="0.6" hidden="1" customHeight="1" x14ac:dyDescent="0.3">
      <c r="A503" s="130" t="s">
        <v>178</v>
      </c>
      <c r="B503" s="107" t="s">
        <v>54</v>
      </c>
      <c r="C503" s="560">
        <v>40000</v>
      </c>
      <c r="D503" s="81"/>
      <c r="E503" s="81">
        <v>140000</v>
      </c>
      <c r="F503" s="370">
        <v>15000</v>
      </c>
      <c r="G503" s="370"/>
      <c r="H503" s="370"/>
      <c r="I503" s="370"/>
      <c r="J503" s="370"/>
      <c r="K503" s="81"/>
      <c r="L503" s="81"/>
      <c r="M503" s="63"/>
      <c r="N503" s="370"/>
      <c r="O503" s="370"/>
      <c r="P503" s="81"/>
      <c r="Q503" s="81"/>
      <c r="R503" s="81"/>
      <c r="S503" s="70">
        <f>P503-M503</f>
        <v>0</v>
      </c>
      <c r="T503" s="70">
        <f>P503-N503</f>
        <v>0</v>
      </c>
      <c r="U503" s="63">
        <f>N503-G503</f>
        <v>0</v>
      </c>
      <c r="V503" s="506">
        <f t="shared" si="406"/>
        <v>0</v>
      </c>
      <c r="W503" s="506">
        <f t="shared" si="407"/>
        <v>0</v>
      </c>
      <c r="X503" s="31"/>
      <c r="Y503" s="486"/>
      <c r="Z503" s="31"/>
      <c r="AA503" s="31"/>
      <c r="AB503" s="31"/>
    </row>
    <row r="504" spans="1:38" hidden="1" x14ac:dyDescent="0.3">
      <c r="A504" s="130">
        <v>4222</v>
      </c>
      <c r="B504" s="107" t="s">
        <v>58</v>
      </c>
      <c r="C504" s="560">
        <v>133000</v>
      </c>
      <c r="D504" s="81"/>
      <c r="E504" s="81">
        <v>0</v>
      </c>
      <c r="F504" s="370"/>
      <c r="G504" s="370"/>
      <c r="H504" s="370">
        <v>10000</v>
      </c>
      <c r="I504" s="370">
        <v>10000</v>
      </c>
      <c r="J504" s="370"/>
      <c r="K504" s="81"/>
      <c r="L504" s="81"/>
      <c r="M504" s="63">
        <f>H504-I504+J504-K504+L504</f>
        <v>0</v>
      </c>
      <c r="N504" s="370"/>
      <c r="O504" s="370"/>
      <c r="P504" s="81"/>
      <c r="Q504" s="81"/>
      <c r="R504" s="81"/>
      <c r="S504" s="70">
        <f>P504-M504</f>
        <v>0</v>
      </c>
      <c r="T504" s="70">
        <f>P504-N504</f>
        <v>0</v>
      </c>
      <c r="U504" s="63">
        <f>N504-G504</f>
        <v>0</v>
      </c>
      <c r="V504" s="506">
        <f t="shared" si="406"/>
        <v>0</v>
      </c>
      <c r="W504" s="506">
        <f t="shared" si="407"/>
        <v>0</v>
      </c>
      <c r="X504" s="31"/>
      <c r="Y504" s="486"/>
      <c r="Z504" s="31"/>
      <c r="AA504" s="31"/>
      <c r="AB504" s="31"/>
    </row>
    <row r="505" spans="1:38" ht="12.6" hidden="1" customHeight="1" x14ac:dyDescent="0.3">
      <c r="A505" s="130" t="s">
        <v>179</v>
      </c>
      <c r="B505" s="107" t="s">
        <v>59</v>
      </c>
      <c r="C505" s="560">
        <v>378000</v>
      </c>
      <c r="D505" s="81"/>
      <c r="E505" s="81">
        <v>78000</v>
      </c>
      <c r="F505" s="370">
        <v>29000</v>
      </c>
      <c r="G505" s="370"/>
      <c r="H505" s="370">
        <v>10000</v>
      </c>
      <c r="I505" s="370">
        <v>10000</v>
      </c>
      <c r="J505" s="370"/>
      <c r="K505" s="81"/>
      <c r="L505" s="81"/>
      <c r="M505" s="63">
        <f>H505-I505+J505-K505+L505</f>
        <v>0</v>
      </c>
      <c r="N505" s="370"/>
      <c r="O505" s="370"/>
      <c r="P505" s="81"/>
      <c r="Q505" s="81"/>
      <c r="R505" s="81"/>
      <c r="S505" s="70">
        <f>P505-M505</f>
        <v>0</v>
      </c>
      <c r="T505" s="70">
        <f>P505-N505</f>
        <v>0</v>
      </c>
      <c r="U505" s="63">
        <f>N505-G505</f>
        <v>0</v>
      </c>
      <c r="V505" s="506">
        <f t="shared" si="406"/>
        <v>0</v>
      </c>
      <c r="W505" s="506">
        <f t="shared" si="407"/>
        <v>0</v>
      </c>
      <c r="X505" s="31"/>
      <c r="Y505" s="486"/>
      <c r="Z505" s="31"/>
      <c r="AA505" s="31"/>
      <c r="AB505" s="31"/>
    </row>
    <row r="506" spans="1:38" ht="13.05" hidden="1" x14ac:dyDescent="0.3">
      <c r="A506" s="130">
        <v>4227</v>
      </c>
      <c r="B506" s="107" t="s">
        <v>60</v>
      </c>
      <c r="C506" s="560">
        <v>53000</v>
      </c>
      <c r="D506" s="81"/>
      <c r="E506" s="81">
        <v>0</v>
      </c>
      <c r="F506" s="370">
        <v>15000</v>
      </c>
      <c r="G506" s="370"/>
      <c r="H506" s="370"/>
      <c r="I506" s="370"/>
      <c r="J506" s="370"/>
      <c r="K506" s="81"/>
      <c r="L506" s="81"/>
      <c r="M506" s="63"/>
      <c r="N506" s="370"/>
      <c r="O506" s="370"/>
      <c r="P506" s="81"/>
      <c r="Q506" s="81"/>
      <c r="R506" s="81"/>
      <c r="S506" s="70">
        <f>P506-M506</f>
        <v>0</v>
      </c>
      <c r="T506" s="70">
        <f>P506-N506</f>
        <v>0</v>
      </c>
      <c r="U506" s="63">
        <f>N506-G506</f>
        <v>0</v>
      </c>
      <c r="V506" s="506">
        <f t="shared" si="406"/>
        <v>0</v>
      </c>
      <c r="W506" s="506">
        <f t="shared" si="407"/>
        <v>0</v>
      </c>
      <c r="X506" s="31"/>
      <c r="Y506" s="486"/>
      <c r="Z506" s="31"/>
      <c r="AA506" s="31"/>
      <c r="AB506" s="31"/>
    </row>
    <row r="507" spans="1:38" s="2" customFormat="1" ht="13.05" hidden="1" x14ac:dyDescent="0.3">
      <c r="A507" s="557" t="s">
        <v>181</v>
      </c>
      <c r="B507" s="558" t="s">
        <v>61</v>
      </c>
      <c r="C507" s="559">
        <f t="shared" ref="C507:F507" si="440">SUM(C508:C509)</f>
        <v>266000</v>
      </c>
      <c r="D507" s="79"/>
      <c r="E507" s="79">
        <f t="shared" ref="E507" si="441">SUM(E508:E509)</f>
        <v>130000</v>
      </c>
      <c r="F507" s="369">
        <f t="shared" si="440"/>
        <v>0</v>
      </c>
      <c r="G507" s="369">
        <f t="shared" ref="G507:U507" si="442">SUM(G508:G509)</f>
        <v>0</v>
      </c>
      <c r="H507" s="369">
        <f t="shared" si="442"/>
        <v>0</v>
      </c>
      <c r="I507" s="369">
        <f t="shared" si="442"/>
        <v>0</v>
      </c>
      <c r="J507" s="369">
        <f t="shared" si="442"/>
        <v>0</v>
      </c>
      <c r="K507" s="369">
        <f t="shared" si="442"/>
        <v>0</v>
      </c>
      <c r="L507" s="369">
        <f t="shared" si="442"/>
        <v>0</v>
      </c>
      <c r="M507" s="369">
        <f t="shared" si="442"/>
        <v>0</v>
      </c>
      <c r="N507" s="369">
        <f t="shared" si="442"/>
        <v>0</v>
      </c>
      <c r="O507" s="369">
        <f t="shared" si="442"/>
        <v>0</v>
      </c>
      <c r="P507" s="369">
        <f t="shared" si="442"/>
        <v>0</v>
      </c>
      <c r="Q507" s="369">
        <f t="shared" si="442"/>
        <v>0</v>
      </c>
      <c r="R507" s="369">
        <f t="shared" si="442"/>
        <v>0</v>
      </c>
      <c r="S507" s="369">
        <f t="shared" si="442"/>
        <v>0</v>
      </c>
      <c r="T507" s="369">
        <f t="shared" si="442"/>
        <v>0</v>
      </c>
      <c r="U507" s="369">
        <f t="shared" si="442"/>
        <v>0</v>
      </c>
      <c r="V507" s="506">
        <f t="shared" si="406"/>
        <v>0</v>
      </c>
      <c r="W507" s="506">
        <f t="shared" si="407"/>
        <v>0</v>
      </c>
      <c r="X507" s="34"/>
      <c r="Y507" s="490"/>
      <c r="Z507" s="34"/>
      <c r="AA507" s="34"/>
      <c r="AB507" s="34"/>
      <c r="AH507" s="525"/>
      <c r="AI507" s="525"/>
      <c r="AJ507" s="525"/>
      <c r="AK507" s="525"/>
      <c r="AL507" s="525"/>
    </row>
    <row r="508" spans="1:38" ht="13.05" hidden="1" x14ac:dyDescent="0.3">
      <c r="A508" s="130" t="s">
        <v>182</v>
      </c>
      <c r="B508" s="107" t="s">
        <v>62</v>
      </c>
      <c r="C508" s="560">
        <v>266000</v>
      </c>
      <c r="D508" s="81"/>
      <c r="E508" s="81">
        <v>130000</v>
      </c>
      <c r="F508" s="370"/>
      <c r="G508" s="370"/>
      <c r="H508" s="370"/>
      <c r="I508" s="370"/>
      <c r="J508" s="370"/>
      <c r="K508" s="81"/>
      <c r="L508" s="81"/>
      <c r="M508" s="63"/>
      <c r="N508" s="370"/>
      <c r="O508" s="370"/>
      <c r="P508" s="81"/>
      <c r="Q508" s="81"/>
      <c r="R508" s="81"/>
      <c r="S508" s="70">
        <f>P508-M508</f>
        <v>0</v>
      </c>
      <c r="T508" s="70">
        <f>P508-N508</f>
        <v>0</v>
      </c>
      <c r="U508" s="63">
        <f>N508-G508</f>
        <v>0</v>
      </c>
      <c r="V508" s="506">
        <f t="shared" si="406"/>
        <v>0</v>
      </c>
      <c r="W508" s="506">
        <f t="shared" si="407"/>
        <v>0</v>
      </c>
      <c r="X508" s="31"/>
      <c r="Y508" s="486"/>
      <c r="Z508" s="31"/>
      <c r="AA508" s="31"/>
      <c r="AB508" s="31"/>
    </row>
    <row r="509" spans="1:38" ht="13.05" hidden="1" x14ac:dyDescent="0.3">
      <c r="A509" s="130">
        <v>4233</v>
      </c>
      <c r="B509" s="107" t="s">
        <v>227</v>
      </c>
      <c r="C509" s="560"/>
      <c r="D509" s="81"/>
      <c r="E509" s="81"/>
      <c r="F509" s="370"/>
      <c r="G509" s="370"/>
      <c r="H509" s="370"/>
      <c r="I509" s="370"/>
      <c r="J509" s="370"/>
      <c r="K509" s="370"/>
      <c r="L509" s="370"/>
      <c r="M509" s="370"/>
      <c r="N509" s="370"/>
      <c r="O509" s="370"/>
      <c r="P509" s="370"/>
      <c r="Q509" s="370"/>
      <c r="R509" s="370"/>
      <c r="S509" s="370"/>
      <c r="T509" s="370"/>
      <c r="U509" s="370"/>
      <c r="V509" s="506">
        <f t="shared" si="406"/>
        <v>0</v>
      </c>
      <c r="W509" s="506">
        <f t="shared" si="407"/>
        <v>0</v>
      </c>
      <c r="X509" s="31"/>
      <c r="Y509" s="486"/>
      <c r="Z509" s="31"/>
      <c r="AA509" s="31"/>
      <c r="AB509" s="31"/>
    </row>
    <row r="510" spans="1:38" ht="13.05" hidden="1" x14ac:dyDescent="0.3">
      <c r="A510" s="586">
        <v>425</v>
      </c>
      <c r="B510" s="558" t="s">
        <v>309</v>
      </c>
      <c r="C510" s="90">
        <f t="shared" ref="C510:U510" si="443">SUM(C511)</f>
        <v>0</v>
      </c>
      <c r="D510" s="62"/>
      <c r="E510" s="62">
        <f t="shared" si="443"/>
        <v>0</v>
      </c>
      <c r="F510" s="91">
        <f t="shared" si="443"/>
        <v>0</v>
      </c>
      <c r="G510" s="91">
        <f t="shared" si="443"/>
        <v>0</v>
      </c>
      <c r="H510" s="91">
        <f t="shared" si="443"/>
        <v>0</v>
      </c>
      <c r="I510" s="91"/>
      <c r="J510" s="91"/>
      <c r="K510" s="91"/>
      <c r="L510" s="91"/>
      <c r="M510" s="91"/>
      <c r="N510" s="91">
        <f t="shared" si="443"/>
        <v>0</v>
      </c>
      <c r="O510" s="91">
        <f t="shared" si="443"/>
        <v>0</v>
      </c>
      <c r="P510" s="91"/>
      <c r="Q510" s="91"/>
      <c r="R510" s="91"/>
      <c r="S510" s="91">
        <f t="shared" si="443"/>
        <v>0</v>
      </c>
      <c r="T510" s="91"/>
      <c r="U510" s="91">
        <f t="shared" si="443"/>
        <v>0</v>
      </c>
      <c r="V510" s="506">
        <f t="shared" si="406"/>
        <v>0</v>
      </c>
      <c r="W510" s="506">
        <f t="shared" si="407"/>
        <v>0</v>
      </c>
      <c r="X510" s="31"/>
      <c r="Y510" s="486"/>
      <c r="Z510" s="31"/>
      <c r="AA510" s="31"/>
      <c r="AB510" s="31"/>
    </row>
    <row r="511" spans="1:38" ht="13.05" hidden="1" x14ac:dyDescent="0.3">
      <c r="A511" s="130">
        <v>4252</v>
      </c>
      <c r="B511" s="107" t="s">
        <v>63</v>
      </c>
      <c r="C511" s="560"/>
      <c r="D511" s="81"/>
      <c r="E511" s="81"/>
      <c r="F511" s="370"/>
      <c r="G511" s="370"/>
      <c r="H511" s="370"/>
      <c r="I511" s="370"/>
      <c r="J511" s="370"/>
      <c r="K511" s="370"/>
      <c r="L511" s="370"/>
      <c r="M511" s="370"/>
      <c r="N511" s="370"/>
      <c r="O511" s="370"/>
      <c r="P511" s="370"/>
      <c r="Q511" s="370"/>
      <c r="R511" s="370"/>
      <c r="S511" s="370"/>
      <c r="T511" s="370"/>
      <c r="U511" s="370"/>
      <c r="V511" s="506">
        <f t="shared" si="406"/>
        <v>0</v>
      </c>
      <c r="W511" s="506">
        <f t="shared" si="407"/>
        <v>0</v>
      </c>
      <c r="X511" s="31"/>
      <c r="Y511" s="486"/>
      <c r="Z511" s="31"/>
      <c r="AA511" s="31"/>
      <c r="AB511" s="31"/>
    </row>
    <row r="512" spans="1:38" ht="13.05" hidden="1" x14ac:dyDescent="0.3">
      <c r="A512" s="586">
        <v>426</v>
      </c>
      <c r="B512" s="558" t="s">
        <v>73</v>
      </c>
      <c r="C512" s="559">
        <f t="shared" ref="C512:U512" si="444">C513</f>
        <v>169000</v>
      </c>
      <c r="D512" s="79"/>
      <c r="E512" s="79">
        <f t="shared" si="444"/>
        <v>10000</v>
      </c>
      <c r="F512" s="369">
        <f t="shared" si="444"/>
        <v>70000</v>
      </c>
      <c r="G512" s="369">
        <f t="shared" si="444"/>
        <v>0</v>
      </c>
      <c r="H512" s="369">
        <f t="shared" si="444"/>
        <v>0</v>
      </c>
      <c r="I512" s="369">
        <f t="shared" si="444"/>
        <v>0</v>
      </c>
      <c r="J512" s="369">
        <f t="shared" si="444"/>
        <v>0</v>
      </c>
      <c r="K512" s="369">
        <f t="shared" si="444"/>
        <v>0</v>
      </c>
      <c r="L512" s="369">
        <f t="shared" si="444"/>
        <v>0</v>
      </c>
      <c r="M512" s="369">
        <f t="shared" si="444"/>
        <v>0</v>
      </c>
      <c r="N512" s="369">
        <f t="shared" si="444"/>
        <v>0</v>
      </c>
      <c r="O512" s="369">
        <f t="shared" si="444"/>
        <v>0</v>
      </c>
      <c r="P512" s="369">
        <f t="shared" si="444"/>
        <v>0</v>
      </c>
      <c r="Q512" s="369">
        <f t="shared" si="444"/>
        <v>0</v>
      </c>
      <c r="R512" s="369">
        <f t="shared" si="444"/>
        <v>0</v>
      </c>
      <c r="S512" s="369">
        <f t="shared" si="444"/>
        <v>0</v>
      </c>
      <c r="T512" s="369">
        <f t="shared" si="444"/>
        <v>0</v>
      </c>
      <c r="U512" s="369">
        <f t="shared" si="444"/>
        <v>0</v>
      </c>
      <c r="V512" s="506">
        <f t="shared" si="406"/>
        <v>0</v>
      </c>
      <c r="W512" s="506">
        <f t="shared" si="407"/>
        <v>0</v>
      </c>
      <c r="X512" s="31"/>
      <c r="Y512" s="486"/>
      <c r="Z512" s="31"/>
      <c r="AA512" s="31"/>
      <c r="AB512" s="31"/>
    </row>
    <row r="513" spans="1:38" ht="13.05" hidden="1" x14ac:dyDescent="0.3">
      <c r="A513" s="130">
        <v>4262</v>
      </c>
      <c r="B513" s="107" t="s">
        <v>272</v>
      </c>
      <c r="C513" s="560">
        <v>169000</v>
      </c>
      <c r="D513" s="81"/>
      <c r="E513" s="81">
        <v>10000</v>
      </c>
      <c r="F513" s="370">
        <v>70000</v>
      </c>
      <c r="G513" s="370"/>
      <c r="H513" s="370"/>
      <c r="I513" s="370"/>
      <c r="J513" s="370"/>
      <c r="K513" s="81"/>
      <c r="L513" s="81"/>
      <c r="M513" s="63"/>
      <c r="N513" s="370"/>
      <c r="O513" s="370"/>
      <c r="P513" s="81"/>
      <c r="Q513" s="81"/>
      <c r="R513" s="81"/>
      <c r="S513" s="70">
        <f>P513-M513</f>
        <v>0</v>
      </c>
      <c r="T513" s="70">
        <f>P513-N513</f>
        <v>0</v>
      </c>
      <c r="U513" s="63">
        <f>N513-G513</f>
        <v>0</v>
      </c>
      <c r="V513" s="506">
        <f t="shared" si="406"/>
        <v>0</v>
      </c>
      <c r="W513" s="506">
        <f t="shared" si="407"/>
        <v>0</v>
      </c>
      <c r="X513" s="31"/>
      <c r="Y513" s="486"/>
      <c r="Z513" s="31"/>
      <c r="AA513" s="31"/>
      <c r="AB513" s="31"/>
    </row>
    <row r="514" spans="1:38" ht="25.05" hidden="1" customHeight="1" x14ac:dyDescent="0.3">
      <c r="A514" s="573" t="s">
        <v>81</v>
      </c>
      <c r="B514" s="538" t="s">
        <v>82</v>
      </c>
      <c r="C514" s="539">
        <f t="shared" ref="C514:U514" si="445">SUM(C515)</f>
        <v>780000</v>
      </c>
      <c r="D514" s="65"/>
      <c r="E514" s="65">
        <f t="shared" si="445"/>
        <v>449000</v>
      </c>
      <c r="F514" s="365">
        <f t="shared" si="445"/>
        <v>88100</v>
      </c>
      <c r="G514" s="365">
        <f t="shared" si="445"/>
        <v>0</v>
      </c>
      <c r="H514" s="365">
        <f t="shared" si="445"/>
        <v>498000</v>
      </c>
      <c r="I514" s="365">
        <f t="shared" si="445"/>
        <v>390500</v>
      </c>
      <c r="J514" s="365">
        <f t="shared" si="445"/>
        <v>0</v>
      </c>
      <c r="K514" s="365">
        <f t="shared" si="445"/>
        <v>0</v>
      </c>
      <c r="L514" s="365">
        <f t="shared" si="445"/>
        <v>0</v>
      </c>
      <c r="M514" s="365">
        <f t="shared" si="445"/>
        <v>107500</v>
      </c>
      <c r="N514" s="365">
        <f t="shared" si="445"/>
        <v>0</v>
      </c>
      <c r="O514" s="365">
        <f t="shared" si="445"/>
        <v>0</v>
      </c>
      <c r="P514" s="365">
        <f t="shared" si="445"/>
        <v>0</v>
      </c>
      <c r="Q514" s="365">
        <f t="shared" si="445"/>
        <v>0</v>
      </c>
      <c r="R514" s="365">
        <f t="shared" si="445"/>
        <v>0</v>
      </c>
      <c r="S514" s="365">
        <f t="shared" si="445"/>
        <v>-107500</v>
      </c>
      <c r="T514" s="365">
        <f t="shared" si="445"/>
        <v>0</v>
      </c>
      <c r="U514" s="365">
        <f t="shared" si="445"/>
        <v>0</v>
      </c>
      <c r="V514" s="506">
        <f t="shared" si="406"/>
        <v>-107500</v>
      </c>
      <c r="W514" s="506">
        <f t="shared" si="407"/>
        <v>0</v>
      </c>
      <c r="X514" s="31"/>
      <c r="Y514" s="486"/>
      <c r="Z514" s="31"/>
      <c r="AA514" s="31"/>
      <c r="AB514" s="31"/>
      <c r="AD514" s="3"/>
    </row>
    <row r="515" spans="1:38" s="6" customFormat="1" ht="14.4" hidden="1" x14ac:dyDescent="0.3">
      <c r="A515" s="700" t="s">
        <v>77</v>
      </c>
      <c r="B515" s="700"/>
      <c r="C515" s="582">
        <f>SUM(C516,C536,C539,C552)</f>
        <v>780000</v>
      </c>
      <c r="D515" s="100"/>
      <c r="E515" s="100">
        <f t="shared" ref="E515:U515" si="446">SUM(E516,E536,E539,E552)</f>
        <v>449000</v>
      </c>
      <c r="F515" s="374">
        <f t="shared" si="446"/>
        <v>88100</v>
      </c>
      <c r="G515" s="374">
        <f t="shared" si="446"/>
        <v>0</v>
      </c>
      <c r="H515" s="374">
        <f t="shared" si="446"/>
        <v>498000</v>
      </c>
      <c r="I515" s="374">
        <f t="shared" si="446"/>
        <v>390500</v>
      </c>
      <c r="J515" s="374">
        <f t="shared" si="446"/>
        <v>0</v>
      </c>
      <c r="K515" s="374">
        <f t="shared" si="446"/>
        <v>0</v>
      </c>
      <c r="L515" s="374">
        <f t="shared" si="446"/>
        <v>0</v>
      </c>
      <c r="M515" s="374">
        <f t="shared" si="446"/>
        <v>107500</v>
      </c>
      <c r="N515" s="374">
        <f t="shared" si="446"/>
        <v>0</v>
      </c>
      <c r="O515" s="374">
        <f t="shared" si="446"/>
        <v>0</v>
      </c>
      <c r="P515" s="374">
        <f t="shared" si="446"/>
        <v>0</v>
      </c>
      <c r="Q515" s="374">
        <f t="shared" si="446"/>
        <v>0</v>
      </c>
      <c r="R515" s="374">
        <f t="shared" si="446"/>
        <v>0</v>
      </c>
      <c r="S515" s="587">
        <f t="shared" si="446"/>
        <v>-107500</v>
      </c>
      <c r="T515" s="587">
        <f t="shared" si="446"/>
        <v>0</v>
      </c>
      <c r="U515" s="587">
        <f t="shared" si="446"/>
        <v>0</v>
      </c>
      <c r="V515" s="506">
        <f t="shared" si="406"/>
        <v>-107500</v>
      </c>
      <c r="W515" s="506">
        <f t="shared" si="407"/>
        <v>0</v>
      </c>
      <c r="X515" s="97"/>
      <c r="Y515" s="496"/>
      <c r="Z515" s="97"/>
      <c r="AA515" s="97"/>
      <c r="AB515" s="97"/>
      <c r="AH515" s="575"/>
      <c r="AI515" s="575"/>
      <c r="AJ515" s="575"/>
      <c r="AK515" s="575"/>
      <c r="AL515" s="575"/>
    </row>
    <row r="516" spans="1:38" s="6" customFormat="1" ht="14.4" hidden="1" x14ac:dyDescent="0.3">
      <c r="A516" s="540" t="s">
        <v>317</v>
      </c>
      <c r="B516" s="145" t="s">
        <v>318</v>
      </c>
      <c r="C516" s="146">
        <f>SUM(C517,C521,C527)</f>
        <v>324000</v>
      </c>
      <c r="D516" s="142"/>
      <c r="E516" s="142">
        <f t="shared" ref="E516:U516" si="447">SUM(E517,E521,E527)</f>
        <v>135000</v>
      </c>
      <c r="F516" s="147">
        <f t="shared" si="447"/>
        <v>71000</v>
      </c>
      <c r="G516" s="147">
        <f t="shared" si="447"/>
        <v>0</v>
      </c>
      <c r="H516" s="147">
        <f t="shared" si="447"/>
        <v>100000</v>
      </c>
      <c r="I516" s="147">
        <f t="shared" si="447"/>
        <v>89000</v>
      </c>
      <c r="J516" s="147">
        <f t="shared" si="447"/>
        <v>0</v>
      </c>
      <c r="K516" s="147">
        <f t="shared" si="447"/>
        <v>0</v>
      </c>
      <c r="L516" s="147">
        <f t="shared" si="447"/>
        <v>0</v>
      </c>
      <c r="M516" s="147">
        <f t="shared" si="447"/>
        <v>11000</v>
      </c>
      <c r="N516" s="147">
        <f t="shared" si="447"/>
        <v>0</v>
      </c>
      <c r="O516" s="147">
        <f t="shared" si="447"/>
        <v>0</v>
      </c>
      <c r="P516" s="147">
        <f t="shared" si="447"/>
        <v>0</v>
      </c>
      <c r="Q516" s="147">
        <f t="shared" si="447"/>
        <v>0</v>
      </c>
      <c r="R516" s="147">
        <f t="shared" si="447"/>
        <v>0</v>
      </c>
      <c r="S516" s="87">
        <f t="shared" si="447"/>
        <v>-11000</v>
      </c>
      <c r="T516" s="87">
        <f t="shared" si="447"/>
        <v>0</v>
      </c>
      <c r="U516" s="87">
        <f t="shared" si="447"/>
        <v>0</v>
      </c>
      <c r="V516" s="506">
        <f t="shared" si="406"/>
        <v>-11000</v>
      </c>
      <c r="W516" s="506">
        <f t="shared" si="407"/>
        <v>0</v>
      </c>
      <c r="X516" s="97"/>
      <c r="Y516" s="496"/>
      <c r="Z516" s="97"/>
      <c r="AA516" s="97"/>
      <c r="AB516" s="97"/>
      <c r="AH516" s="575"/>
      <c r="AI516" s="575"/>
      <c r="AJ516" s="575"/>
      <c r="AK516" s="575"/>
      <c r="AL516" s="575"/>
    </row>
    <row r="517" spans="1:38" s="6" customFormat="1" ht="14.4" hidden="1" x14ac:dyDescent="0.3">
      <c r="A517" s="557" t="s">
        <v>149</v>
      </c>
      <c r="B517" s="558" t="s">
        <v>12</v>
      </c>
      <c r="C517" s="559">
        <f t="shared" ref="C517:U517" si="448">SUM(C518:C520)</f>
        <v>17000</v>
      </c>
      <c r="D517" s="79"/>
      <c r="E517" s="79">
        <f t="shared" ref="E517" si="449">SUM(E518:E520)</f>
        <v>0</v>
      </c>
      <c r="F517" s="369">
        <f t="shared" si="448"/>
        <v>9000</v>
      </c>
      <c r="G517" s="369">
        <f t="shared" si="448"/>
        <v>0</v>
      </c>
      <c r="H517" s="369">
        <f t="shared" si="448"/>
        <v>15000</v>
      </c>
      <c r="I517" s="369">
        <f t="shared" si="448"/>
        <v>14000</v>
      </c>
      <c r="J517" s="369">
        <f t="shared" si="448"/>
        <v>0</v>
      </c>
      <c r="K517" s="369">
        <f t="shared" si="448"/>
        <v>0</v>
      </c>
      <c r="L517" s="369">
        <f t="shared" si="448"/>
        <v>0</v>
      </c>
      <c r="M517" s="369">
        <f t="shared" si="448"/>
        <v>1000</v>
      </c>
      <c r="N517" s="369">
        <f t="shared" si="448"/>
        <v>0</v>
      </c>
      <c r="O517" s="369">
        <f t="shared" si="448"/>
        <v>0</v>
      </c>
      <c r="P517" s="369">
        <f t="shared" si="448"/>
        <v>0</v>
      </c>
      <c r="Q517" s="369">
        <f t="shared" si="448"/>
        <v>0</v>
      </c>
      <c r="R517" s="369">
        <f t="shared" si="448"/>
        <v>0</v>
      </c>
      <c r="S517" s="369">
        <f t="shared" si="448"/>
        <v>-1000</v>
      </c>
      <c r="T517" s="369">
        <f t="shared" si="448"/>
        <v>0</v>
      </c>
      <c r="U517" s="369">
        <f t="shared" si="448"/>
        <v>0</v>
      </c>
      <c r="V517" s="506">
        <f t="shared" si="406"/>
        <v>-1000</v>
      </c>
      <c r="W517" s="506">
        <f t="shared" si="407"/>
        <v>0</v>
      </c>
      <c r="X517" s="97"/>
      <c r="Y517" s="496"/>
      <c r="Z517" s="97"/>
      <c r="AA517" s="97"/>
      <c r="AB517" s="97"/>
      <c r="AD517" s="435"/>
      <c r="AH517" s="575"/>
      <c r="AI517" s="575"/>
      <c r="AJ517" s="575"/>
      <c r="AK517" s="575"/>
      <c r="AL517" s="575"/>
    </row>
    <row r="518" spans="1:38" customFormat="1" ht="14.4" hidden="1" x14ac:dyDescent="0.3">
      <c r="A518" s="130" t="s">
        <v>150</v>
      </c>
      <c r="B518" s="107" t="s">
        <v>13</v>
      </c>
      <c r="C518" s="560">
        <v>4000</v>
      </c>
      <c r="D518" s="81"/>
      <c r="E518" s="81">
        <v>0</v>
      </c>
      <c r="F518" s="370">
        <v>2000</v>
      </c>
      <c r="G518" s="370"/>
      <c r="H518" s="370">
        <v>10000</v>
      </c>
      <c r="I518" s="370">
        <v>9000</v>
      </c>
      <c r="J518" s="370"/>
      <c r="K518" s="81"/>
      <c r="L518" s="81"/>
      <c r="M518" s="63">
        <f>H518-I518+J518-K518+L518</f>
        <v>1000</v>
      </c>
      <c r="N518" s="370"/>
      <c r="O518" s="370"/>
      <c r="P518" s="81"/>
      <c r="Q518" s="81"/>
      <c r="R518" s="81"/>
      <c r="S518" s="70">
        <f>P518-M518</f>
        <v>-1000</v>
      </c>
      <c r="T518" s="70">
        <f>P518-N518</f>
        <v>0</v>
      </c>
      <c r="U518" s="63">
        <f>N518-G518</f>
        <v>0</v>
      </c>
      <c r="V518" s="506">
        <f t="shared" si="406"/>
        <v>-1000</v>
      </c>
      <c r="W518" s="506">
        <f t="shared" si="407"/>
        <v>0</v>
      </c>
      <c r="X518" s="98"/>
      <c r="Y518" s="497"/>
      <c r="Z518" s="98"/>
      <c r="AA518" s="98"/>
      <c r="AB518" s="98"/>
      <c r="AH518" s="485"/>
      <c r="AI518" s="485"/>
      <c r="AJ518" s="485"/>
      <c r="AK518" s="485"/>
      <c r="AL518" s="485"/>
    </row>
    <row r="519" spans="1:38" customFormat="1" ht="14.4" hidden="1" x14ac:dyDescent="0.3">
      <c r="A519" s="130">
        <v>3212</v>
      </c>
      <c r="B519" s="107" t="s">
        <v>14</v>
      </c>
      <c r="C519" s="560">
        <v>13000</v>
      </c>
      <c r="D519" s="81"/>
      <c r="E519" s="81">
        <v>0</v>
      </c>
      <c r="F519" s="370">
        <v>7000</v>
      </c>
      <c r="G519" s="370"/>
      <c r="H519" s="370">
        <v>5000</v>
      </c>
      <c r="I519" s="370">
        <v>5000</v>
      </c>
      <c r="J519" s="370"/>
      <c r="K519" s="81"/>
      <c r="L519" s="81"/>
      <c r="M519" s="63">
        <f>H519-I519+J519-K519+L519</f>
        <v>0</v>
      </c>
      <c r="N519" s="370"/>
      <c r="O519" s="370"/>
      <c r="P519" s="81"/>
      <c r="Q519" s="81"/>
      <c r="R519" s="81"/>
      <c r="S519" s="70">
        <f>P519-M519</f>
        <v>0</v>
      </c>
      <c r="T519" s="70">
        <f>P519-N519</f>
        <v>0</v>
      </c>
      <c r="U519" s="63">
        <f>N519-G519</f>
        <v>0</v>
      </c>
      <c r="V519" s="506">
        <f t="shared" si="406"/>
        <v>0</v>
      </c>
      <c r="W519" s="506">
        <f t="shared" si="407"/>
        <v>0</v>
      </c>
      <c r="X519" s="98"/>
      <c r="Y519" s="497"/>
      <c r="Z519" s="98"/>
      <c r="AA519" s="98"/>
      <c r="AB519" s="98"/>
      <c r="AH519" s="485"/>
      <c r="AI519" s="485"/>
      <c r="AJ519" s="485"/>
      <c r="AK519" s="485"/>
      <c r="AL519" s="485"/>
    </row>
    <row r="520" spans="1:38" customFormat="1" ht="14.55" hidden="1" x14ac:dyDescent="0.35">
      <c r="A520" s="130" t="s">
        <v>152</v>
      </c>
      <c r="B520" s="107" t="s">
        <v>15</v>
      </c>
      <c r="C520" s="560"/>
      <c r="D520" s="81"/>
      <c r="E520" s="81"/>
      <c r="F520" s="370"/>
      <c r="G520" s="370"/>
      <c r="H520" s="370"/>
      <c r="I520" s="370"/>
      <c r="J520" s="370"/>
      <c r="K520" s="370"/>
      <c r="L520" s="370"/>
      <c r="M520" s="370"/>
      <c r="N520" s="370"/>
      <c r="O520" s="370"/>
      <c r="P520" s="370"/>
      <c r="Q520" s="370"/>
      <c r="R520" s="370"/>
      <c r="S520" s="370"/>
      <c r="T520" s="370"/>
      <c r="U520" s="370"/>
      <c r="V520" s="506">
        <f t="shared" si="406"/>
        <v>0</v>
      </c>
      <c r="W520" s="506">
        <f t="shared" si="407"/>
        <v>0</v>
      </c>
      <c r="X520" s="98"/>
      <c r="Y520" s="497"/>
      <c r="Z520" s="98"/>
      <c r="AA520" s="98"/>
      <c r="AB520" s="98"/>
      <c r="AH520" s="485"/>
      <c r="AI520" s="485"/>
      <c r="AJ520" s="485"/>
      <c r="AK520" s="485"/>
      <c r="AL520" s="485"/>
    </row>
    <row r="521" spans="1:38" s="6" customFormat="1" ht="14.1" hidden="1" customHeight="1" x14ac:dyDescent="0.3">
      <c r="A521" s="557" t="s">
        <v>153</v>
      </c>
      <c r="B521" s="558" t="s">
        <v>16</v>
      </c>
      <c r="C521" s="559">
        <f>SUM(C522:C526)</f>
        <v>32000</v>
      </c>
      <c r="D521" s="79"/>
      <c r="E521" s="79">
        <f t="shared" ref="E521:U521" si="450">SUM(E522:E526)</f>
        <v>50000</v>
      </c>
      <c r="F521" s="369">
        <f t="shared" si="450"/>
        <v>12000</v>
      </c>
      <c r="G521" s="369">
        <f t="shared" si="450"/>
        <v>0</v>
      </c>
      <c r="H521" s="369">
        <f t="shared" si="450"/>
        <v>25000</v>
      </c>
      <c r="I521" s="369">
        <f t="shared" si="450"/>
        <v>17000</v>
      </c>
      <c r="J521" s="369">
        <f t="shared" si="450"/>
        <v>0</v>
      </c>
      <c r="K521" s="369">
        <f t="shared" si="450"/>
        <v>0</v>
      </c>
      <c r="L521" s="369">
        <f t="shared" si="450"/>
        <v>0</v>
      </c>
      <c r="M521" s="369">
        <f t="shared" si="450"/>
        <v>8000</v>
      </c>
      <c r="N521" s="369">
        <f t="shared" si="450"/>
        <v>0</v>
      </c>
      <c r="O521" s="369">
        <f t="shared" si="450"/>
        <v>0</v>
      </c>
      <c r="P521" s="369">
        <f t="shared" si="450"/>
        <v>0</v>
      </c>
      <c r="Q521" s="369">
        <f t="shared" si="450"/>
        <v>0</v>
      </c>
      <c r="R521" s="369">
        <f t="shared" si="450"/>
        <v>0</v>
      </c>
      <c r="S521" s="369">
        <f t="shared" si="450"/>
        <v>-8000</v>
      </c>
      <c r="T521" s="369">
        <f t="shared" si="450"/>
        <v>0</v>
      </c>
      <c r="U521" s="369">
        <f t="shared" si="450"/>
        <v>0</v>
      </c>
      <c r="V521" s="506">
        <f t="shared" si="406"/>
        <v>-8000</v>
      </c>
      <c r="W521" s="506">
        <f t="shared" si="407"/>
        <v>0</v>
      </c>
      <c r="X521" s="97"/>
      <c r="Y521" s="496"/>
      <c r="Z521" s="97"/>
      <c r="AA521" s="97"/>
      <c r="AB521" s="97"/>
      <c r="AH521" s="575"/>
      <c r="AI521" s="575"/>
      <c r="AJ521" s="575"/>
      <c r="AK521" s="575"/>
      <c r="AL521" s="575"/>
    </row>
    <row r="522" spans="1:38" customFormat="1" ht="0.6" hidden="1" customHeight="1" x14ac:dyDescent="0.35">
      <c r="A522" s="130">
        <v>3221</v>
      </c>
      <c r="B522" s="107" t="s">
        <v>17</v>
      </c>
      <c r="C522" s="108"/>
      <c r="D522" s="102"/>
      <c r="E522" s="102">
        <v>1000</v>
      </c>
      <c r="F522" s="109"/>
      <c r="G522" s="109"/>
      <c r="H522" s="109"/>
      <c r="I522" s="109"/>
      <c r="J522" s="109"/>
      <c r="K522" s="102"/>
      <c r="L522" s="102"/>
      <c r="M522" s="63">
        <f>H522-I522+J522-K522+L522</f>
        <v>0</v>
      </c>
      <c r="N522" s="109"/>
      <c r="O522" s="109"/>
      <c r="P522" s="102"/>
      <c r="Q522" s="102"/>
      <c r="R522" s="102"/>
      <c r="S522" s="70">
        <f>P522-M522</f>
        <v>0</v>
      </c>
      <c r="T522" s="70">
        <f>P522-N522</f>
        <v>0</v>
      </c>
      <c r="U522" s="63">
        <f>N522-G522</f>
        <v>0</v>
      </c>
      <c r="V522" s="506">
        <f t="shared" si="406"/>
        <v>0</v>
      </c>
      <c r="W522" s="506">
        <f t="shared" si="407"/>
        <v>0</v>
      </c>
      <c r="X522" s="98"/>
      <c r="Y522" s="497"/>
      <c r="Z522" s="98"/>
      <c r="AA522" s="98"/>
      <c r="AB522" s="98"/>
      <c r="AH522" s="485"/>
      <c r="AI522" s="485"/>
      <c r="AJ522" s="485"/>
      <c r="AK522" s="485"/>
      <c r="AL522" s="485"/>
    </row>
    <row r="523" spans="1:38" customFormat="1" ht="14.55" hidden="1" x14ac:dyDescent="0.35">
      <c r="A523" s="130">
        <v>3222</v>
      </c>
      <c r="B523" s="107" t="s">
        <v>18</v>
      </c>
      <c r="C523" s="560"/>
      <c r="D523" s="81"/>
      <c r="E523" s="81">
        <v>1000</v>
      </c>
      <c r="F523" s="370"/>
      <c r="G523" s="370"/>
      <c r="H523" s="370"/>
      <c r="I523" s="370"/>
      <c r="J523" s="370"/>
      <c r="K523" s="81"/>
      <c r="L523" s="81"/>
      <c r="M523" s="63">
        <f>H523-I523+J523-K523+L523</f>
        <v>0</v>
      </c>
      <c r="N523" s="370"/>
      <c r="O523" s="370"/>
      <c r="P523" s="81"/>
      <c r="Q523" s="81"/>
      <c r="R523" s="81"/>
      <c r="S523" s="70">
        <f>P523-M523</f>
        <v>0</v>
      </c>
      <c r="T523" s="70">
        <f>P523-N523</f>
        <v>0</v>
      </c>
      <c r="U523" s="63">
        <f>N523-G523</f>
        <v>0</v>
      </c>
      <c r="V523" s="506">
        <f t="shared" ref="V523:V586" si="451">P523-M523</f>
        <v>0</v>
      </c>
      <c r="W523" s="506">
        <f t="shared" ref="W523:W586" si="452">S523-V523</f>
        <v>0</v>
      </c>
      <c r="X523" s="98"/>
      <c r="Y523" s="497"/>
      <c r="Z523" s="98"/>
      <c r="AA523" s="98"/>
      <c r="AB523" s="98"/>
      <c r="AD523" s="433"/>
      <c r="AH523" s="485"/>
      <c r="AI523" s="485"/>
      <c r="AJ523" s="485"/>
      <c r="AK523" s="485"/>
      <c r="AL523" s="485"/>
    </row>
    <row r="524" spans="1:38" customFormat="1" ht="14.4" hidden="1" x14ac:dyDescent="0.3">
      <c r="A524" s="130" t="s">
        <v>156</v>
      </c>
      <c r="B524" s="107" t="s">
        <v>19</v>
      </c>
      <c r="C524" s="560">
        <v>32000</v>
      </c>
      <c r="D524" s="81"/>
      <c r="E524" s="81">
        <v>47000</v>
      </c>
      <c r="F524" s="370">
        <v>12000</v>
      </c>
      <c r="G524" s="370"/>
      <c r="H524" s="370">
        <v>25000</v>
      </c>
      <c r="I524" s="370">
        <v>17000</v>
      </c>
      <c r="J524" s="370"/>
      <c r="K524" s="81"/>
      <c r="L524" s="81"/>
      <c r="M524" s="63">
        <f>H524-I524+J524-K524+L524</f>
        <v>8000</v>
      </c>
      <c r="N524" s="370"/>
      <c r="O524" s="370"/>
      <c r="P524" s="81"/>
      <c r="Q524" s="81"/>
      <c r="R524" s="81"/>
      <c r="S524" s="70">
        <f>P524-M524</f>
        <v>-8000</v>
      </c>
      <c r="T524" s="70">
        <f>P524-N524</f>
        <v>0</v>
      </c>
      <c r="U524" s="63">
        <f>N524-G524</f>
        <v>0</v>
      </c>
      <c r="V524" s="506">
        <f t="shared" si="451"/>
        <v>-8000</v>
      </c>
      <c r="W524" s="506">
        <f t="shared" si="452"/>
        <v>0</v>
      </c>
      <c r="X524" s="98"/>
      <c r="Y524" s="497"/>
      <c r="Z524" s="98"/>
      <c r="AA524" s="98"/>
      <c r="AB524" s="98"/>
      <c r="AH524" s="485"/>
      <c r="AI524" s="485"/>
      <c r="AJ524" s="485"/>
      <c r="AK524" s="485"/>
      <c r="AL524" s="485"/>
    </row>
    <row r="525" spans="1:38" customFormat="1" ht="14.55" hidden="1" x14ac:dyDescent="0.35">
      <c r="A525" s="130">
        <v>3224</v>
      </c>
      <c r="B525" s="107" t="s">
        <v>112</v>
      </c>
      <c r="C525" s="560"/>
      <c r="D525" s="81"/>
      <c r="E525" s="81"/>
      <c r="F525" s="370"/>
      <c r="G525" s="370"/>
      <c r="H525" s="370"/>
      <c r="I525" s="370"/>
      <c r="J525" s="370"/>
      <c r="K525" s="81"/>
      <c r="L525" s="81"/>
      <c r="M525" s="63">
        <f>H525-I525+J525-K525+L525</f>
        <v>0</v>
      </c>
      <c r="N525" s="370"/>
      <c r="O525" s="370"/>
      <c r="P525" s="81"/>
      <c r="Q525" s="81"/>
      <c r="R525" s="81"/>
      <c r="S525" s="70">
        <f>P525-M525</f>
        <v>0</v>
      </c>
      <c r="T525" s="70">
        <f>P525-N525</f>
        <v>0</v>
      </c>
      <c r="U525" s="63">
        <f>N525-G525</f>
        <v>0</v>
      </c>
      <c r="V525" s="506">
        <f t="shared" si="451"/>
        <v>0</v>
      </c>
      <c r="W525" s="506">
        <f t="shared" si="452"/>
        <v>0</v>
      </c>
      <c r="X525" s="98"/>
      <c r="Y525" s="497"/>
      <c r="Z525" s="98"/>
      <c r="AA525" s="98"/>
      <c r="AB525" s="98"/>
      <c r="AH525" s="485"/>
      <c r="AI525" s="485"/>
      <c r="AJ525" s="485"/>
      <c r="AK525" s="485"/>
      <c r="AL525" s="485"/>
    </row>
    <row r="526" spans="1:38" customFormat="1" ht="14.55" hidden="1" x14ac:dyDescent="0.35">
      <c r="A526" s="130" t="s">
        <v>158</v>
      </c>
      <c r="B526" s="107" t="s">
        <v>21</v>
      </c>
      <c r="C526" s="560"/>
      <c r="D526" s="81"/>
      <c r="E526" s="81">
        <v>1000</v>
      </c>
      <c r="F526" s="370"/>
      <c r="G526" s="370"/>
      <c r="H526" s="370"/>
      <c r="I526" s="370"/>
      <c r="J526" s="370"/>
      <c r="K526" s="81"/>
      <c r="L526" s="81"/>
      <c r="M526" s="63">
        <f>H526-I526+J526-K526+L526</f>
        <v>0</v>
      </c>
      <c r="N526" s="370"/>
      <c r="O526" s="370"/>
      <c r="P526" s="81"/>
      <c r="Q526" s="81"/>
      <c r="R526" s="81"/>
      <c r="S526" s="70">
        <f>P526-M526</f>
        <v>0</v>
      </c>
      <c r="T526" s="70">
        <f>P526-N526</f>
        <v>0</v>
      </c>
      <c r="U526" s="63">
        <f>N526-G526</f>
        <v>0</v>
      </c>
      <c r="V526" s="506">
        <f t="shared" si="451"/>
        <v>0</v>
      </c>
      <c r="W526" s="506">
        <f t="shared" si="452"/>
        <v>0</v>
      </c>
      <c r="X526" s="98"/>
      <c r="Y526" s="497"/>
      <c r="Z526" s="98"/>
      <c r="AA526" s="98"/>
      <c r="AB526" s="98"/>
      <c r="AH526" s="485"/>
      <c r="AI526" s="485"/>
      <c r="AJ526" s="485"/>
      <c r="AK526" s="485"/>
      <c r="AL526" s="485"/>
    </row>
    <row r="527" spans="1:38" s="6" customFormat="1" ht="14.4" hidden="1" x14ac:dyDescent="0.3">
      <c r="A527" s="557" t="s">
        <v>159</v>
      </c>
      <c r="B527" s="558" t="s">
        <v>123</v>
      </c>
      <c r="C527" s="559">
        <f t="shared" ref="C527:F527" si="453">SUM(C528:C535)</f>
        <v>275000</v>
      </c>
      <c r="D527" s="79"/>
      <c r="E527" s="79">
        <f t="shared" ref="E527" si="454">SUM(E528:E535)</f>
        <v>85000</v>
      </c>
      <c r="F527" s="369">
        <f t="shared" si="453"/>
        <v>50000</v>
      </c>
      <c r="G527" s="369">
        <f t="shared" ref="G527:U527" si="455">SUM(G528:G535)</f>
        <v>0</v>
      </c>
      <c r="H527" s="369">
        <f t="shared" si="455"/>
        <v>60000</v>
      </c>
      <c r="I527" s="369">
        <f t="shared" si="455"/>
        <v>58000</v>
      </c>
      <c r="J527" s="369">
        <f t="shared" si="455"/>
        <v>0</v>
      </c>
      <c r="K527" s="369">
        <f t="shared" si="455"/>
        <v>0</v>
      </c>
      <c r="L527" s="369">
        <f t="shared" si="455"/>
        <v>0</v>
      </c>
      <c r="M527" s="369">
        <f t="shared" si="455"/>
        <v>2000</v>
      </c>
      <c r="N527" s="369">
        <f t="shared" si="455"/>
        <v>0</v>
      </c>
      <c r="O527" s="369">
        <f t="shared" si="455"/>
        <v>0</v>
      </c>
      <c r="P527" s="369">
        <f t="shared" si="455"/>
        <v>0</v>
      </c>
      <c r="Q527" s="369">
        <f t="shared" si="455"/>
        <v>0</v>
      </c>
      <c r="R527" s="369">
        <f t="shared" si="455"/>
        <v>0</v>
      </c>
      <c r="S527" s="369">
        <f t="shared" si="455"/>
        <v>-2000</v>
      </c>
      <c r="T527" s="369">
        <f t="shared" si="455"/>
        <v>0</v>
      </c>
      <c r="U527" s="369">
        <f t="shared" si="455"/>
        <v>0</v>
      </c>
      <c r="V527" s="506">
        <f t="shared" si="451"/>
        <v>-2000</v>
      </c>
      <c r="W527" s="506">
        <f t="shared" si="452"/>
        <v>0</v>
      </c>
      <c r="X527" s="97"/>
      <c r="Y527" s="496"/>
      <c r="Z527" s="97"/>
      <c r="AA527" s="97"/>
      <c r="AB527" s="97"/>
      <c r="AH527" s="575"/>
      <c r="AI527" s="575"/>
      <c r="AJ527" s="575"/>
      <c r="AK527" s="575"/>
      <c r="AL527" s="575"/>
    </row>
    <row r="528" spans="1:38" customFormat="1" ht="14.55" hidden="1" x14ac:dyDescent="0.35">
      <c r="A528" s="130" t="s">
        <v>160</v>
      </c>
      <c r="B528" s="107" t="s">
        <v>24</v>
      </c>
      <c r="C528" s="588">
        <v>26000</v>
      </c>
      <c r="D528" s="101"/>
      <c r="E528" s="101">
        <v>1000</v>
      </c>
      <c r="F528" s="375">
        <v>12000</v>
      </c>
      <c r="G528" s="375"/>
      <c r="H528" s="375"/>
      <c r="I528" s="375"/>
      <c r="J528" s="375"/>
      <c r="K528" s="101"/>
      <c r="L528" s="101"/>
      <c r="M528" s="63">
        <f>H528-I528+J528-K528+L528</f>
        <v>0</v>
      </c>
      <c r="N528" s="375"/>
      <c r="O528" s="375"/>
      <c r="P528" s="101"/>
      <c r="Q528" s="101"/>
      <c r="R528" s="101"/>
      <c r="S528" s="70">
        <f t="shared" ref="S528:S535" si="456">P528-M528</f>
        <v>0</v>
      </c>
      <c r="T528" s="70">
        <f t="shared" ref="T528:T535" si="457">P528-N528</f>
        <v>0</v>
      </c>
      <c r="U528" s="63">
        <f t="shared" ref="U528:U535" si="458">N528-G528</f>
        <v>0</v>
      </c>
      <c r="V528" s="506">
        <f t="shared" si="451"/>
        <v>0</v>
      </c>
      <c r="W528" s="506">
        <f t="shared" si="452"/>
        <v>0</v>
      </c>
      <c r="X528" s="98"/>
      <c r="Y528" s="497"/>
      <c r="Z528" s="98"/>
      <c r="AA528" s="98"/>
      <c r="AB528" s="98"/>
      <c r="AH528" s="485"/>
      <c r="AI528" s="485"/>
      <c r="AJ528" s="485"/>
      <c r="AK528" s="485"/>
      <c r="AL528" s="485"/>
    </row>
    <row r="529" spans="1:38" customFormat="1" ht="14.55" hidden="1" customHeight="1" x14ac:dyDescent="0.3">
      <c r="A529" s="130">
        <v>3232</v>
      </c>
      <c r="B529" s="107" t="s">
        <v>25</v>
      </c>
      <c r="C529" s="588">
        <v>20000</v>
      </c>
      <c r="D529" s="101"/>
      <c r="E529" s="101">
        <v>40000</v>
      </c>
      <c r="F529" s="375">
        <v>12000</v>
      </c>
      <c r="G529" s="375"/>
      <c r="H529" s="375">
        <v>10000</v>
      </c>
      <c r="I529" s="375">
        <v>10000</v>
      </c>
      <c r="J529" s="375"/>
      <c r="K529" s="101"/>
      <c r="L529" s="101"/>
      <c r="M529" s="63">
        <f t="shared" ref="M529:M530" si="459">H529-I529+J529-K529+L529</f>
        <v>0</v>
      </c>
      <c r="N529" s="375"/>
      <c r="O529" s="375"/>
      <c r="P529" s="101"/>
      <c r="Q529" s="101"/>
      <c r="R529" s="101"/>
      <c r="S529" s="70">
        <f t="shared" si="456"/>
        <v>0</v>
      </c>
      <c r="T529" s="70">
        <f t="shared" si="457"/>
        <v>0</v>
      </c>
      <c r="U529" s="63">
        <f t="shared" si="458"/>
        <v>0</v>
      </c>
      <c r="V529" s="506">
        <f t="shared" si="451"/>
        <v>0</v>
      </c>
      <c r="W529" s="506">
        <f t="shared" si="452"/>
        <v>0</v>
      </c>
      <c r="X529" s="98"/>
      <c r="Y529" s="497"/>
      <c r="Z529" s="98"/>
      <c r="AA529" s="98"/>
      <c r="AB529" s="98"/>
      <c r="AH529" s="485"/>
      <c r="AI529" s="485"/>
      <c r="AJ529" s="485"/>
      <c r="AK529" s="485"/>
      <c r="AL529" s="485"/>
    </row>
    <row r="530" spans="1:38" customFormat="1" ht="14.55" hidden="1" x14ac:dyDescent="0.35">
      <c r="A530" s="130" t="s">
        <v>162</v>
      </c>
      <c r="B530" s="107" t="s">
        <v>26</v>
      </c>
      <c r="C530" s="560">
        <v>3000</v>
      </c>
      <c r="D530" s="81"/>
      <c r="E530" s="81">
        <v>0</v>
      </c>
      <c r="F530" s="370">
        <v>1000</v>
      </c>
      <c r="G530" s="370"/>
      <c r="H530" s="370"/>
      <c r="I530" s="370"/>
      <c r="J530" s="370"/>
      <c r="K530" s="81"/>
      <c r="L530" s="81"/>
      <c r="M530" s="63">
        <f t="shared" si="459"/>
        <v>0</v>
      </c>
      <c r="N530" s="370"/>
      <c r="O530" s="370"/>
      <c r="P530" s="81"/>
      <c r="Q530" s="81"/>
      <c r="R530" s="81"/>
      <c r="S530" s="70">
        <f t="shared" si="456"/>
        <v>0</v>
      </c>
      <c r="T530" s="70">
        <f t="shared" si="457"/>
        <v>0</v>
      </c>
      <c r="U530" s="63">
        <f t="shared" si="458"/>
        <v>0</v>
      </c>
      <c r="V530" s="506">
        <f t="shared" si="451"/>
        <v>0</v>
      </c>
      <c r="W530" s="506">
        <f t="shared" si="452"/>
        <v>0</v>
      </c>
      <c r="X530" s="98"/>
      <c r="Y530" s="497"/>
      <c r="Z530" s="98"/>
      <c r="AA530" s="98"/>
      <c r="AB530" s="98"/>
      <c r="AH530" s="485"/>
      <c r="AI530" s="485"/>
      <c r="AJ530" s="485"/>
      <c r="AK530" s="485"/>
      <c r="AL530" s="485"/>
    </row>
    <row r="531" spans="1:38" customFormat="1" ht="14.55" hidden="1" customHeight="1" x14ac:dyDescent="0.3">
      <c r="A531" s="130" t="s">
        <v>163</v>
      </c>
      <c r="B531" s="107" t="s">
        <v>27</v>
      </c>
      <c r="C531" s="560">
        <v>7000</v>
      </c>
      <c r="D531" s="81"/>
      <c r="E531" s="104">
        <v>25000</v>
      </c>
      <c r="F531" s="370">
        <v>3000</v>
      </c>
      <c r="G531" s="370"/>
      <c r="H531" s="370">
        <v>20000</v>
      </c>
      <c r="I531" s="370">
        <v>18000</v>
      </c>
      <c r="J531" s="370"/>
      <c r="K531" s="81"/>
      <c r="L531" s="81"/>
      <c r="M531" s="63">
        <f>H531-I531+J531-K531+L531</f>
        <v>2000</v>
      </c>
      <c r="N531" s="370"/>
      <c r="O531" s="370"/>
      <c r="P531" s="81"/>
      <c r="Q531" s="81"/>
      <c r="R531" s="81"/>
      <c r="S531" s="70">
        <f t="shared" si="456"/>
        <v>-2000</v>
      </c>
      <c r="T531" s="70">
        <f t="shared" si="457"/>
        <v>0</v>
      </c>
      <c r="U531" s="63">
        <f t="shared" si="458"/>
        <v>0</v>
      </c>
      <c r="V531" s="506">
        <f t="shared" si="451"/>
        <v>-2000</v>
      </c>
      <c r="W531" s="506">
        <f t="shared" si="452"/>
        <v>0</v>
      </c>
      <c r="X531" s="98"/>
      <c r="Y531" s="497"/>
      <c r="Z531" s="98"/>
      <c r="AA531" s="98"/>
      <c r="AB531" s="98"/>
      <c r="AH531" s="485"/>
      <c r="AI531" s="485"/>
      <c r="AJ531" s="485"/>
      <c r="AK531" s="485"/>
      <c r="AL531" s="485"/>
    </row>
    <row r="532" spans="1:38" customFormat="1" ht="14.55" hidden="1" x14ac:dyDescent="0.35">
      <c r="A532" s="130">
        <v>3236</v>
      </c>
      <c r="B532" s="107" t="s">
        <v>29</v>
      </c>
      <c r="C532" s="560">
        <v>2000</v>
      </c>
      <c r="D532" s="81"/>
      <c r="E532" s="104">
        <v>2000</v>
      </c>
      <c r="F532" s="370">
        <v>1000</v>
      </c>
      <c r="G532" s="370"/>
      <c r="H532" s="370"/>
      <c r="I532" s="370"/>
      <c r="J532" s="370"/>
      <c r="K532" s="81"/>
      <c r="L532" s="81"/>
      <c r="M532" s="63">
        <f t="shared" ref="M532:M534" si="460">H532-I532+J532-K532+L532</f>
        <v>0</v>
      </c>
      <c r="N532" s="370"/>
      <c r="O532" s="370"/>
      <c r="P532" s="81"/>
      <c r="Q532" s="81"/>
      <c r="R532" s="81"/>
      <c r="S532" s="70">
        <f t="shared" si="456"/>
        <v>0</v>
      </c>
      <c r="T532" s="70">
        <f t="shared" si="457"/>
        <v>0</v>
      </c>
      <c r="U532" s="63">
        <f t="shared" si="458"/>
        <v>0</v>
      </c>
      <c r="V532" s="506">
        <f t="shared" si="451"/>
        <v>0</v>
      </c>
      <c r="W532" s="506">
        <f t="shared" si="452"/>
        <v>0</v>
      </c>
      <c r="X532" s="98"/>
      <c r="Y532" s="497"/>
      <c r="Z532" s="98"/>
      <c r="AA532" s="98"/>
      <c r="AB532" s="98"/>
      <c r="AH532" s="485"/>
      <c r="AI532" s="485"/>
      <c r="AJ532" s="485"/>
      <c r="AK532" s="485"/>
      <c r="AL532" s="485"/>
    </row>
    <row r="533" spans="1:38" customFormat="1" ht="14.4" hidden="1" x14ac:dyDescent="0.3">
      <c r="A533" s="130" t="s">
        <v>166</v>
      </c>
      <c r="B533" s="107" t="s">
        <v>30</v>
      </c>
      <c r="C533" s="560">
        <v>151000</v>
      </c>
      <c r="D533" s="81"/>
      <c r="E533" s="81">
        <v>10000</v>
      </c>
      <c r="F533" s="370">
        <v>8000</v>
      </c>
      <c r="G533" s="370"/>
      <c r="H533" s="370">
        <v>30000</v>
      </c>
      <c r="I533" s="370">
        <v>30000</v>
      </c>
      <c r="J533" s="370"/>
      <c r="K533" s="81"/>
      <c r="L533" s="81"/>
      <c r="M533" s="63">
        <f t="shared" si="460"/>
        <v>0</v>
      </c>
      <c r="N533" s="370"/>
      <c r="O533" s="370"/>
      <c r="P533" s="81"/>
      <c r="Q533" s="81"/>
      <c r="R533" s="81"/>
      <c r="S533" s="70">
        <f t="shared" si="456"/>
        <v>0</v>
      </c>
      <c r="T533" s="70">
        <f t="shared" si="457"/>
        <v>0</v>
      </c>
      <c r="U533" s="63">
        <f t="shared" si="458"/>
        <v>0</v>
      </c>
      <c r="V533" s="506">
        <f t="shared" si="451"/>
        <v>0</v>
      </c>
      <c r="W533" s="506">
        <f t="shared" si="452"/>
        <v>0</v>
      </c>
      <c r="X533" s="98"/>
      <c r="Y533" s="497"/>
      <c r="Z533" s="98"/>
      <c r="AA533" s="98"/>
      <c r="AB533" s="98"/>
      <c r="AH533" s="485"/>
      <c r="AI533" s="485"/>
      <c r="AJ533" s="485"/>
      <c r="AK533" s="485"/>
      <c r="AL533" s="485"/>
    </row>
    <row r="534" spans="1:38" customFormat="1" ht="14.55" hidden="1" x14ac:dyDescent="0.35">
      <c r="A534" s="130">
        <v>3238</v>
      </c>
      <c r="B534" s="107" t="s">
        <v>70</v>
      </c>
      <c r="C534" s="560">
        <v>66000</v>
      </c>
      <c r="D534" s="81"/>
      <c r="E534" s="104">
        <v>6000</v>
      </c>
      <c r="F534" s="370">
        <v>13000</v>
      </c>
      <c r="G534" s="370"/>
      <c r="H534" s="370"/>
      <c r="I534" s="370"/>
      <c r="J534" s="370"/>
      <c r="K534" s="81"/>
      <c r="L534" s="81"/>
      <c r="M534" s="63">
        <f t="shared" si="460"/>
        <v>0</v>
      </c>
      <c r="N534" s="370"/>
      <c r="O534" s="370"/>
      <c r="P534" s="81"/>
      <c r="Q534" s="81"/>
      <c r="R534" s="81"/>
      <c r="S534" s="70">
        <f t="shared" si="456"/>
        <v>0</v>
      </c>
      <c r="T534" s="70">
        <f t="shared" si="457"/>
        <v>0</v>
      </c>
      <c r="U534" s="63">
        <f t="shared" si="458"/>
        <v>0</v>
      </c>
      <c r="V534" s="506">
        <f t="shared" si="451"/>
        <v>0</v>
      </c>
      <c r="W534" s="506">
        <f t="shared" si="452"/>
        <v>0</v>
      </c>
      <c r="X534" s="98"/>
      <c r="Y534" s="497"/>
      <c r="Z534" s="98"/>
      <c r="AA534" s="98"/>
      <c r="AB534" s="98"/>
      <c r="AH534" s="485"/>
      <c r="AI534" s="485"/>
      <c r="AJ534" s="485"/>
      <c r="AK534" s="485"/>
      <c r="AL534" s="485"/>
    </row>
    <row r="535" spans="1:38" customFormat="1" ht="14.55" hidden="1" x14ac:dyDescent="0.35">
      <c r="A535" s="130">
        <v>3239</v>
      </c>
      <c r="B535" s="107" t="s">
        <v>31</v>
      </c>
      <c r="C535" s="560"/>
      <c r="D535" s="81"/>
      <c r="E535" s="81">
        <v>1000</v>
      </c>
      <c r="F535" s="370"/>
      <c r="G535" s="370"/>
      <c r="H535" s="370"/>
      <c r="I535" s="370"/>
      <c r="J535" s="370"/>
      <c r="K535" s="81"/>
      <c r="L535" s="81"/>
      <c r="M535" s="63">
        <f>H535-I535+J535-K535+L535</f>
        <v>0</v>
      </c>
      <c r="N535" s="370"/>
      <c r="O535" s="370"/>
      <c r="P535" s="81"/>
      <c r="Q535" s="81"/>
      <c r="R535" s="81"/>
      <c r="S535" s="70">
        <f t="shared" si="456"/>
        <v>0</v>
      </c>
      <c r="T535" s="70">
        <f t="shared" si="457"/>
        <v>0</v>
      </c>
      <c r="U535" s="63">
        <f t="shared" si="458"/>
        <v>0</v>
      </c>
      <c r="V535" s="506">
        <f t="shared" si="451"/>
        <v>0</v>
      </c>
      <c r="W535" s="506">
        <f t="shared" si="452"/>
        <v>0</v>
      </c>
      <c r="X535" s="98"/>
      <c r="Y535" s="497"/>
      <c r="Z535" s="98"/>
      <c r="AA535" s="98"/>
      <c r="AB535" s="98"/>
      <c r="AH535" s="485"/>
      <c r="AI535" s="485"/>
      <c r="AJ535" s="485"/>
      <c r="AK535" s="485"/>
      <c r="AL535" s="485"/>
    </row>
    <row r="536" spans="1:38" customFormat="1" ht="14.4" hidden="1" x14ac:dyDescent="0.3">
      <c r="A536" s="530" t="s">
        <v>313</v>
      </c>
      <c r="B536" s="145" t="s">
        <v>314</v>
      </c>
      <c r="C536" s="531">
        <f>SUM(C537)</f>
        <v>69000</v>
      </c>
      <c r="D536" s="141"/>
      <c r="E536" s="141">
        <f t="shared" ref="E536:U536" si="461">SUM(E537)</f>
        <v>69000</v>
      </c>
      <c r="F536" s="364">
        <f t="shared" si="461"/>
        <v>3500</v>
      </c>
      <c r="G536" s="364">
        <f t="shared" si="461"/>
        <v>0</v>
      </c>
      <c r="H536" s="364">
        <f t="shared" si="461"/>
        <v>10000</v>
      </c>
      <c r="I536" s="364">
        <f t="shared" si="461"/>
        <v>2800</v>
      </c>
      <c r="J536" s="364">
        <f t="shared" si="461"/>
        <v>0</v>
      </c>
      <c r="K536" s="364">
        <f t="shared" si="461"/>
        <v>0</v>
      </c>
      <c r="L536" s="364">
        <f t="shared" si="461"/>
        <v>0</v>
      </c>
      <c r="M536" s="364">
        <f t="shared" si="461"/>
        <v>7200</v>
      </c>
      <c r="N536" s="364">
        <f t="shared" si="461"/>
        <v>0</v>
      </c>
      <c r="O536" s="364">
        <f t="shared" si="461"/>
        <v>0</v>
      </c>
      <c r="P536" s="364">
        <f t="shared" si="461"/>
        <v>0</v>
      </c>
      <c r="Q536" s="364">
        <f t="shared" si="461"/>
        <v>0</v>
      </c>
      <c r="R536" s="364">
        <f t="shared" si="461"/>
        <v>0</v>
      </c>
      <c r="S536" s="532">
        <f t="shared" si="461"/>
        <v>-7200</v>
      </c>
      <c r="T536" s="532">
        <f t="shared" si="461"/>
        <v>0</v>
      </c>
      <c r="U536" s="532">
        <f t="shared" si="461"/>
        <v>0</v>
      </c>
      <c r="V536" s="506">
        <f t="shared" si="451"/>
        <v>-7200</v>
      </c>
      <c r="W536" s="506">
        <f t="shared" si="452"/>
        <v>0</v>
      </c>
      <c r="X536" s="98"/>
      <c r="Y536" s="497"/>
      <c r="Z536" s="98"/>
      <c r="AA536" s="98"/>
      <c r="AB536" s="98"/>
      <c r="AH536" s="485"/>
      <c r="AI536" s="485"/>
      <c r="AJ536" s="485"/>
      <c r="AK536" s="485"/>
      <c r="AL536" s="485"/>
    </row>
    <row r="537" spans="1:38" s="6" customFormat="1" ht="14.4" hidden="1" x14ac:dyDescent="0.3">
      <c r="A537" s="557" t="s">
        <v>139</v>
      </c>
      <c r="B537" s="558" t="s">
        <v>124</v>
      </c>
      <c r="C537" s="559">
        <f t="shared" ref="C537:U537" si="462">C538</f>
        <v>69000</v>
      </c>
      <c r="D537" s="79"/>
      <c r="E537" s="79">
        <f t="shared" si="462"/>
        <v>69000</v>
      </c>
      <c r="F537" s="369">
        <f t="shared" si="462"/>
        <v>3500</v>
      </c>
      <c r="G537" s="369">
        <f t="shared" si="462"/>
        <v>0</v>
      </c>
      <c r="H537" s="369">
        <f t="shared" si="462"/>
        <v>10000</v>
      </c>
      <c r="I537" s="369">
        <f t="shared" si="462"/>
        <v>2800</v>
      </c>
      <c r="J537" s="369">
        <f t="shared" si="462"/>
        <v>0</v>
      </c>
      <c r="K537" s="369">
        <f t="shared" si="462"/>
        <v>0</v>
      </c>
      <c r="L537" s="369">
        <f t="shared" si="462"/>
        <v>0</v>
      </c>
      <c r="M537" s="369">
        <f t="shared" si="462"/>
        <v>7200</v>
      </c>
      <c r="N537" s="369">
        <f t="shared" si="462"/>
        <v>0</v>
      </c>
      <c r="O537" s="369">
        <f t="shared" si="462"/>
        <v>0</v>
      </c>
      <c r="P537" s="369">
        <f t="shared" si="462"/>
        <v>0</v>
      </c>
      <c r="Q537" s="369">
        <f t="shared" si="462"/>
        <v>0</v>
      </c>
      <c r="R537" s="369">
        <f t="shared" si="462"/>
        <v>0</v>
      </c>
      <c r="S537" s="369">
        <f t="shared" si="462"/>
        <v>-7200</v>
      </c>
      <c r="T537" s="369">
        <f t="shared" si="462"/>
        <v>0</v>
      </c>
      <c r="U537" s="369">
        <f t="shared" si="462"/>
        <v>0</v>
      </c>
      <c r="V537" s="506">
        <f t="shared" si="451"/>
        <v>-7200</v>
      </c>
      <c r="W537" s="506">
        <f t="shared" si="452"/>
        <v>0</v>
      </c>
      <c r="X537" s="97"/>
      <c r="Y537" s="496"/>
      <c r="Z537" s="97"/>
      <c r="AA537" s="97"/>
      <c r="AB537" s="97"/>
      <c r="AH537" s="575"/>
      <c r="AI537" s="575"/>
      <c r="AJ537" s="575"/>
      <c r="AK537" s="575"/>
      <c r="AL537" s="575"/>
    </row>
    <row r="538" spans="1:38" customFormat="1" ht="14.4" hidden="1" x14ac:dyDescent="0.3">
      <c r="A538" s="130" t="s">
        <v>140</v>
      </c>
      <c r="B538" s="107" t="s">
        <v>46</v>
      </c>
      <c r="C538" s="560">
        <v>69000</v>
      </c>
      <c r="D538" s="81"/>
      <c r="E538" s="81">
        <v>69000</v>
      </c>
      <c r="F538" s="370">
        <v>3500</v>
      </c>
      <c r="G538" s="370"/>
      <c r="H538" s="370">
        <v>10000</v>
      </c>
      <c r="I538" s="370">
        <v>2800</v>
      </c>
      <c r="J538" s="370"/>
      <c r="K538" s="81"/>
      <c r="L538" s="81"/>
      <c r="M538" s="63">
        <f>H538-I538+J538-K538+L538</f>
        <v>7200</v>
      </c>
      <c r="N538" s="370"/>
      <c r="O538" s="370"/>
      <c r="P538" s="81"/>
      <c r="Q538" s="81"/>
      <c r="R538" s="81"/>
      <c r="S538" s="70">
        <f>P538-M538</f>
        <v>-7200</v>
      </c>
      <c r="T538" s="70">
        <f>P538-N538</f>
        <v>0</v>
      </c>
      <c r="U538" s="63">
        <f>N538-G538</f>
        <v>0</v>
      </c>
      <c r="V538" s="506">
        <f t="shared" si="451"/>
        <v>-7200</v>
      </c>
      <c r="W538" s="506">
        <f t="shared" si="452"/>
        <v>0</v>
      </c>
      <c r="X538" s="98"/>
      <c r="Y538" s="497"/>
      <c r="Z538" s="98"/>
      <c r="AA538" s="98"/>
      <c r="AB538" s="98"/>
      <c r="AH538" s="485"/>
      <c r="AI538" s="485"/>
      <c r="AJ538" s="485"/>
      <c r="AK538" s="485"/>
      <c r="AL538" s="485"/>
    </row>
    <row r="539" spans="1:38" customFormat="1" ht="25.5" hidden="1" customHeight="1" x14ac:dyDescent="0.3">
      <c r="A539" s="570" t="s">
        <v>323</v>
      </c>
      <c r="B539" s="571" t="s">
        <v>324</v>
      </c>
      <c r="C539" s="531">
        <f>SUM(C540,C543,C550)</f>
        <v>108000</v>
      </c>
      <c r="D539" s="141"/>
      <c r="E539" s="141">
        <f t="shared" ref="E539:U539" si="463">SUM(E540,E543,E550)</f>
        <v>216000</v>
      </c>
      <c r="F539" s="364">
        <f t="shared" si="463"/>
        <v>12200</v>
      </c>
      <c r="G539" s="364">
        <f t="shared" si="463"/>
        <v>0</v>
      </c>
      <c r="H539" s="364">
        <f t="shared" si="463"/>
        <v>230000</v>
      </c>
      <c r="I539" s="364">
        <f t="shared" si="463"/>
        <v>227000</v>
      </c>
      <c r="J539" s="364">
        <f t="shared" si="463"/>
        <v>0</v>
      </c>
      <c r="K539" s="364">
        <f t="shared" si="463"/>
        <v>0</v>
      </c>
      <c r="L539" s="364">
        <f t="shared" si="463"/>
        <v>0</v>
      </c>
      <c r="M539" s="364">
        <f t="shared" si="463"/>
        <v>3000</v>
      </c>
      <c r="N539" s="364">
        <f t="shared" si="463"/>
        <v>0</v>
      </c>
      <c r="O539" s="364">
        <f t="shared" si="463"/>
        <v>0</v>
      </c>
      <c r="P539" s="364">
        <f t="shared" si="463"/>
        <v>0</v>
      </c>
      <c r="Q539" s="364">
        <f t="shared" si="463"/>
        <v>0</v>
      </c>
      <c r="R539" s="364">
        <f t="shared" si="463"/>
        <v>0</v>
      </c>
      <c r="S539" s="532">
        <f t="shared" si="463"/>
        <v>-3000</v>
      </c>
      <c r="T539" s="532">
        <f t="shared" si="463"/>
        <v>0</v>
      </c>
      <c r="U539" s="532">
        <f t="shared" si="463"/>
        <v>0</v>
      </c>
      <c r="V539" s="506">
        <f t="shared" si="451"/>
        <v>-3000</v>
      </c>
      <c r="W539" s="506">
        <f t="shared" si="452"/>
        <v>0</v>
      </c>
      <c r="X539" s="98"/>
      <c r="Y539" s="497"/>
      <c r="Z539" s="98"/>
      <c r="AA539" s="98"/>
      <c r="AB539" s="98"/>
      <c r="AH539" s="485"/>
      <c r="AI539" s="485"/>
      <c r="AJ539" s="485"/>
      <c r="AK539" s="485"/>
      <c r="AL539" s="485"/>
    </row>
    <row r="540" spans="1:38" s="6" customFormat="1" ht="14.4" hidden="1" x14ac:dyDescent="0.3">
      <c r="A540" s="557" t="s">
        <v>222</v>
      </c>
      <c r="B540" s="558" t="s">
        <v>51</v>
      </c>
      <c r="C540" s="559">
        <f t="shared" ref="C540:U540" si="464">SUM(C541:C542)</f>
        <v>12000</v>
      </c>
      <c r="D540" s="79"/>
      <c r="E540" s="79">
        <f t="shared" ref="E540" si="465">SUM(E541:E542)</f>
        <v>100000</v>
      </c>
      <c r="F540" s="369">
        <f t="shared" si="464"/>
        <v>1400</v>
      </c>
      <c r="G540" s="369">
        <f t="shared" si="464"/>
        <v>0</v>
      </c>
      <c r="H540" s="369">
        <f t="shared" si="464"/>
        <v>80000</v>
      </c>
      <c r="I540" s="369">
        <f t="shared" si="464"/>
        <v>80000</v>
      </c>
      <c r="J540" s="369">
        <f t="shared" si="464"/>
        <v>0</v>
      </c>
      <c r="K540" s="369">
        <f t="shared" si="464"/>
        <v>0</v>
      </c>
      <c r="L540" s="369">
        <f t="shared" si="464"/>
        <v>0</v>
      </c>
      <c r="M540" s="369">
        <f t="shared" si="464"/>
        <v>0</v>
      </c>
      <c r="N540" s="369">
        <f t="shared" si="464"/>
        <v>0</v>
      </c>
      <c r="O540" s="369">
        <f t="shared" si="464"/>
        <v>0</v>
      </c>
      <c r="P540" s="369">
        <f t="shared" si="464"/>
        <v>0</v>
      </c>
      <c r="Q540" s="369">
        <f t="shared" si="464"/>
        <v>0</v>
      </c>
      <c r="R540" s="369">
        <f t="shared" si="464"/>
        <v>0</v>
      </c>
      <c r="S540" s="369">
        <f t="shared" si="464"/>
        <v>0</v>
      </c>
      <c r="T540" s="369">
        <f t="shared" si="464"/>
        <v>0</v>
      </c>
      <c r="U540" s="369">
        <f t="shared" si="464"/>
        <v>0</v>
      </c>
      <c r="V540" s="506">
        <f t="shared" si="451"/>
        <v>0</v>
      </c>
      <c r="W540" s="506">
        <f t="shared" si="452"/>
        <v>0</v>
      </c>
      <c r="X540" s="97"/>
      <c r="Y540" s="496"/>
      <c r="Z540" s="97"/>
      <c r="AA540" s="97"/>
      <c r="AB540" s="97"/>
      <c r="AH540" s="575"/>
      <c r="AI540" s="575"/>
      <c r="AJ540" s="575"/>
      <c r="AK540" s="575"/>
      <c r="AL540" s="575"/>
    </row>
    <row r="541" spans="1:38" s="7" customFormat="1" ht="14.55" hidden="1" x14ac:dyDescent="0.35">
      <c r="A541" s="130" t="s">
        <v>223</v>
      </c>
      <c r="B541" s="107" t="s">
        <v>224</v>
      </c>
      <c r="C541" s="590"/>
      <c r="D541" s="105"/>
      <c r="E541" s="105"/>
      <c r="F541" s="377"/>
      <c r="G541" s="377"/>
      <c r="H541" s="377"/>
      <c r="I541" s="377"/>
      <c r="J541" s="377"/>
      <c r="K541" s="377"/>
      <c r="L541" s="377"/>
      <c r="M541" s="377"/>
      <c r="N541" s="377"/>
      <c r="O541" s="377"/>
      <c r="P541" s="377"/>
      <c r="Q541" s="377"/>
      <c r="R541" s="377"/>
      <c r="S541" s="377"/>
      <c r="T541" s="377"/>
      <c r="U541" s="377"/>
      <c r="V541" s="506">
        <f t="shared" si="451"/>
        <v>0</v>
      </c>
      <c r="W541" s="506">
        <f t="shared" si="452"/>
        <v>0</v>
      </c>
      <c r="X541" s="106"/>
      <c r="Y541" s="499"/>
      <c r="Z541" s="106"/>
      <c r="AA541" s="106"/>
      <c r="AB541" s="106"/>
      <c r="AH541" s="591"/>
      <c r="AI541" s="591"/>
      <c r="AJ541" s="591"/>
      <c r="AK541" s="591"/>
      <c r="AL541" s="591"/>
    </row>
    <row r="542" spans="1:38" s="7" customFormat="1" ht="14.4" hidden="1" x14ac:dyDescent="0.3">
      <c r="A542" s="130" t="s">
        <v>225</v>
      </c>
      <c r="B542" s="107" t="s">
        <v>52</v>
      </c>
      <c r="C542" s="560">
        <v>12000</v>
      </c>
      <c r="D542" s="81"/>
      <c r="E542" s="81">
        <v>100000</v>
      </c>
      <c r="F542" s="370">
        <v>1400</v>
      </c>
      <c r="G542" s="370"/>
      <c r="H542" s="370">
        <v>80000</v>
      </c>
      <c r="I542" s="370">
        <v>80000</v>
      </c>
      <c r="J542" s="370"/>
      <c r="K542" s="81"/>
      <c r="L542" s="81"/>
      <c r="M542" s="63">
        <f>H542-I542+J542-K542+L542</f>
        <v>0</v>
      </c>
      <c r="N542" s="370"/>
      <c r="O542" s="370"/>
      <c r="P542" s="81"/>
      <c r="Q542" s="81"/>
      <c r="R542" s="81"/>
      <c r="S542" s="70">
        <f>P542-M542</f>
        <v>0</v>
      </c>
      <c r="T542" s="70">
        <f>P542-N542</f>
        <v>0</v>
      </c>
      <c r="U542" s="63">
        <f>N542-G542</f>
        <v>0</v>
      </c>
      <c r="V542" s="506">
        <f t="shared" si="451"/>
        <v>0</v>
      </c>
      <c r="W542" s="506">
        <f t="shared" si="452"/>
        <v>0</v>
      </c>
      <c r="X542" s="106"/>
      <c r="Y542" s="499"/>
      <c r="Z542" s="106"/>
      <c r="AA542" s="106"/>
      <c r="AB542" s="106"/>
      <c r="AH542" s="591"/>
      <c r="AI542" s="591"/>
      <c r="AJ542" s="591"/>
      <c r="AK542" s="591"/>
      <c r="AL542" s="591"/>
    </row>
    <row r="543" spans="1:38" s="6" customFormat="1" ht="14.4" hidden="1" x14ac:dyDescent="0.3">
      <c r="A543" s="557" t="s">
        <v>177</v>
      </c>
      <c r="B543" s="558" t="s">
        <v>129</v>
      </c>
      <c r="C543" s="559">
        <f t="shared" ref="C543:F543" si="466">SUM(C544:C549)</f>
        <v>96000</v>
      </c>
      <c r="D543" s="79"/>
      <c r="E543" s="79">
        <f t="shared" ref="E543" si="467">SUM(E544:E549)</f>
        <v>116000</v>
      </c>
      <c r="F543" s="369">
        <f t="shared" si="466"/>
        <v>10800</v>
      </c>
      <c r="G543" s="369">
        <f t="shared" ref="G543:U543" si="468">SUM(G544:G549)</f>
        <v>0</v>
      </c>
      <c r="H543" s="369">
        <f t="shared" si="468"/>
        <v>150000</v>
      </c>
      <c r="I543" s="369">
        <f t="shared" si="468"/>
        <v>147000</v>
      </c>
      <c r="J543" s="369">
        <f t="shared" si="468"/>
        <v>0</v>
      </c>
      <c r="K543" s="369">
        <f t="shared" si="468"/>
        <v>0</v>
      </c>
      <c r="L543" s="369">
        <f t="shared" si="468"/>
        <v>0</v>
      </c>
      <c r="M543" s="369">
        <f t="shared" si="468"/>
        <v>3000</v>
      </c>
      <c r="N543" s="369">
        <f t="shared" si="468"/>
        <v>0</v>
      </c>
      <c r="O543" s="369">
        <f t="shared" si="468"/>
        <v>0</v>
      </c>
      <c r="P543" s="369">
        <f t="shared" si="468"/>
        <v>0</v>
      </c>
      <c r="Q543" s="369">
        <f t="shared" si="468"/>
        <v>0</v>
      </c>
      <c r="R543" s="369">
        <f t="shared" si="468"/>
        <v>0</v>
      </c>
      <c r="S543" s="369">
        <f t="shared" si="468"/>
        <v>-3000</v>
      </c>
      <c r="T543" s="369">
        <f t="shared" si="468"/>
        <v>0</v>
      </c>
      <c r="U543" s="369">
        <f t="shared" si="468"/>
        <v>0</v>
      </c>
      <c r="V543" s="506">
        <f t="shared" si="451"/>
        <v>-3000</v>
      </c>
      <c r="W543" s="506">
        <f t="shared" si="452"/>
        <v>0</v>
      </c>
      <c r="X543" s="97"/>
      <c r="Y543" s="496"/>
      <c r="Z543" s="97"/>
      <c r="AA543" s="97"/>
      <c r="AB543" s="97"/>
      <c r="AH543" s="575"/>
      <c r="AI543" s="575"/>
      <c r="AJ543" s="575"/>
      <c r="AK543" s="575"/>
      <c r="AL543" s="575"/>
    </row>
    <row r="544" spans="1:38" customFormat="1" ht="14.4" hidden="1" x14ac:dyDescent="0.3">
      <c r="A544" s="130" t="s">
        <v>178</v>
      </c>
      <c r="B544" s="107" t="s">
        <v>54</v>
      </c>
      <c r="C544" s="560">
        <v>12000</v>
      </c>
      <c r="D544" s="81"/>
      <c r="E544" s="81">
        <v>100000</v>
      </c>
      <c r="F544" s="370">
        <v>1300</v>
      </c>
      <c r="G544" s="370"/>
      <c r="H544" s="370">
        <v>30000</v>
      </c>
      <c r="I544" s="370">
        <v>30000</v>
      </c>
      <c r="J544" s="370"/>
      <c r="K544" s="81"/>
      <c r="L544" s="81"/>
      <c r="M544" s="63">
        <f>H544-I544+J544-K544+L544</f>
        <v>0</v>
      </c>
      <c r="N544" s="370"/>
      <c r="O544" s="370"/>
      <c r="P544" s="81"/>
      <c r="Q544" s="81"/>
      <c r="R544" s="81"/>
      <c r="S544" s="70">
        <f t="shared" ref="S544:S549" si="469">P544-M544</f>
        <v>0</v>
      </c>
      <c r="T544" s="70">
        <f t="shared" ref="T544:T549" si="470">P544-N544</f>
        <v>0</v>
      </c>
      <c r="U544" s="63">
        <f t="shared" ref="U544:U549" si="471">N544-G544</f>
        <v>0</v>
      </c>
      <c r="V544" s="506">
        <f t="shared" si="451"/>
        <v>0</v>
      </c>
      <c r="W544" s="506">
        <f t="shared" si="452"/>
        <v>0</v>
      </c>
      <c r="X544" s="98"/>
      <c r="Y544" s="497"/>
      <c r="Z544" s="98"/>
      <c r="AA544" s="98"/>
      <c r="AB544" s="98"/>
      <c r="AH544" s="485"/>
      <c r="AI544" s="485"/>
      <c r="AJ544" s="485"/>
      <c r="AK544" s="485"/>
      <c r="AL544" s="485"/>
    </row>
    <row r="545" spans="1:38" customFormat="1" ht="14.4" hidden="1" x14ac:dyDescent="0.3">
      <c r="A545" s="130" t="s">
        <v>186</v>
      </c>
      <c r="B545" s="107" t="s">
        <v>58</v>
      </c>
      <c r="C545" s="560">
        <v>13000</v>
      </c>
      <c r="D545" s="81"/>
      <c r="E545" s="81">
        <v>0</v>
      </c>
      <c r="F545" s="370">
        <v>1300</v>
      </c>
      <c r="G545" s="370"/>
      <c r="H545" s="370">
        <v>60000</v>
      </c>
      <c r="I545" s="370">
        <v>57000</v>
      </c>
      <c r="J545" s="370"/>
      <c r="K545" s="81"/>
      <c r="L545" s="81"/>
      <c r="M545" s="63">
        <f>H545-I545+J545-K545+L545</f>
        <v>3000</v>
      </c>
      <c r="N545" s="370"/>
      <c r="O545" s="370"/>
      <c r="P545" s="81"/>
      <c r="Q545" s="81"/>
      <c r="R545" s="81"/>
      <c r="S545" s="70">
        <f t="shared" si="469"/>
        <v>-3000</v>
      </c>
      <c r="T545" s="70">
        <f t="shared" si="470"/>
        <v>0</v>
      </c>
      <c r="U545" s="63">
        <f t="shared" si="471"/>
        <v>0</v>
      </c>
      <c r="V545" s="506">
        <f t="shared" si="451"/>
        <v>-3000</v>
      </c>
      <c r="W545" s="506">
        <f t="shared" si="452"/>
        <v>0</v>
      </c>
      <c r="X545" s="98"/>
      <c r="Y545" s="497"/>
      <c r="Z545" s="98"/>
      <c r="AA545" s="98"/>
      <c r="AB545" s="98"/>
      <c r="AH545" s="485"/>
      <c r="AI545" s="485"/>
      <c r="AJ545" s="485"/>
      <c r="AK545" s="485"/>
      <c r="AL545" s="485"/>
    </row>
    <row r="546" spans="1:38" customFormat="1" ht="14.1" hidden="1" customHeight="1" x14ac:dyDescent="0.3">
      <c r="A546" s="130">
        <v>4223</v>
      </c>
      <c r="B546" s="107" t="s">
        <v>59</v>
      </c>
      <c r="C546" s="560">
        <v>66000</v>
      </c>
      <c r="D546" s="81"/>
      <c r="E546" s="81">
        <v>3000</v>
      </c>
      <c r="F546" s="370">
        <v>7300</v>
      </c>
      <c r="G546" s="370"/>
      <c r="H546" s="370">
        <v>60000</v>
      </c>
      <c r="I546" s="370">
        <v>60000</v>
      </c>
      <c r="J546" s="370"/>
      <c r="K546" s="81"/>
      <c r="L546" s="81"/>
      <c r="M546" s="63">
        <f>H546-I546+J546-K546+L546</f>
        <v>0</v>
      </c>
      <c r="N546" s="370"/>
      <c r="O546" s="370"/>
      <c r="P546" s="81"/>
      <c r="Q546" s="81"/>
      <c r="R546" s="81"/>
      <c r="S546" s="70">
        <f t="shared" si="469"/>
        <v>0</v>
      </c>
      <c r="T546" s="70">
        <f t="shared" si="470"/>
        <v>0</v>
      </c>
      <c r="U546" s="63">
        <f t="shared" si="471"/>
        <v>0</v>
      </c>
      <c r="V546" s="506">
        <f t="shared" si="451"/>
        <v>0</v>
      </c>
      <c r="W546" s="506">
        <f t="shared" si="452"/>
        <v>0</v>
      </c>
      <c r="X546" s="98"/>
      <c r="Y546" s="497"/>
      <c r="Z546" s="98"/>
      <c r="AA546" s="98"/>
      <c r="AB546" s="98"/>
      <c r="AH546" s="485"/>
      <c r="AI546" s="485"/>
      <c r="AJ546" s="485"/>
      <c r="AK546" s="485"/>
      <c r="AL546" s="485"/>
    </row>
    <row r="547" spans="1:38" customFormat="1" ht="14.55" hidden="1" x14ac:dyDescent="0.35">
      <c r="A547" s="130">
        <v>4224</v>
      </c>
      <c r="B547" s="107" t="s">
        <v>283</v>
      </c>
      <c r="C547" s="560">
        <v>1000</v>
      </c>
      <c r="D547" s="81"/>
      <c r="E547" s="81">
        <v>0</v>
      </c>
      <c r="F547" s="370">
        <v>200</v>
      </c>
      <c r="G547" s="370"/>
      <c r="H547" s="370"/>
      <c r="I547" s="370"/>
      <c r="J547" s="370"/>
      <c r="K547" s="81"/>
      <c r="L547" s="81"/>
      <c r="M547" s="63">
        <f t="shared" ref="M547:M551" si="472">H547-I547+J547-K547+L547</f>
        <v>0</v>
      </c>
      <c r="N547" s="370"/>
      <c r="O547" s="370"/>
      <c r="P547" s="81"/>
      <c r="Q547" s="81"/>
      <c r="R547" s="81"/>
      <c r="S547" s="70">
        <f t="shared" si="469"/>
        <v>0</v>
      </c>
      <c r="T547" s="70">
        <f t="shared" si="470"/>
        <v>0</v>
      </c>
      <c r="U547" s="63">
        <f t="shared" si="471"/>
        <v>0</v>
      </c>
      <c r="V547" s="506">
        <f t="shared" si="451"/>
        <v>0</v>
      </c>
      <c r="W547" s="506">
        <f t="shared" si="452"/>
        <v>0</v>
      </c>
      <c r="X547" s="98"/>
      <c r="Y547" s="497"/>
      <c r="Z547" s="98"/>
      <c r="AA547" s="98"/>
      <c r="AB547" s="98"/>
      <c r="AH547" s="485"/>
      <c r="AI547" s="485"/>
      <c r="AJ547" s="485"/>
      <c r="AK547" s="485"/>
      <c r="AL547" s="485"/>
    </row>
    <row r="548" spans="1:38" customFormat="1" ht="14.55" hidden="1" x14ac:dyDescent="0.35">
      <c r="A548" s="130">
        <v>4225</v>
      </c>
      <c r="B548" s="107" t="s">
        <v>105</v>
      </c>
      <c r="C548" s="560">
        <v>4000</v>
      </c>
      <c r="D548" s="81"/>
      <c r="E548" s="81">
        <v>0</v>
      </c>
      <c r="F548" s="370">
        <v>700</v>
      </c>
      <c r="G548" s="370"/>
      <c r="H548" s="370"/>
      <c r="I548" s="370"/>
      <c r="J548" s="370"/>
      <c r="K548" s="81"/>
      <c r="L548" s="81"/>
      <c r="M548" s="63">
        <f t="shared" si="472"/>
        <v>0</v>
      </c>
      <c r="N548" s="370"/>
      <c r="O548" s="370"/>
      <c r="P548" s="81"/>
      <c r="Q548" s="81"/>
      <c r="R548" s="81"/>
      <c r="S548" s="70">
        <f t="shared" si="469"/>
        <v>0</v>
      </c>
      <c r="T548" s="70">
        <f t="shared" si="470"/>
        <v>0</v>
      </c>
      <c r="U548" s="63">
        <f t="shared" si="471"/>
        <v>0</v>
      </c>
      <c r="V548" s="506">
        <f t="shared" si="451"/>
        <v>0</v>
      </c>
      <c r="W548" s="506">
        <f t="shared" si="452"/>
        <v>0</v>
      </c>
      <c r="X548" s="98"/>
      <c r="Y548" s="497"/>
      <c r="Z548" s="98"/>
      <c r="AA548" s="98"/>
      <c r="AB548" s="98"/>
      <c r="AH548" s="485"/>
      <c r="AI548" s="485"/>
      <c r="AJ548" s="485"/>
      <c r="AK548" s="485"/>
      <c r="AL548" s="485"/>
    </row>
    <row r="549" spans="1:38" customFormat="1" ht="14.55" hidden="1" x14ac:dyDescent="0.35">
      <c r="A549" s="130" t="s">
        <v>180</v>
      </c>
      <c r="B549" s="107" t="s">
        <v>60</v>
      </c>
      <c r="C549" s="560"/>
      <c r="D549" s="81"/>
      <c r="E549" s="81">
        <v>13000</v>
      </c>
      <c r="F549" s="370"/>
      <c r="G549" s="370"/>
      <c r="H549" s="370"/>
      <c r="I549" s="370"/>
      <c r="J549" s="370">
        <v>0</v>
      </c>
      <c r="K549" s="81"/>
      <c r="L549" s="81"/>
      <c r="M549" s="63">
        <f>H549-I549+J549-K549+L549</f>
        <v>0</v>
      </c>
      <c r="N549" s="370"/>
      <c r="O549" s="370"/>
      <c r="P549" s="81"/>
      <c r="Q549" s="81"/>
      <c r="R549" s="81"/>
      <c r="S549" s="70">
        <f t="shared" si="469"/>
        <v>0</v>
      </c>
      <c r="T549" s="70">
        <f t="shared" si="470"/>
        <v>0</v>
      </c>
      <c r="U549" s="63">
        <f t="shared" si="471"/>
        <v>0</v>
      </c>
      <c r="V549" s="506">
        <f t="shared" si="451"/>
        <v>0</v>
      </c>
      <c r="W549" s="506">
        <f t="shared" si="452"/>
        <v>0</v>
      </c>
      <c r="X549" s="98"/>
      <c r="Y549" s="497"/>
      <c r="Z549" s="98"/>
      <c r="AA549" s="98"/>
      <c r="AB549" s="98"/>
      <c r="AH549" s="485"/>
      <c r="AI549" s="485"/>
      <c r="AJ549" s="485"/>
      <c r="AK549" s="485"/>
      <c r="AL549" s="485"/>
    </row>
    <row r="550" spans="1:38" customFormat="1" ht="14.55" hidden="1" x14ac:dyDescent="0.35">
      <c r="A550" s="586">
        <v>423</v>
      </c>
      <c r="B550" s="558" t="s">
        <v>61</v>
      </c>
      <c r="C550" s="559">
        <f t="shared" ref="C550:U550" si="473">C551</f>
        <v>0</v>
      </c>
      <c r="D550" s="79"/>
      <c r="E550" s="79">
        <f t="shared" si="473"/>
        <v>0</v>
      </c>
      <c r="F550" s="369">
        <f t="shared" si="473"/>
        <v>0</v>
      </c>
      <c r="G550" s="369">
        <f t="shared" si="473"/>
        <v>0</v>
      </c>
      <c r="H550" s="369">
        <f t="shared" si="473"/>
        <v>0</v>
      </c>
      <c r="I550" s="369">
        <f t="shared" si="473"/>
        <v>0</v>
      </c>
      <c r="J550" s="369">
        <f t="shared" si="473"/>
        <v>0</v>
      </c>
      <c r="K550" s="369">
        <f t="shared" si="473"/>
        <v>0</v>
      </c>
      <c r="L550" s="369">
        <f t="shared" si="473"/>
        <v>0</v>
      </c>
      <c r="M550" s="369">
        <f t="shared" si="473"/>
        <v>0</v>
      </c>
      <c r="N550" s="369">
        <f t="shared" si="473"/>
        <v>0</v>
      </c>
      <c r="O550" s="369">
        <f t="shared" si="473"/>
        <v>0</v>
      </c>
      <c r="P550" s="369">
        <f t="shared" si="473"/>
        <v>0</v>
      </c>
      <c r="Q550" s="369">
        <f t="shared" si="473"/>
        <v>0</v>
      </c>
      <c r="R550" s="369">
        <f t="shared" si="473"/>
        <v>0</v>
      </c>
      <c r="S550" s="369">
        <f t="shared" si="473"/>
        <v>0</v>
      </c>
      <c r="T550" s="369">
        <f t="shared" si="473"/>
        <v>0</v>
      </c>
      <c r="U550" s="369">
        <f t="shared" si="473"/>
        <v>0</v>
      </c>
      <c r="V550" s="506">
        <f t="shared" si="451"/>
        <v>0</v>
      </c>
      <c r="W550" s="506">
        <f t="shared" si="452"/>
        <v>0</v>
      </c>
      <c r="X550" s="98"/>
      <c r="Y550" s="497"/>
      <c r="Z550" s="98"/>
      <c r="AA550" s="98"/>
      <c r="AB550" s="98"/>
      <c r="AH550" s="485"/>
      <c r="AI550" s="485"/>
      <c r="AJ550" s="485"/>
      <c r="AK550" s="485"/>
      <c r="AL550" s="485"/>
    </row>
    <row r="551" spans="1:38" customFormat="1" ht="14.55" hidden="1" x14ac:dyDescent="0.35">
      <c r="A551" s="130" t="s">
        <v>182</v>
      </c>
      <c r="B551" s="107" t="s">
        <v>62</v>
      </c>
      <c r="C551" s="560"/>
      <c r="D551" s="81"/>
      <c r="E551" s="81"/>
      <c r="F551" s="370"/>
      <c r="G551" s="370"/>
      <c r="H551" s="370"/>
      <c r="I551" s="370"/>
      <c r="J551" s="370"/>
      <c r="K551" s="81"/>
      <c r="L551" s="81"/>
      <c r="M551" s="63">
        <f t="shared" si="472"/>
        <v>0</v>
      </c>
      <c r="N551" s="370"/>
      <c r="O551" s="370"/>
      <c r="P551" s="81"/>
      <c r="Q551" s="81"/>
      <c r="R551" s="81"/>
      <c r="S551" s="70">
        <f>P551-M551</f>
        <v>0</v>
      </c>
      <c r="T551" s="70">
        <f>P551-N551</f>
        <v>0</v>
      </c>
      <c r="U551" s="63">
        <f>N551-G551</f>
        <v>0</v>
      </c>
      <c r="V551" s="506">
        <f t="shared" si="451"/>
        <v>0</v>
      </c>
      <c r="W551" s="506">
        <f t="shared" si="452"/>
        <v>0</v>
      </c>
      <c r="X551" s="98"/>
      <c r="Y551" s="497"/>
      <c r="Z551" s="98"/>
      <c r="AA551" s="98"/>
      <c r="AB551" s="98"/>
      <c r="AH551" s="485"/>
      <c r="AI551" s="485"/>
      <c r="AJ551" s="485"/>
      <c r="AK551" s="485"/>
      <c r="AL551" s="485"/>
    </row>
    <row r="552" spans="1:38" customFormat="1" ht="26.4" hidden="1" x14ac:dyDescent="0.3">
      <c r="A552" s="570" t="s">
        <v>325</v>
      </c>
      <c r="B552" s="571" t="s">
        <v>326</v>
      </c>
      <c r="C552" s="531">
        <f>SUM(C553)</f>
        <v>279000</v>
      </c>
      <c r="D552" s="141"/>
      <c r="E552" s="141">
        <f t="shared" ref="E552:U552" si="474">SUM(E553)</f>
        <v>29000</v>
      </c>
      <c r="F552" s="364">
        <f t="shared" si="474"/>
        <v>1400</v>
      </c>
      <c r="G552" s="364">
        <f t="shared" si="474"/>
        <v>0</v>
      </c>
      <c r="H552" s="364">
        <f t="shared" si="474"/>
        <v>158000</v>
      </c>
      <c r="I552" s="364">
        <f t="shared" si="474"/>
        <v>71700</v>
      </c>
      <c r="J552" s="364">
        <f t="shared" si="474"/>
        <v>0</v>
      </c>
      <c r="K552" s="364">
        <f t="shared" si="474"/>
        <v>0</v>
      </c>
      <c r="L552" s="364">
        <f t="shared" si="474"/>
        <v>0</v>
      </c>
      <c r="M552" s="364">
        <f t="shared" si="474"/>
        <v>86300</v>
      </c>
      <c r="N552" s="364">
        <f t="shared" si="474"/>
        <v>0</v>
      </c>
      <c r="O552" s="364">
        <f t="shared" si="474"/>
        <v>0</v>
      </c>
      <c r="P552" s="364">
        <f t="shared" si="474"/>
        <v>0</v>
      </c>
      <c r="Q552" s="364">
        <f t="shared" si="474"/>
        <v>0</v>
      </c>
      <c r="R552" s="364">
        <f t="shared" si="474"/>
        <v>0</v>
      </c>
      <c r="S552" s="532">
        <f t="shared" si="474"/>
        <v>-86300</v>
      </c>
      <c r="T552" s="532">
        <f t="shared" si="474"/>
        <v>0</v>
      </c>
      <c r="U552" s="532">
        <f t="shared" si="474"/>
        <v>0</v>
      </c>
      <c r="V552" s="506">
        <f t="shared" si="451"/>
        <v>-86300</v>
      </c>
      <c r="W552" s="506">
        <f t="shared" si="452"/>
        <v>0</v>
      </c>
      <c r="X552" s="98"/>
      <c r="Y552" s="497"/>
      <c r="Z552" s="98"/>
      <c r="AA552" s="98"/>
      <c r="AB552" s="98"/>
      <c r="AH552" s="485"/>
      <c r="AI552" s="485"/>
      <c r="AJ552" s="485"/>
      <c r="AK552" s="485"/>
      <c r="AL552" s="485"/>
    </row>
    <row r="553" spans="1:38" s="6" customFormat="1" ht="14.4" hidden="1" x14ac:dyDescent="0.3">
      <c r="A553" s="557" t="s">
        <v>183</v>
      </c>
      <c r="B553" s="558" t="s">
        <v>55</v>
      </c>
      <c r="C553" s="559">
        <f t="shared" ref="C553:U553" si="475">C554</f>
        <v>279000</v>
      </c>
      <c r="D553" s="79"/>
      <c r="E553" s="79">
        <f t="shared" si="475"/>
        <v>29000</v>
      </c>
      <c r="F553" s="369">
        <f t="shared" si="475"/>
        <v>1400</v>
      </c>
      <c r="G553" s="369">
        <f t="shared" si="475"/>
        <v>0</v>
      </c>
      <c r="H553" s="369">
        <f t="shared" si="475"/>
        <v>158000</v>
      </c>
      <c r="I553" s="369">
        <f t="shared" si="475"/>
        <v>71700</v>
      </c>
      <c r="J553" s="369">
        <f t="shared" si="475"/>
        <v>0</v>
      </c>
      <c r="K553" s="369">
        <f t="shared" si="475"/>
        <v>0</v>
      </c>
      <c r="L553" s="369">
        <f t="shared" si="475"/>
        <v>0</v>
      </c>
      <c r="M553" s="369">
        <f t="shared" si="475"/>
        <v>86300</v>
      </c>
      <c r="N553" s="369">
        <f t="shared" si="475"/>
        <v>0</v>
      </c>
      <c r="O553" s="369">
        <f t="shared" si="475"/>
        <v>0</v>
      </c>
      <c r="P553" s="369">
        <f t="shared" si="475"/>
        <v>0</v>
      </c>
      <c r="Q553" s="369">
        <f t="shared" si="475"/>
        <v>0</v>
      </c>
      <c r="R553" s="369">
        <f t="shared" si="475"/>
        <v>0</v>
      </c>
      <c r="S553" s="369">
        <f t="shared" si="475"/>
        <v>-86300</v>
      </c>
      <c r="T553" s="369">
        <f t="shared" si="475"/>
        <v>0</v>
      </c>
      <c r="U553" s="369">
        <f t="shared" si="475"/>
        <v>0</v>
      </c>
      <c r="V553" s="506">
        <f t="shared" si="451"/>
        <v>-86300</v>
      </c>
      <c r="W553" s="506">
        <f t="shared" si="452"/>
        <v>0</v>
      </c>
      <c r="X553" s="97"/>
      <c r="Y553" s="496"/>
      <c r="Z553" s="97"/>
      <c r="AA553" s="97"/>
      <c r="AB553" s="97"/>
      <c r="AH553" s="575"/>
      <c r="AI553" s="575"/>
      <c r="AJ553" s="575"/>
      <c r="AK553" s="575"/>
      <c r="AL553" s="575"/>
    </row>
    <row r="554" spans="1:38" customFormat="1" ht="26.25" hidden="1" customHeight="1" x14ac:dyDescent="0.3">
      <c r="A554" s="130" t="s">
        <v>184</v>
      </c>
      <c r="B554" s="107" t="s">
        <v>55</v>
      </c>
      <c r="C554" s="560">
        <v>279000</v>
      </c>
      <c r="D554" s="81"/>
      <c r="E554" s="81">
        <v>29000</v>
      </c>
      <c r="F554" s="370">
        <v>1400</v>
      </c>
      <c r="G554" s="370"/>
      <c r="H554" s="370">
        <v>158000</v>
      </c>
      <c r="I554" s="370">
        <v>71700</v>
      </c>
      <c r="J554" s="370"/>
      <c r="K554" s="81"/>
      <c r="L554" s="81"/>
      <c r="M554" s="63">
        <f>H554-I554+J554-K554+L554</f>
        <v>86300</v>
      </c>
      <c r="N554" s="370"/>
      <c r="O554" s="370"/>
      <c r="P554" s="81"/>
      <c r="Q554" s="81"/>
      <c r="R554" s="81"/>
      <c r="S554" s="70">
        <f>P554-M554</f>
        <v>-86300</v>
      </c>
      <c r="T554" s="70">
        <f>P554-N554</f>
        <v>0</v>
      </c>
      <c r="U554" s="63">
        <f>N554-G554</f>
        <v>0</v>
      </c>
      <c r="V554" s="506">
        <f t="shared" si="451"/>
        <v>-86300</v>
      </c>
      <c r="W554" s="506">
        <f t="shared" si="452"/>
        <v>0</v>
      </c>
      <c r="X554" s="98"/>
      <c r="Y554" s="497"/>
      <c r="Z554" s="98"/>
      <c r="AA554" s="98"/>
      <c r="AB554" s="98"/>
      <c r="AH554" s="485"/>
      <c r="AI554" s="485"/>
      <c r="AJ554" s="485"/>
      <c r="AK554" s="485"/>
      <c r="AL554" s="485"/>
    </row>
    <row r="555" spans="1:38" ht="25.95" hidden="1" x14ac:dyDescent="0.3">
      <c r="A555" s="592" t="s">
        <v>133</v>
      </c>
      <c r="B555" s="593" t="s">
        <v>228</v>
      </c>
      <c r="C555" s="581">
        <f t="shared" ref="C555:U555" si="476">C556</f>
        <v>7264000</v>
      </c>
      <c r="D555" s="99"/>
      <c r="E555" s="99">
        <f t="shared" si="476"/>
        <v>6912600</v>
      </c>
      <c r="F555" s="373">
        <f t="shared" si="476"/>
        <v>0</v>
      </c>
      <c r="G555" s="373">
        <f t="shared" si="476"/>
        <v>0</v>
      </c>
      <c r="H555" s="373">
        <f t="shared" si="476"/>
        <v>0</v>
      </c>
      <c r="I555" s="373">
        <f t="shared" si="476"/>
        <v>0</v>
      </c>
      <c r="J555" s="373">
        <f t="shared" si="476"/>
        <v>0</v>
      </c>
      <c r="K555" s="373">
        <f t="shared" si="476"/>
        <v>0</v>
      </c>
      <c r="L555" s="373">
        <f t="shared" si="476"/>
        <v>0</v>
      </c>
      <c r="M555" s="373">
        <f t="shared" si="476"/>
        <v>0</v>
      </c>
      <c r="N555" s="373">
        <f t="shared" si="476"/>
        <v>0</v>
      </c>
      <c r="O555" s="373">
        <f t="shared" si="476"/>
        <v>0</v>
      </c>
      <c r="P555" s="373">
        <f t="shared" si="476"/>
        <v>0</v>
      </c>
      <c r="Q555" s="373">
        <f t="shared" si="476"/>
        <v>0</v>
      </c>
      <c r="R555" s="373">
        <f t="shared" si="476"/>
        <v>0</v>
      </c>
      <c r="S555" s="373">
        <f t="shared" si="476"/>
        <v>0</v>
      </c>
      <c r="T555" s="373">
        <f t="shared" si="476"/>
        <v>0</v>
      </c>
      <c r="U555" s="373">
        <f t="shared" si="476"/>
        <v>0</v>
      </c>
      <c r="V555" s="506">
        <f t="shared" si="451"/>
        <v>0</v>
      </c>
      <c r="W555" s="506">
        <f t="shared" si="452"/>
        <v>0</v>
      </c>
      <c r="X555" s="31"/>
      <c r="Y555" s="486"/>
      <c r="Z555" s="31"/>
      <c r="AA555" s="31"/>
      <c r="AB555" s="31"/>
      <c r="AD555" s="408" t="s">
        <v>430</v>
      </c>
    </row>
    <row r="556" spans="1:38" ht="18" hidden="1" customHeight="1" x14ac:dyDescent="0.3">
      <c r="A556" s="700" t="s">
        <v>77</v>
      </c>
      <c r="B556" s="700"/>
      <c r="C556" s="582">
        <f>SUM(C557,C563,C585)</f>
        <v>7264000</v>
      </c>
      <c r="D556" s="100"/>
      <c r="E556" s="100">
        <f t="shared" ref="E556:U556" si="477">SUM(E557,E563,E585)</f>
        <v>6912600</v>
      </c>
      <c r="F556" s="374">
        <f t="shared" si="477"/>
        <v>0</v>
      </c>
      <c r="G556" s="374">
        <f t="shared" si="477"/>
        <v>0</v>
      </c>
      <c r="H556" s="374">
        <f t="shared" si="477"/>
        <v>0</v>
      </c>
      <c r="I556" s="374">
        <f t="shared" si="477"/>
        <v>0</v>
      </c>
      <c r="J556" s="374">
        <f t="shared" si="477"/>
        <v>0</v>
      </c>
      <c r="K556" s="374">
        <f t="shared" si="477"/>
        <v>0</v>
      </c>
      <c r="L556" s="374">
        <f t="shared" si="477"/>
        <v>0</v>
      </c>
      <c r="M556" s="374">
        <f t="shared" si="477"/>
        <v>0</v>
      </c>
      <c r="N556" s="374">
        <f t="shared" si="477"/>
        <v>0</v>
      </c>
      <c r="O556" s="374">
        <f t="shared" si="477"/>
        <v>0</v>
      </c>
      <c r="P556" s="374">
        <f t="shared" si="477"/>
        <v>0</v>
      </c>
      <c r="Q556" s="374">
        <f t="shared" si="477"/>
        <v>0</v>
      </c>
      <c r="R556" s="374">
        <f t="shared" si="477"/>
        <v>0</v>
      </c>
      <c r="S556" s="587">
        <f t="shared" si="477"/>
        <v>0</v>
      </c>
      <c r="T556" s="587">
        <f t="shared" si="477"/>
        <v>0</v>
      </c>
      <c r="U556" s="587">
        <f t="shared" si="477"/>
        <v>0</v>
      </c>
      <c r="V556" s="506">
        <f t="shared" si="451"/>
        <v>0</v>
      </c>
      <c r="W556" s="506">
        <f t="shared" si="452"/>
        <v>0</v>
      </c>
      <c r="X556" s="31"/>
      <c r="Y556" s="486"/>
      <c r="Z556" s="31"/>
      <c r="AA556" s="31"/>
      <c r="AB556" s="31"/>
    </row>
    <row r="557" spans="1:38" ht="18" hidden="1" customHeight="1" x14ac:dyDescent="0.3">
      <c r="A557" s="540" t="s">
        <v>315</v>
      </c>
      <c r="B557" s="145" t="s">
        <v>316</v>
      </c>
      <c r="C557" s="146">
        <f>SUM(C558)</f>
        <v>8000</v>
      </c>
      <c r="D557" s="142"/>
      <c r="E557" s="142">
        <f t="shared" ref="E557:U557" si="478">SUM(E558)</f>
        <v>3200</v>
      </c>
      <c r="F557" s="147">
        <f t="shared" si="478"/>
        <v>0</v>
      </c>
      <c r="G557" s="147">
        <f t="shared" si="478"/>
        <v>0</v>
      </c>
      <c r="H557" s="147">
        <f t="shared" si="478"/>
        <v>0</v>
      </c>
      <c r="I557" s="147">
        <f t="shared" si="478"/>
        <v>0</v>
      </c>
      <c r="J557" s="147">
        <f t="shared" si="478"/>
        <v>0</v>
      </c>
      <c r="K557" s="147">
        <f t="shared" si="478"/>
        <v>0</v>
      </c>
      <c r="L557" s="147">
        <f t="shared" si="478"/>
        <v>0</v>
      </c>
      <c r="M557" s="147">
        <f t="shared" si="478"/>
        <v>0</v>
      </c>
      <c r="N557" s="147">
        <f t="shared" si="478"/>
        <v>0</v>
      </c>
      <c r="O557" s="147">
        <f t="shared" si="478"/>
        <v>0</v>
      </c>
      <c r="P557" s="147">
        <f t="shared" si="478"/>
        <v>0</v>
      </c>
      <c r="Q557" s="147">
        <f t="shared" si="478"/>
        <v>0</v>
      </c>
      <c r="R557" s="147">
        <f t="shared" si="478"/>
        <v>0</v>
      </c>
      <c r="S557" s="87">
        <f t="shared" si="478"/>
        <v>0</v>
      </c>
      <c r="T557" s="87">
        <f t="shared" si="478"/>
        <v>0</v>
      </c>
      <c r="U557" s="87">
        <f t="shared" si="478"/>
        <v>0</v>
      </c>
      <c r="V557" s="506">
        <f t="shared" si="451"/>
        <v>0</v>
      </c>
      <c r="W557" s="506">
        <f t="shared" si="452"/>
        <v>0</v>
      </c>
      <c r="X557" s="31"/>
      <c r="Y557" s="486"/>
      <c r="Z557" s="31"/>
      <c r="AA557" s="31"/>
      <c r="AB557" s="31"/>
    </row>
    <row r="558" spans="1:38" s="2" customFormat="1" ht="13.05" hidden="1" x14ac:dyDescent="0.3">
      <c r="A558" s="557" t="s">
        <v>143</v>
      </c>
      <c r="B558" s="558" t="s">
        <v>220</v>
      </c>
      <c r="C558" s="559">
        <f t="shared" ref="C558:U558" si="479">C559</f>
        <v>8000</v>
      </c>
      <c r="D558" s="79"/>
      <c r="E558" s="79">
        <f t="shared" si="479"/>
        <v>3200</v>
      </c>
      <c r="F558" s="369">
        <f t="shared" si="479"/>
        <v>0</v>
      </c>
      <c r="G558" s="369">
        <f t="shared" si="479"/>
        <v>0</v>
      </c>
      <c r="H558" s="369">
        <f t="shared" si="479"/>
        <v>0</v>
      </c>
      <c r="I558" s="369">
        <f t="shared" si="479"/>
        <v>0</v>
      </c>
      <c r="J558" s="369">
        <f t="shared" si="479"/>
        <v>0</v>
      </c>
      <c r="K558" s="369">
        <f t="shared" si="479"/>
        <v>0</v>
      </c>
      <c r="L558" s="369">
        <f t="shared" si="479"/>
        <v>0</v>
      </c>
      <c r="M558" s="369"/>
      <c r="N558" s="369">
        <f t="shared" si="479"/>
        <v>0</v>
      </c>
      <c r="O558" s="369">
        <f t="shared" si="479"/>
        <v>0</v>
      </c>
      <c r="P558" s="369">
        <f t="shared" si="479"/>
        <v>0</v>
      </c>
      <c r="Q558" s="369">
        <f t="shared" si="479"/>
        <v>0</v>
      </c>
      <c r="R558" s="369">
        <f t="shared" si="479"/>
        <v>0</v>
      </c>
      <c r="S558" s="369">
        <f t="shared" si="479"/>
        <v>0</v>
      </c>
      <c r="T558" s="369">
        <f t="shared" si="479"/>
        <v>0</v>
      </c>
      <c r="U558" s="369">
        <f t="shared" si="479"/>
        <v>0</v>
      </c>
      <c r="V558" s="506">
        <f t="shared" si="451"/>
        <v>0</v>
      </c>
      <c r="W558" s="506">
        <f t="shared" si="452"/>
        <v>0</v>
      </c>
      <c r="X558" s="34"/>
      <c r="Y558" s="490"/>
      <c r="Z558" s="34"/>
      <c r="AA558" s="34"/>
      <c r="AB558" s="34"/>
      <c r="AH558" s="525"/>
      <c r="AI558" s="525"/>
      <c r="AJ558" s="525"/>
      <c r="AK558" s="525"/>
      <c r="AL558" s="525"/>
    </row>
    <row r="559" spans="1:38" ht="11.25" hidden="1" customHeight="1" x14ac:dyDescent="0.3">
      <c r="A559" s="130" t="s">
        <v>144</v>
      </c>
      <c r="B559" s="107" t="s">
        <v>5</v>
      </c>
      <c r="C559" s="560">
        <v>8000</v>
      </c>
      <c r="D559" s="81"/>
      <c r="E559" s="81">
        <v>3200</v>
      </c>
      <c r="F559" s="370"/>
      <c r="G559" s="370"/>
      <c r="H559" s="370"/>
      <c r="I559" s="370"/>
      <c r="J559" s="370"/>
      <c r="K559" s="81"/>
      <c r="L559" s="81"/>
      <c r="M559" s="63"/>
      <c r="N559" s="370"/>
      <c r="O559" s="370"/>
      <c r="P559" s="81"/>
      <c r="Q559" s="81"/>
      <c r="R559" s="81"/>
      <c r="S559" s="70">
        <f>P559-M559</f>
        <v>0</v>
      </c>
      <c r="T559" s="70">
        <f>P559-N559</f>
        <v>0</v>
      </c>
      <c r="U559" s="63">
        <f>N559-G559</f>
        <v>0</v>
      </c>
      <c r="V559" s="506">
        <f t="shared" si="451"/>
        <v>0</v>
      </c>
      <c r="W559" s="506">
        <f t="shared" si="452"/>
        <v>0</v>
      </c>
      <c r="X559" s="31"/>
      <c r="Y559" s="486"/>
      <c r="Z559" s="31"/>
      <c r="AA559" s="31"/>
      <c r="AB559" s="31"/>
    </row>
    <row r="560" spans="1:38" s="2" customFormat="1" ht="13.05" hidden="1" x14ac:dyDescent="0.3">
      <c r="A560" s="557" t="s">
        <v>146</v>
      </c>
      <c r="B560" s="558" t="s">
        <v>126</v>
      </c>
      <c r="C560" s="559">
        <f t="shared" ref="C560:S560" si="480">SUM(C561:C562)</f>
        <v>0</v>
      </c>
      <c r="D560" s="79"/>
      <c r="E560" s="79">
        <f t="shared" ref="E560" si="481">SUM(E561:E562)</f>
        <v>0</v>
      </c>
      <c r="F560" s="369">
        <f t="shared" si="480"/>
        <v>0</v>
      </c>
      <c r="G560" s="369">
        <f t="shared" si="480"/>
        <v>0</v>
      </c>
      <c r="H560" s="369">
        <f t="shared" si="480"/>
        <v>0</v>
      </c>
      <c r="I560" s="369"/>
      <c r="J560" s="369"/>
      <c r="K560" s="369"/>
      <c r="L560" s="369"/>
      <c r="M560" s="369"/>
      <c r="N560" s="369">
        <f t="shared" si="480"/>
        <v>0</v>
      </c>
      <c r="O560" s="369">
        <f t="shared" si="480"/>
        <v>0</v>
      </c>
      <c r="P560" s="369"/>
      <c r="Q560" s="369"/>
      <c r="R560" s="369"/>
      <c r="S560" s="369">
        <f t="shared" si="480"/>
        <v>0</v>
      </c>
      <c r="T560" s="369"/>
      <c r="U560" s="369">
        <f t="shared" ref="U560" si="482">SUM(U561:U562)</f>
        <v>0</v>
      </c>
      <c r="V560" s="506">
        <f t="shared" si="451"/>
        <v>0</v>
      </c>
      <c r="W560" s="506">
        <f t="shared" si="452"/>
        <v>0</v>
      </c>
      <c r="X560" s="34"/>
      <c r="Y560" s="490"/>
      <c r="Z560" s="34"/>
      <c r="AA560" s="34"/>
      <c r="AB560" s="34"/>
      <c r="AH560" s="525"/>
      <c r="AI560" s="525"/>
      <c r="AJ560" s="525"/>
      <c r="AK560" s="525"/>
      <c r="AL560" s="525"/>
    </row>
    <row r="561" spans="1:38" ht="13.05" hidden="1" x14ac:dyDescent="0.3">
      <c r="A561" s="130" t="s">
        <v>147</v>
      </c>
      <c r="B561" s="107" t="s">
        <v>127</v>
      </c>
      <c r="C561" s="560"/>
      <c r="D561" s="81"/>
      <c r="E561" s="81"/>
      <c r="F561" s="370"/>
      <c r="G561" s="370"/>
      <c r="H561" s="370"/>
      <c r="I561" s="370"/>
      <c r="J561" s="370"/>
      <c r="K561" s="370"/>
      <c r="L561" s="370"/>
      <c r="M561" s="370"/>
      <c r="N561" s="370"/>
      <c r="O561" s="370"/>
      <c r="P561" s="370"/>
      <c r="Q561" s="370"/>
      <c r="R561" s="370"/>
      <c r="S561" s="370"/>
      <c r="T561" s="370"/>
      <c r="U561" s="370"/>
      <c r="V561" s="506">
        <f t="shared" si="451"/>
        <v>0</v>
      </c>
      <c r="W561" s="506">
        <f t="shared" si="452"/>
        <v>0</v>
      </c>
      <c r="X561" s="31"/>
      <c r="Y561" s="486"/>
      <c r="Z561" s="31"/>
      <c r="AA561" s="31"/>
      <c r="AB561" s="31"/>
    </row>
    <row r="562" spans="1:38" ht="13.05" hidden="1" x14ac:dyDescent="0.3">
      <c r="A562" s="130" t="s">
        <v>148</v>
      </c>
      <c r="B562" s="107" t="s">
        <v>128</v>
      </c>
      <c r="C562" s="560"/>
      <c r="D562" s="81"/>
      <c r="E562" s="81"/>
      <c r="F562" s="370"/>
      <c r="G562" s="370"/>
      <c r="H562" s="370"/>
      <c r="I562" s="370"/>
      <c r="J562" s="370"/>
      <c r="K562" s="370"/>
      <c r="L562" s="370"/>
      <c r="M562" s="370"/>
      <c r="N562" s="370"/>
      <c r="O562" s="370"/>
      <c r="P562" s="370"/>
      <c r="Q562" s="370"/>
      <c r="R562" s="370"/>
      <c r="S562" s="370"/>
      <c r="T562" s="370"/>
      <c r="U562" s="370"/>
      <c r="V562" s="506">
        <f t="shared" si="451"/>
        <v>0</v>
      </c>
      <c r="W562" s="506">
        <f t="shared" si="452"/>
        <v>0</v>
      </c>
      <c r="X562" s="31"/>
      <c r="Y562" s="486"/>
      <c r="Z562" s="31"/>
      <c r="AA562" s="31"/>
      <c r="AB562" s="31"/>
    </row>
    <row r="563" spans="1:38" ht="17.25" hidden="1" customHeight="1" x14ac:dyDescent="0.3">
      <c r="A563" s="540" t="s">
        <v>317</v>
      </c>
      <c r="B563" s="145" t="s">
        <v>318</v>
      </c>
      <c r="C563" s="146">
        <f>SUM(C564,C567,C572,C578,C580)</f>
        <v>234000</v>
      </c>
      <c r="D563" s="142"/>
      <c r="E563" s="142">
        <f t="shared" ref="E563:U563" si="483">SUM(E564,E567,E572,E578,E580)</f>
        <v>318400</v>
      </c>
      <c r="F563" s="147">
        <f t="shared" si="483"/>
        <v>0</v>
      </c>
      <c r="G563" s="147">
        <f t="shared" si="483"/>
        <v>0</v>
      </c>
      <c r="H563" s="147">
        <f t="shared" si="483"/>
        <v>0</v>
      </c>
      <c r="I563" s="147">
        <f t="shared" si="483"/>
        <v>0</v>
      </c>
      <c r="J563" s="147">
        <f t="shared" si="483"/>
        <v>0</v>
      </c>
      <c r="K563" s="147">
        <f t="shared" si="483"/>
        <v>0</v>
      </c>
      <c r="L563" s="147">
        <f t="shared" si="483"/>
        <v>0</v>
      </c>
      <c r="M563" s="147">
        <f t="shared" si="483"/>
        <v>0</v>
      </c>
      <c r="N563" s="147">
        <f t="shared" si="483"/>
        <v>0</v>
      </c>
      <c r="O563" s="147">
        <f t="shared" si="483"/>
        <v>0</v>
      </c>
      <c r="P563" s="147">
        <f t="shared" si="483"/>
        <v>0</v>
      </c>
      <c r="Q563" s="147">
        <f t="shared" si="483"/>
        <v>0</v>
      </c>
      <c r="R563" s="147">
        <f t="shared" si="483"/>
        <v>0</v>
      </c>
      <c r="S563" s="87">
        <f t="shared" si="483"/>
        <v>0</v>
      </c>
      <c r="T563" s="87">
        <f t="shared" si="483"/>
        <v>0</v>
      </c>
      <c r="U563" s="87">
        <f t="shared" si="483"/>
        <v>0</v>
      </c>
      <c r="V563" s="506">
        <f t="shared" si="451"/>
        <v>0</v>
      </c>
      <c r="W563" s="506">
        <f t="shared" si="452"/>
        <v>0</v>
      </c>
      <c r="X563" s="31"/>
      <c r="Y563" s="486"/>
      <c r="Z563" s="31"/>
      <c r="AA563" s="31"/>
      <c r="AB563" s="31"/>
    </row>
    <row r="564" spans="1:38" s="2" customFormat="1" ht="13.05" hidden="1" x14ac:dyDescent="0.3">
      <c r="A564" s="557" t="s">
        <v>149</v>
      </c>
      <c r="B564" s="558" t="s">
        <v>12</v>
      </c>
      <c r="C564" s="559">
        <f t="shared" ref="C564:U564" si="484">SUM(C565:C566)</f>
        <v>1000</v>
      </c>
      <c r="D564" s="79"/>
      <c r="E564" s="79">
        <f t="shared" ref="E564" si="485">SUM(E565:E566)</f>
        <v>7000</v>
      </c>
      <c r="F564" s="369">
        <f t="shared" si="484"/>
        <v>0</v>
      </c>
      <c r="G564" s="369">
        <f t="shared" si="484"/>
        <v>0</v>
      </c>
      <c r="H564" s="369">
        <f t="shared" si="484"/>
        <v>0</v>
      </c>
      <c r="I564" s="369">
        <f t="shared" si="484"/>
        <v>0</v>
      </c>
      <c r="J564" s="369">
        <f t="shared" si="484"/>
        <v>0</v>
      </c>
      <c r="K564" s="369">
        <f t="shared" si="484"/>
        <v>0</v>
      </c>
      <c r="L564" s="369">
        <f t="shared" si="484"/>
        <v>0</v>
      </c>
      <c r="M564" s="369">
        <f t="shared" si="484"/>
        <v>0</v>
      </c>
      <c r="N564" s="369">
        <f t="shared" si="484"/>
        <v>0</v>
      </c>
      <c r="O564" s="369">
        <f t="shared" si="484"/>
        <v>0</v>
      </c>
      <c r="P564" s="369">
        <f t="shared" si="484"/>
        <v>0</v>
      </c>
      <c r="Q564" s="369">
        <f t="shared" si="484"/>
        <v>0</v>
      </c>
      <c r="R564" s="369">
        <f t="shared" si="484"/>
        <v>0</v>
      </c>
      <c r="S564" s="369">
        <f t="shared" si="484"/>
        <v>0</v>
      </c>
      <c r="T564" s="369">
        <f t="shared" si="484"/>
        <v>0</v>
      </c>
      <c r="U564" s="369">
        <f t="shared" si="484"/>
        <v>0</v>
      </c>
      <c r="V564" s="506">
        <f t="shared" si="451"/>
        <v>0</v>
      </c>
      <c r="W564" s="506">
        <f t="shared" si="452"/>
        <v>0</v>
      </c>
      <c r="X564" s="34"/>
      <c r="Y564" s="490"/>
      <c r="Z564" s="34"/>
      <c r="AA564" s="34"/>
      <c r="AB564" s="34"/>
      <c r="AH564" s="525"/>
      <c r="AI564" s="525"/>
      <c r="AJ564" s="525"/>
      <c r="AK564" s="525"/>
      <c r="AL564" s="525"/>
    </row>
    <row r="565" spans="1:38" ht="13.5" hidden="1" customHeight="1" x14ac:dyDescent="0.3">
      <c r="A565" s="130" t="s">
        <v>150</v>
      </c>
      <c r="B565" s="107" t="s">
        <v>13</v>
      </c>
      <c r="C565" s="560">
        <v>1000</v>
      </c>
      <c r="D565" s="81"/>
      <c r="E565" s="81">
        <v>0</v>
      </c>
      <c r="F565" s="370"/>
      <c r="G565" s="370"/>
      <c r="H565" s="370"/>
      <c r="I565" s="370"/>
      <c r="J565" s="370"/>
      <c r="K565" s="81"/>
      <c r="L565" s="81"/>
      <c r="M565" s="63"/>
      <c r="N565" s="370"/>
      <c r="O565" s="370"/>
      <c r="P565" s="81"/>
      <c r="Q565" s="81"/>
      <c r="R565" s="81"/>
      <c r="S565" s="70">
        <f>P565-M565</f>
        <v>0</v>
      </c>
      <c r="T565" s="70">
        <f>P565-N565</f>
        <v>0</v>
      </c>
      <c r="U565" s="63">
        <f>N565-G565</f>
        <v>0</v>
      </c>
      <c r="V565" s="506">
        <f t="shared" si="451"/>
        <v>0</v>
      </c>
      <c r="W565" s="506">
        <f t="shared" si="452"/>
        <v>0</v>
      </c>
      <c r="X565" s="31"/>
      <c r="Y565" s="486"/>
      <c r="Z565" s="31"/>
      <c r="AA565" s="31"/>
      <c r="AB565" s="31"/>
    </row>
    <row r="566" spans="1:38" ht="13.05" hidden="1" x14ac:dyDescent="0.3">
      <c r="A566" s="130" t="s">
        <v>152</v>
      </c>
      <c r="B566" s="107" t="s">
        <v>15</v>
      </c>
      <c r="C566" s="560"/>
      <c r="D566" s="81"/>
      <c r="E566" s="81">
        <v>7000</v>
      </c>
      <c r="F566" s="370"/>
      <c r="G566" s="370"/>
      <c r="H566" s="370"/>
      <c r="I566" s="370"/>
      <c r="J566" s="370"/>
      <c r="K566" s="81"/>
      <c r="L566" s="81"/>
      <c r="M566" s="63"/>
      <c r="N566" s="370"/>
      <c r="O566" s="370"/>
      <c r="P566" s="81"/>
      <c r="Q566" s="81"/>
      <c r="R566" s="81"/>
      <c r="S566" s="70">
        <f>P566-M566</f>
        <v>0</v>
      </c>
      <c r="T566" s="70">
        <f>P566-N566</f>
        <v>0</v>
      </c>
      <c r="U566" s="63">
        <f>N566-G566</f>
        <v>0</v>
      </c>
      <c r="V566" s="506">
        <f t="shared" si="451"/>
        <v>0</v>
      </c>
      <c r="W566" s="506">
        <f t="shared" si="452"/>
        <v>0</v>
      </c>
      <c r="X566" s="31"/>
      <c r="Y566" s="486"/>
      <c r="Z566" s="31"/>
      <c r="AA566" s="31"/>
      <c r="AB566" s="31"/>
    </row>
    <row r="567" spans="1:38" s="2" customFormat="1" ht="13.05" hidden="1" x14ac:dyDescent="0.3">
      <c r="A567" s="557" t="s">
        <v>153</v>
      </c>
      <c r="B567" s="558" t="s">
        <v>16</v>
      </c>
      <c r="C567" s="559">
        <f>SUM(C568:C571)</f>
        <v>134000</v>
      </c>
      <c r="D567" s="79"/>
      <c r="E567" s="79">
        <f t="shared" ref="E567:U567" si="486">SUM(E568:E571)</f>
        <v>70000</v>
      </c>
      <c r="F567" s="369">
        <f t="shared" si="486"/>
        <v>0</v>
      </c>
      <c r="G567" s="369">
        <f t="shared" si="486"/>
        <v>0</v>
      </c>
      <c r="H567" s="369">
        <f t="shared" si="486"/>
        <v>0</v>
      </c>
      <c r="I567" s="369">
        <f t="shared" si="486"/>
        <v>0</v>
      </c>
      <c r="J567" s="369">
        <f t="shared" si="486"/>
        <v>0</v>
      </c>
      <c r="K567" s="369">
        <f t="shared" si="486"/>
        <v>0</v>
      </c>
      <c r="L567" s="369">
        <f t="shared" si="486"/>
        <v>0</v>
      </c>
      <c r="M567" s="369">
        <f t="shared" si="486"/>
        <v>0</v>
      </c>
      <c r="N567" s="369">
        <f t="shared" si="486"/>
        <v>0</v>
      </c>
      <c r="O567" s="369">
        <f t="shared" si="486"/>
        <v>0</v>
      </c>
      <c r="P567" s="369">
        <f t="shared" si="486"/>
        <v>0</v>
      </c>
      <c r="Q567" s="369">
        <f t="shared" si="486"/>
        <v>0</v>
      </c>
      <c r="R567" s="369">
        <f t="shared" si="486"/>
        <v>0</v>
      </c>
      <c r="S567" s="369">
        <f t="shared" si="486"/>
        <v>0</v>
      </c>
      <c r="T567" s="369">
        <f t="shared" si="486"/>
        <v>0</v>
      </c>
      <c r="U567" s="369">
        <f t="shared" si="486"/>
        <v>0</v>
      </c>
      <c r="V567" s="506">
        <f t="shared" si="451"/>
        <v>0</v>
      </c>
      <c r="W567" s="506">
        <f t="shared" si="452"/>
        <v>0</v>
      </c>
      <c r="X567" s="34"/>
      <c r="Y567" s="490"/>
      <c r="Z567" s="34"/>
      <c r="AA567" s="34"/>
      <c r="AB567" s="34"/>
      <c r="AH567" s="525"/>
      <c r="AI567" s="525"/>
      <c r="AJ567" s="525"/>
      <c r="AK567" s="525"/>
      <c r="AL567" s="525"/>
    </row>
    <row r="568" spans="1:38" s="4" customFormat="1" ht="13.05" hidden="1" x14ac:dyDescent="0.3">
      <c r="A568" s="130">
        <v>3222</v>
      </c>
      <c r="B568" s="107" t="s">
        <v>18</v>
      </c>
      <c r="C568" s="108"/>
      <c r="D568" s="102"/>
      <c r="E568" s="102">
        <v>10000</v>
      </c>
      <c r="F568" s="109"/>
      <c r="G568" s="109"/>
      <c r="H568" s="109"/>
      <c r="I568" s="109"/>
      <c r="J568" s="109"/>
      <c r="K568" s="102"/>
      <c r="L568" s="102"/>
      <c r="M568" s="63"/>
      <c r="N568" s="109"/>
      <c r="O568" s="109"/>
      <c r="P568" s="102"/>
      <c r="Q568" s="102"/>
      <c r="R568" s="102"/>
      <c r="S568" s="70">
        <f>P568-M568</f>
        <v>0</v>
      </c>
      <c r="T568" s="70">
        <f>P568-N568</f>
        <v>0</v>
      </c>
      <c r="U568" s="63">
        <f>N568-G568</f>
        <v>0</v>
      </c>
      <c r="V568" s="506">
        <f t="shared" si="451"/>
        <v>0</v>
      </c>
      <c r="W568" s="506">
        <f t="shared" si="452"/>
        <v>0</v>
      </c>
      <c r="X568" s="31"/>
      <c r="Y568" s="486"/>
      <c r="Z568" s="31"/>
      <c r="AA568" s="31"/>
      <c r="AB568" s="31"/>
      <c r="AH568" s="457"/>
      <c r="AI568" s="457"/>
      <c r="AJ568" s="457"/>
      <c r="AK568" s="457"/>
      <c r="AL568" s="457"/>
    </row>
    <row r="569" spans="1:38" ht="13.05" hidden="1" x14ac:dyDescent="0.3">
      <c r="A569" s="130" t="s">
        <v>156</v>
      </c>
      <c r="B569" s="107" t="s">
        <v>19</v>
      </c>
      <c r="C569" s="560">
        <v>1000</v>
      </c>
      <c r="D569" s="81"/>
      <c r="E569" s="81">
        <v>0</v>
      </c>
      <c r="F569" s="370"/>
      <c r="G569" s="370"/>
      <c r="H569" s="370"/>
      <c r="I569" s="370"/>
      <c r="J569" s="370"/>
      <c r="K569" s="81"/>
      <c r="L569" s="81"/>
      <c r="M569" s="63"/>
      <c r="N569" s="370"/>
      <c r="O569" s="370"/>
      <c r="P569" s="81"/>
      <c r="Q569" s="81"/>
      <c r="R569" s="81"/>
      <c r="S569" s="70">
        <f>P569-M569</f>
        <v>0</v>
      </c>
      <c r="T569" s="70">
        <f>P569-N569</f>
        <v>0</v>
      </c>
      <c r="U569" s="63">
        <f>N569-G569</f>
        <v>0</v>
      </c>
      <c r="V569" s="506">
        <f t="shared" si="451"/>
        <v>0</v>
      </c>
      <c r="W569" s="506">
        <f t="shared" si="452"/>
        <v>0</v>
      </c>
      <c r="X569" s="31"/>
      <c r="Y569" s="486"/>
      <c r="Z569" s="31"/>
      <c r="AA569" s="31"/>
      <c r="AB569" s="31"/>
    </row>
    <row r="570" spans="1:38" ht="13.05" hidden="1" x14ac:dyDescent="0.3">
      <c r="A570" s="130">
        <v>3225</v>
      </c>
      <c r="B570" s="107" t="s">
        <v>21</v>
      </c>
      <c r="C570" s="560">
        <v>83000</v>
      </c>
      <c r="D570" s="81"/>
      <c r="E570" s="81">
        <v>10000</v>
      </c>
      <c r="F570" s="370"/>
      <c r="G570" s="370"/>
      <c r="H570" s="370"/>
      <c r="I570" s="370"/>
      <c r="J570" s="370"/>
      <c r="K570" s="81"/>
      <c r="L570" s="81"/>
      <c r="M570" s="63"/>
      <c r="N570" s="370"/>
      <c r="O570" s="370"/>
      <c r="P570" s="81"/>
      <c r="Q570" s="81"/>
      <c r="R570" s="81"/>
      <c r="S570" s="70">
        <f>P570-M570</f>
        <v>0</v>
      </c>
      <c r="T570" s="70">
        <f>P570-N570</f>
        <v>0</v>
      </c>
      <c r="U570" s="63">
        <f>N570-G570</f>
        <v>0</v>
      </c>
      <c r="V570" s="506">
        <f t="shared" si="451"/>
        <v>0</v>
      </c>
      <c r="W570" s="506">
        <f t="shared" si="452"/>
        <v>0</v>
      </c>
      <c r="X570" s="31"/>
      <c r="Y570" s="486"/>
      <c r="Z570" s="31"/>
      <c r="AA570" s="31"/>
      <c r="AB570" s="31"/>
    </row>
    <row r="571" spans="1:38" ht="13.05" hidden="1" x14ac:dyDescent="0.3">
      <c r="A571" s="130">
        <v>3227</v>
      </c>
      <c r="B571" s="107" t="s">
        <v>22</v>
      </c>
      <c r="C571" s="560">
        <v>50000</v>
      </c>
      <c r="D571" s="81"/>
      <c r="E571" s="81">
        <v>50000</v>
      </c>
      <c r="F571" s="370"/>
      <c r="G571" s="370"/>
      <c r="H571" s="370"/>
      <c r="I571" s="370"/>
      <c r="J571" s="370"/>
      <c r="K571" s="81"/>
      <c r="L571" s="81"/>
      <c r="M571" s="63"/>
      <c r="N571" s="370"/>
      <c r="O571" s="370"/>
      <c r="P571" s="81"/>
      <c r="Q571" s="81"/>
      <c r="R571" s="81"/>
      <c r="S571" s="70">
        <f>P571-M571</f>
        <v>0</v>
      </c>
      <c r="T571" s="70">
        <f>P571-N571</f>
        <v>0</v>
      </c>
      <c r="U571" s="63">
        <f>N571-G571</f>
        <v>0</v>
      </c>
      <c r="V571" s="506">
        <f t="shared" si="451"/>
        <v>0</v>
      </c>
      <c r="W571" s="506">
        <f t="shared" si="452"/>
        <v>0</v>
      </c>
      <c r="X571" s="31"/>
      <c r="Y571" s="486"/>
      <c r="Z571" s="31"/>
      <c r="AA571" s="31"/>
      <c r="AB571" s="31"/>
    </row>
    <row r="572" spans="1:38" s="2" customFormat="1" ht="13.05" hidden="1" x14ac:dyDescent="0.3">
      <c r="A572" s="557" t="s">
        <v>159</v>
      </c>
      <c r="B572" s="558" t="s">
        <v>123</v>
      </c>
      <c r="C572" s="559">
        <f t="shared" ref="C572:U572" si="487">SUM(C573:C577)</f>
        <v>78000</v>
      </c>
      <c r="D572" s="79"/>
      <c r="E572" s="79">
        <f t="shared" ref="E572" si="488">SUM(E573:E577)</f>
        <v>236400</v>
      </c>
      <c r="F572" s="369">
        <f t="shared" si="487"/>
        <v>0</v>
      </c>
      <c r="G572" s="369">
        <f t="shared" si="487"/>
        <v>0</v>
      </c>
      <c r="H572" s="369">
        <f t="shared" si="487"/>
        <v>0</v>
      </c>
      <c r="I572" s="369">
        <f t="shared" si="487"/>
        <v>0</v>
      </c>
      <c r="J572" s="369">
        <f t="shared" si="487"/>
        <v>0</v>
      </c>
      <c r="K572" s="369">
        <f t="shared" si="487"/>
        <v>0</v>
      </c>
      <c r="L572" s="369">
        <f t="shared" si="487"/>
        <v>0</v>
      </c>
      <c r="M572" s="369">
        <f t="shared" si="487"/>
        <v>0</v>
      </c>
      <c r="N572" s="369">
        <f t="shared" si="487"/>
        <v>0</v>
      </c>
      <c r="O572" s="369">
        <f t="shared" si="487"/>
        <v>0</v>
      </c>
      <c r="P572" s="369">
        <f t="shared" si="487"/>
        <v>0</v>
      </c>
      <c r="Q572" s="369">
        <f t="shared" si="487"/>
        <v>0</v>
      </c>
      <c r="R572" s="369">
        <f t="shared" si="487"/>
        <v>0</v>
      </c>
      <c r="S572" s="369">
        <f t="shared" si="487"/>
        <v>0</v>
      </c>
      <c r="T572" s="369">
        <f t="shared" si="487"/>
        <v>0</v>
      </c>
      <c r="U572" s="369">
        <f t="shared" si="487"/>
        <v>0</v>
      </c>
      <c r="V572" s="506">
        <f t="shared" si="451"/>
        <v>0</v>
      </c>
      <c r="W572" s="506">
        <f t="shared" si="452"/>
        <v>0</v>
      </c>
      <c r="X572" s="34"/>
      <c r="Y572" s="490"/>
      <c r="Z572" s="34"/>
      <c r="AA572" s="34"/>
      <c r="AB572" s="34"/>
      <c r="AH572" s="525"/>
      <c r="AI572" s="525"/>
      <c r="AJ572" s="525"/>
      <c r="AK572" s="525"/>
      <c r="AL572" s="525"/>
    </row>
    <row r="573" spans="1:38" s="2" customFormat="1" ht="13.05" hidden="1" x14ac:dyDescent="0.3">
      <c r="A573" s="130">
        <v>3233</v>
      </c>
      <c r="B573" s="107" t="s">
        <v>26</v>
      </c>
      <c r="C573" s="108">
        <v>28000</v>
      </c>
      <c r="D573" s="102"/>
      <c r="E573" s="102">
        <v>54000</v>
      </c>
      <c r="F573" s="109"/>
      <c r="G573" s="109"/>
      <c r="H573" s="109"/>
      <c r="I573" s="109"/>
      <c r="J573" s="109"/>
      <c r="K573" s="102"/>
      <c r="L573" s="102"/>
      <c r="M573" s="63"/>
      <c r="N573" s="109"/>
      <c r="O573" s="109"/>
      <c r="P573" s="102"/>
      <c r="Q573" s="102"/>
      <c r="R573" s="102"/>
      <c r="S573" s="70">
        <f>P573-M573</f>
        <v>0</v>
      </c>
      <c r="T573" s="70">
        <f>P573-N573</f>
        <v>0</v>
      </c>
      <c r="U573" s="63">
        <f>N573-G573</f>
        <v>0</v>
      </c>
      <c r="V573" s="506">
        <f t="shared" si="451"/>
        <v>0</v>
      </c>
      <c r="W573" s="506">
        <f t="shared" si="452"/>
        <v>0</v>
      </c>
      <c r="X573" s="34"/>
      <c r="Y573" s="490"/>
      <c r="Z573" s="34"/>
      <c r="AA573" s="34"/>
      <c r="AB573" s="34"/>
      <c r="AH573" s="525"/>
      <c r="AI573" s="525"/>
      <c r="AJ573" s="525"/>
      <c r="AK573" s="525"/>
      <c r="AL573" s="525"/>
    </row>
    <row r="574" spans="1:38" s="2" customFormat="1" ht="13.05" hidden="1" x14ac:dyDescent="0.3">
      <c r="A574" s="594">
        <v>3235</v>
      </c>
      <c r="B574" s="595" t="s">
        <v>28</v>
      </c>
      <c r="C574" s="596">
        <v>1000</v>
      </c>
      <c r="D574" s="110"/>
      <c r="E574" s="110">
        <v>0</v>
      </c>
      <c r="F574" s="378"/>
      <c r="G574" s="378"/>
      <c r="H574" s="378"/>
      <c r="I574" s="378"/>
      <c r="J574" s="378"/>
      <c r="K574" s="110"/>
      <c r="L574" s="110"/>
      <c r="M574" s="63"/>
      <c r="N574" s="378"/>
      <c r="O574" s="378"/>
      <c r="P574" s="110"/>
      <c r="Q574" s="110"/>
      <c r="R574" s="110"/>
      <c r="S574" s="70">
        <f>P574-M574</f>
        <v>0</v>
      </c>
      <c r="T574" s="70">
        <f>P574-N574</f>
        <v>0</v>
      </c>
      <c r="U574" s="63">
        <f>N574-G574</f>
        <v>0</v>
      </c>
      <c r="V574" s="506">
        <f t="shared" si="451"/>
        <v>0</v>
      </c>
      <c r="W574" s="506">
        <f t="shared" si="452"/>
        <v>0</v>
      </c>
      <c r="X574" s="34"/>
      <c r="Y574" s="490"/>
      <c r="Z574" s="34"/>
      <c r="AA574" s="34"/>
      <c r="AB574" s="34"/>
      <c r="AH574" s="525"/>
      <c r="AI574" s="525"/>
      <c r="AJ574" s="525"/>
      <c r="AK574" s="525"/>
      <c r="AL574" s="525"/>
    </row>
    <row r="575" spans="1:38" ht="13.05" hidden="1" x14ac:dyDescent="0.3">
      <c r="A575" s="130" t="s">
        <v>166</v>
      </c>
      <c r="B575" s="107" t="s">
        <v>30</v>
      </c>
      <c r="C575" s="560">
        <v>35000</v>
      </c>
      <c r="D575" s="81"/>
      <c r="E575" s="81">
        <v>7400</v>
      </c>
      <c r="F575" s="370"/>
      <c r="G575" s="370"/>
      <c r="H575" s="370"/>
      <c r="I575" s="370"/>
      <c r="J575" s="370"/>
      <c r="K575" s="81"/>
      <c r="L575" s="81"/>
      <c r="M575" s="63"/>
      <c r="N575" s="370"/>
      <c r="O575" s="370"/>
      <c r="P575" s="81"/>
      <c r="Q575" s="81"/>
      <c r="R575" s="81"/>
      <c r="S575" s="70">
        <f>P575-M575</f>
        <v>0</v>
      </c>
      <c r="T575" s="70">
        <f>P575-N575</f>
        <v>0</v>
      </c>
      <c r="U575" s="63">
        <f>N575-G575</f>
        <v>0</v>
      </c>
      <c r="V575" s="506">
        <f t="shared" si="451"/>
        <v>0</v>
      </c>
      <c r="W575" s="506">
        <f t="shared" si="452"/>
        <v>0</v>
      </c>
      <c r="X575" s="31"/>
      <c r="Y575" s="486"/>
      <c r="Z575" s="31"/>
      <c r="AA575" s="31"/>
      <c r="AB575" s="31"/>
    </row>
    <row r="576" spans="1:38" ht="13.05" hidden="1" x14ac:dyDescent="0.3">
      <c r="A576" s="130">
        <v>3238</v>
      </c>
      <c r="B576" s="107" t="s">
        <v>70</v>
      </c>
      <c r="C576" s="560">
        <v>1000</v>
      </c>
      <c r="D576" s="81"/>
      <c r="E576" s="81">
        <v>0</v>
      </c>
      <c r="F576" s="370"/>
      <c r="G576" s="370"/>
      <c r="H576" s="370"/>
      <c r="I576" s="370"/>
      <c r="J576" s="370"/>
      <c r="K576" s="81"/>
      <c r="L576" s="81"/>
      <c r="M576" s="63"/>
      <c r="N576" s="370"/>
      <c r="O576" s="370"/>
      <c r="P576" s="81"/>
      <c r="Q576" s="81"/>
      <c r="R576" s="81"/>
      <c r="S576" s="70">
        <f>P576-M576</f>
        <v>0</v>
      </c>
      <c r="T576" s="70">
        <f>P576-N576</f>
        <v>0</v>
      </c>
      <c r="U576" s="63">
        <f>N576-G576</f>
        <v>0</v>
      </c>
      <c r="V576" s="506">
        <f t="shared" si="451"/>
        <v>0</v>
      </c>
      <c r="W576" s="506">
        <f t="shared" si="452"/>
        <v>0</v>
      </c>
      <c r="X576" s="31"/>
      <c r="Y576" s="486"/>
      <c r="Z576" s="31"/>
      <c r="AA576" s="31"/>
      <c r="AB576" s="31"/>
    </row>
    <row r="577" spans="1:38" ht="13.05" hidden="1" x14ac:dyDescent="0.3">
      <c r="A577" s="594" t="s">
        <v>167</v>
      </c>
      <c r="B577" s="595" t="s">
        <v>31</v>
      </c>
      <c r="C577" s="597">
        <v>13000</v>
      </c>
      <c r="D577" s="111"/>
      <c r="E577" s="111">
        <v>175000</v>
      </c>
      <c r="F577" s="379"/>
      <c r="G577" s="379"/>
      <c r="H577" s="379"/>
      <c r="I577" s="379"/>
      <c r="J577" s="379"/>
      <c r="K577" s="111"/>
      <c r="L577" s="111"/>
      <c r="M577" s="63"/>
      <c r="N577" s="379"/>
      <c r="O577" s="379"/>
      <c r="P577" s="111"/>
      <c r="Q577" s="111"/>
      <c r="R577" s="111"/>
      <c r="S577" s="70">
        <f>P577-M577</f>
        <v>0</v>
      </c>
      <c r="T577" s="70">
        <f>P577-N577</f>
        <v>0</v>
      </c>
      <c r="U577" s="63">
        <f>N577-G577</f>
        <v>0</v>
      </c>
      <c r="V577" s="506">
        <f t="shared" si="451"/>
        <v>0</v>
      </c>
      <c r="W577" s="506">
        <f t="shared" si="452"/>
        <v>0</v>
      </c>
      <c r="X577" s="31"/>
      <c r="Y577" s="486"/>
      <c r="Z577" s="31"/>
      <c r="AA577" s="31"/>
      <c r="AB577" s="31"/>
    </row>
    <row r="578" spans="1:38" ht="13.05" hidden="1" x14ac:dyDescent="0.3">
      <c r="A578" s="88">
        <v>324</v>
      </c>
      <c r="B578" s="556" t="s">
        <v>32</v>
      </c>
      <c r="C578" s="90">
        <f t="shared" ref="C578:U578" si="489">SUM(C579)</f>
        <v>20000</v>
      </c>
      <c r="D578" s="62"/>
      <c r="E578" s="62">
        <f t="shared" si="489"/>
        <v>5000</v>
      </c>
      <c r="F578" s="91">
        <f t="shared" si="489"/>
        <v>0</v>
      </c>
      <c r="G578" s="91">
        <f t="shared" si="489"/>
        <v>0</v>
      </c>
      <c r="H578" s="369">
        <f t="shared" ref="H578:M578" si="490">SUM(H579:H583)</f>
        <v>0</v>
      </c>
      <c r="I578" s="369">
        <f t="shared" si="490"/>
        <v>0</v>
      </c>
      <c r="J578" s="369">
        <f t="shared" si="490"/>
        <v>0</v>
      </c>
      <c r="K578" s="369">
        <f t="shared" si="490"/>
        <v>0</v>
      </c>
      <c r="L578" s="369">
        <f t="shared" si="490"/>
        <v>0</v>
      </c>
      <c r="M578" s="369">
        <f t="shared" si="490"/>
        <v>0</v>
      </c>
      <c r="N578" s="91">
        <f t="shared" si="489"/>
        <v>0</v>
      </c>
      <c r="O578" s="91">
        <f t="shared" si="489"/>
        <v>0</v>
      </c>
      <c r="P578" s="91">
        <f t="shared" si="489"/>
        <v>0</v>
      </c>
      <c r="Q578" s="91">
        <f t="shared" si="489"/>
        <v>0</v>
      </c>
      <c r="R578" s="91">
        <f t="shared" si="489"/>
        <v>0</v>
      </c>
      <c r="S578" s="91">
        <f t="shared" si="489"/>
        <v>0</v>
      </c>
      <c r="T578" s="91">
        <f t="shared" si="489"/>
        <v>0</v>
      </c>
      <c r="U578" s="91">
        <f t="shared" si="489"/>
        <v>0</v>
      </c>
      <c r="V578" s="506">
        <f t="shared" si="451"/>
        <v>0</v>
      </c>
      <c r="W578" s="506">
        <f t="shared" si="452"/>
        <v>0</v>
      </c>
      <c r="X578" s="31"/>
      <c r="Y578" s="486"/>
      <c r="Z578" s="31"/>
      <c r="AA578" s="31"/>
      <c r="AB578" s="31"/>
    </row>
    <row r="579" spans="1:38" ht="13.05" hidden="1" x14ac:dyDescent="0.3">
      <c r="A579" s="92">
        <v>3241</v>
      </c>
      <c r="B579" s="93" t="s">
        <v>32</v>
      </c>
      <c r="C579" s="551">
        <v>20000</v>
      </c>
      <c r="D579" s="71"/>
      <c r="E579" s="71">
        <v>5000</v>
      </c>
      <c r="F579" s="368"/>
      <c r="G579" s="368"/>
      <c r="H579" s="368"/>
      <c r="I579" s="368"/>
      <c r="J579" s="368"/>
      <c r="K579" s="71"/>
      <c r="L579" s="71"/>
      <c r="M579" s="63"/>
      <c r="N579" s="368"/>
      <c r="O579" s="368"/>
      <c r="P579" s="71"/>
      <c r="Q579" s="71"/>
      <c r="R579" s="71"/>
      <c r="S579" s="70">
        <f>P579-M579</f>
        <v>0</v>
      </c>
      <c r="T579" s="70">
        <f>P579-N579</f>
        <v>0</v>
      </c>
      <c r="U579" s="63">
        <f>N579-G579</f>
        <v>0</v>
      </c>
      <c r="V579" s="506">
        <f t="shared" si="451"/>
        <v>0</v>
      </c>
      <c r="W579" s="506">
        <f t="shared" si="452"/>
        <v>0</v>
      </c>
      <c r="X579" s="31"/>
      <c r="Y579" s="486"/>
      <c r="Z579" s="31"/>
      <c r="AA579" s="31"/>
      <c r="AB579" s="31"/>
    </row>
    <row r="580" spans="1:38" s="2" customFormat="1" ht="13.05" hidden="1" x14ac:dyDescent="0.3">
      <c r="A580" s="557" t="s">
        <v>170</v>
      </c>
      <c r="B580" s="558" t="s">
        <v>33</v>
      </c>
      <c r="C580" s="559">
        <f t="shared" ref="C580:U580" si="491">SUM(C581:C582)</f>
        <v>1000</v>
      </c>
      <c r="D580" s="79"/>
      <c r="E580" s="79">
        <f t="shared" ref="E580" si="492">SUM(E581:E582)</f>
        <v>0</v>
      </c>
      <c r="F580" s="369">
        <f t="shared" si="491"/>
        <v>0</v>
      </c>
      <c r="G580" s="369">
        <f t="shared" si="491"/>
        <v>0</v>
      </c>
      <c r="H580" s="369">
        <f t="shared" si="491"/>
        <v>0</v>
      </c>
      <c r="I580" s="369">
        <f t="shared" si="491"/>
        <v>0</v>
      </c>
      <c r="J580" s="369">
        <f t="shared" si="491"/>
        <v>0</v>
      </c>
      <c r="K580" s="369">
        <f t="shared" si="491"/>
        <v>0</v>
      </c>
      <c r="L580" s="369">
        <f t="shared" si="491"/>
        <v>0</v>
      </c>
      <c r="M580" s="369">
        <f t="shared" si="491"/>
        <v>0</v>
      </c>
      <c r="N580" s="369">
        <f t="shared" si="491"/>
        <v>0</v>
      </c>
      <c r="O580" s="369">
        <f t="shared" si="491"/>
        <v>0</v>
      </c>
      <c r="P580" s="369">
        <f t="shared" si="491"/>
        <v>0</v>
      </c>
      <c r="Q580" s="369">
        <f t="shared" si="491"/>
        <v>0</v>
      </c>
      <c r="R580" s="369">
        <f t="shared" si="491"/>
        <v>0</v>
      </c>
      <c r="S580" s="369">
        <f t="shared" si="491"/>
        <v>0</v>
      </c>
      <c r="T580" s="369">
        <f t="shared" si="491"/>
        <v>0</v>
      </c>
      <c r="U580" s="369">
        <f t="shared" si="491"/>
        <v>0</v>
      </c>
      <c r="V580" s="506">
        <f t="shared" si="451"/>
        <v>0</v>
      </c>
      <c r="W580" s="506">
        <f t="shared" si="452"/>
        <v>0</v>
      </c>
      <c r="X580" s="34"/>
      <c r="Y580" s="490"/>
      <c r="Z580" s="34"/>
      <c r="AA580" s="34"/>
      <c r="AB580" s="34"/>
      <c r="AH580" s="525"/>
      <c r="AI580" s="525"/>
      <c r="AJ580" s="525"/>
      <c r="AK580" s="525"/>
      <c r="AL580" s="525"/>
    </row>
    <row r="581" spans="1:38" s="2" customFormat="1" ht="13.05" hidden="1" x14ac:dyDescent="0.3">
      <c r="A581" s="130">
        <v>3293</v>
      </c>
      <c r="B581" s="107" t="s">
        <v>36</v>
      </c>
      <c r="C581" s="598">
        <v>1000</v>
      </c>
      <c r="D581" s="112"/>
      <c r="E581" s="112">
        <v>0</v>
      </c>
      <c r="F581" s="380"/>
      <c r="G581" s="380"/>
      <c r="H581" s="380"/>
      <c r="I581" s="380"/>
      <c r="J581" s="380"/>
      <c r="K581" s="112"/>
      <c r="L581" s="112"/>
      <c r="M581" s="63"/>
      <c r="N581" s="380"/>
      <c r="O581" s="380"/>
      <c r="P581" s="112"/>
      <c r="Q581" s="112"/>
      <c r="R581" s="112"/>
      <c r="S581" s="70">
        <f>P581-M581</f>
        <v>0</v>
      </c>
      <c r="T581" s="70">
        <f>P581-N581</f>
        <v>0</v>
      </c>
      <c r="U581" s="63">
        <f>N581-G581</f>
        <v>0</v>
      </c>
      <c r="V581" s="506">
        <f t="shared" si="451"/>
        <v>0</v>
      </c>
      <c r="W581" s="506">
        <f t="shared" si="452"/>
        <v>0</v>
      </c>
      <c r="X581" s="34"/>
      <c r="Y581" s="490"/>
      <c r="Z581" s="34"/>
      <c r="AA581" s="34"/>
      <c r="AB581" s="34"/>
      <c r="AH581" s="525"/>
      <c r="AI581" s="525"/>
      <c r="AJ581" s="525"/>
      <c r="AK581" s="525"/>
      <c r="AL581" s="525"/>
    </row>
    <row r="582" spans="1:38" ht="12" hidden="1" customHeight="1" x14ac:dyDescent="0.3">
      <c r="A582" s="594" t="s">
        <v>173</v>
      </c>
      <c r="B582" s="595" t="s">
        <v>33</v>
      </c>
      <c r="C582" s="597"/>
      <c r="D582" s="111"/>
      <c r="E582" s="111"/>
      <c r="F582" s="379"/>
      <c r="G582" s="379"/>
      <c r="H582" s="379"/>
      <c r="I582" s="379"/>
      <c r="J582" s="379"/>
      <c r="K582" s="111"/>
      <c r="L582" s="111"/>
      <c r="M582" s="63"/>
      <c r="N582" s="379"/>
      <c r="O582" s="379"/>
      <c r="P582" s="111"/>
      <c r="Q582" s="111"/>
      <c r="R582" s="111"/>
      <c r="S582" s="70">
        <f>P582-M582</f>
        <v>0</v>
      </c>
      <c r="T582" s="70">
        <f>P582-N582</f>
        <v>0</v>
      </c>
      <c r="U582" s="63">
        <f>N582-G582</f>
        <v>0</v>
      </c>
      <c r="V582" s="506">
        <f t="shared" si="451"/>
        <v>0</v>
      </c>
      <c r="W582" s="506">
        <f t="shared" si="452"/>
        <v>0</v>
      </c>
      <c r="X582" s="31"/>
      <c r="Y582" s="486"/>
      <c r="Z582" s="31"/>
      <c r="AA582" s="31"/>
      <c r="AB582" s="31"/>
    </row>
    <row r="583" spans="1:38" s="2" customFormat="1" ht="13.05" hidden="1" x14ac:dyDescent="0.3">
      <c r="A583" s="557" t="s">
        <v>176</v>
      </c>
      <c r="B583" s="558" t="s">
        <v>67</v>
      </c>
      <c r="C583" s="559">
        <f t="shared" ref="C583:U583" si="493">C584</f>
        <v>0</v>
      </c>
      <c r="D583" s="79"/>
      <c r="E583" s="79">
        <f t="shared" si="493"/>
        <v>0</v>
      </c>
      <c r="F583" s="369">
        <f t="shared" si="493"/>
        <v>0</v>
      </c>
      <c r="G583" s="369">
        <f t="shared" si="493"/>
        <v>0</v>
      </c>
      <c r="H583" s="369">
        <f t="shared" si="493"/>
        <v>0</v>
      </c>
      <c r="I583" s="369"/>
      <c r="J583" s="369"/>
      <c r="K583" s="369"/>
      <c r="L583" s="369"/>
      <c r="M583" s="369"/>
      <c r="N583" s="369">
        <f t="shared" si="493"/>
        <v>0</v>
      </c>
      <c r="O583" s="369">
        <f t="shared" si="493"/>
        <v>0</v>
      </c>
      <c r="P583" s="369"/>
      <c r="Q583" s="369"/>
      <c r="R583" s="369"/>
      <c r="S583" s="369">
        <f t="shared" si="493"/>
        <v>0</v>
      </c>
      <c r="T583" s="369"/>
      <c r="U583" s="369">
        <f t="shared" si="493"/>
        <v>0</v>
      </c>
      <c r="V583" s="506">
        <f t="shared" si="451"/>
        <v>0</v>
      </c>
      <c r="W583" s="506">
        <f t="shared" si="452"/>
        <v>0</v>
      </c>
      <c r="X583" s="34"/>
      <c r="Y583" s="490"/>
      <c r="Z583" s="34"/>
      <c r="AA583" s="34"/>
      <c r="AB583" s="34"/>
      <c r="AH583" s="525"/>
      <c r="AI583" s="525"/>
      <c r="AJ583" s="525"/>
      <c r="AK583" s="525"/>
      <c r="AL583" s="525"/>
    </row>
    <row r="584" spans="1:38" ht="13.05" hidden="1" x14ac:dyDescent="0.3">
      <c r="A584" s="130" t="s">
        <v>190</v>
      </c>
      <c r="B584" s="107" t="s">
        <v>68</v>
      </c>
      <c r="C584" s="560"/>
      <c r="D584" s="81"/>
      <c r="E584" s="81"/>
      <c r="F584" s="370"/>
      <c r="G584" s="370"/>
      <c r="H584" s="370"/>
      <c r="I584" s="370"/>
      <c r="J584" s="370"/>
      <c r="K584" s="370"/>
      <c r="L584" s="370"/>
      <c r="M584" s="370"/>
      <c r="N584" s="370"/>
      <c r="O584" s="370"/>
      <c r="P584" s="370"/>
      <c r="Q584" s="370"/>
      <c r="R584" s="370"/>
      <c r="S584" s="370"/>
      <c r="T584" s="370"/>
      <c r="U584" s="370"/>
      <c r="V584" s="506">
        <f t="shared" si="451"/>
        <v>0</v>
      </c>
      <c r="W584" s="506">
        <f t="shared" si="452"/>
        <v>0</v>
      </c>
      <c r="X584" s="31"/>
      <c r="Y584" s="486"/>
      <c r="Z584" s="31"/>
      <c r="AA584" s="31"/>
      <c r="AB584" s="31"/>
    </row>
    <row r="585" spans="1:38" ht="29.25" hidden="1" customHeight="1" x14ac:dyDescent="0.3">
      <c r="A585" s="570" t="s">
        <v>323</v>
      </c>
      <c r="B585" s="571" t="s">
        <v>324</v>
      </c>
      <c r="C585" s="531">
        <f>SUM(C586,C591)</f>
        <v>7022000</v>
      </c>
      <c r="D585" s="141"/>
      <c r="E585" s="141">
        <f t="shared" ref="E585:U585" si="494">SUM(E586,E591)</f>
        <v>6591000</v>
      </c>
      <c r="F585" s="364">
        <f t="shared" si="494"/>
        <v>0</v>
      </c>
      <c r="G585" s="364">
        <f t="shared" si="494"/>
        <v>0</v>
      </c>
      <c r="H585" s="364">
        <f t="shared" si="494"/>
        <v>0</v>
      </c>
      <c r="I585" s="364">
        <f t="shared" si="494"/>
        <v>0</v>
      </c>
      <c r="J585" s="364">
        <f t="shared" si="494"/>
        <v>0</v>
      </c>
      <c r="K585" s="364">
        <f t="shared" si="494"/>
        <v>0</v>
      </c>
      <c r="L585" s="364">
        <f t="shared" si="494"/>
        <v>0</v>
      </c>
      <c r="M585" s="364">
        <f t="shared" si="494"/>
        <v>0</v>
      </c>
      <c r="N585" s="364">
        <f t="shared" si="494"/>
        <v>0</v>
      </c>
      <c r="O585" s="364">
        <f t="shared" si="494"/>
        <v>0</v>
      </c>
      <c r="P585" s="364">
        <f t="shared" si="494"/>
        <v>0</v>
      </c>
      <c r="Q585" s="364">
        <f t="shared" si="494"/>
        <v>0</v>
      </c>
      <c r="R585" s="364">
        <f t="shared" si="494"/>
        <v>0</v>
      </c>
      <c r="S585" s="532">
        <f t="shared" si="494"/>
        <v>0</v>
      </c>
      <c r="T585" s="532">
        <f t="shared" si="494"/>
        <v>0</v>
      </c>
      <c r="U585" s="532">
        <f t="shared" si="494"/>
        <v>0</v>
      </c>
      <c r="V585" s="506">
        <f t="shared" si="451"/>
        <v>0</v>
      </c>
      <c r="W585" s="506">
        <f t="shared" si="452"/>
        <v>0</v>
      </c>
      <c r="X585" s="31"/>
      <c r="Y585" s="486"/>
      <c r="Z585" s="31"/>
      <c r="AA585" s="31"/>
      <c r="AB585" s="31"/>
    </row>
    <row r="586" spans="1:38" s="2" customFormat="1" ht="13.05" hidden="1" x14ac:dyDescent="0.3">
      <c r="A586" s="557" t="s">
        <v>177</v>
      </c>
      <c r="B586" s="558" t="s">
        <v>129</v>
      </c>
      <c r="C586" s="559">
        <f t="shared" ref="C586:F586" si="495">SUM(C587:C590)</f>
        <v>265000</v>
      </c>
      <c r="D586" s="79"/>
      <c r="E586" s="79">
        <f t="shared" ref="E586" si="496">SUM(E587:E590)</f>
        <v>67000</v>
      </c>
      <c r="F586" s="369">
        <f t="shared" si="495"/>
        <v>0</v>
      </c>
      <c r="G586" s="369">
        <f t="shared" ref="G586:U586" si="497">SUM(G587:G590)</f>
        <v>0</v>
      </c>
      <c r="H586" s="369">
        <f t="shared" si="497"/>
        <v>0</v>
      </c>
      <c r="I586" s="369">
        <f t="shared" si="497"/>
        <v>0</v>
      </c>
      <c r="J586" s="369">
        <f t="shared" si="497"/>
        <v>0</v>
      </c>
      <c r="K586" s="369">
        <f t="shared" si="497"/>
        <v>0</v>
      </c>
      <c r="L586" s="369">
        <f t="shared" si="497"/>
        <v>0</v>
      </c>
      <c r="M586" s="369">
        <f t="shared" si="497"/>
        <v>0</v>
      </c>
      <c r="N586" s="369">
        <f t="shared" si="497"/>
        <v>0</v>
      </c>
      <c r="O586" s="369">
        <f t="shared" si="497"/>
        <v>0</v>
      </c>
      <c r="P586" s="369">
        <f t="shared" si="497"/>
        <v>0</v>
      </c>
      <c r="Q586" s="369">
        <f t="shared" si="497"/>
        <v>0</v>
      </c>
      <c r="R586" s="369">
        <f t="shared" si="497"/>
        <v>0</v>
      </c>
      <c r="S586" s="369">
        <f t="shared" si="497"/>
        <v>0</v>
      </c>
      <c r="T586" s="369">
        <f t="shared" si="497"/>
        <v>0</v>
      </c>
      <c r="U586" s="369">
        <f t="shared" si="497"/>
        <v>0</v>
      </c>
      <c r="V586" s="506">
        <f t="shared" si="451"/>
        <v>0</v>
      </c>
      <c r="W586" s="506">
        <f t="shared" si="452"/>
        <v>0</v>
      </c>
      <c r="X586" s="34"/>
      <c r="Y586" s="490"/>
      <c r="Z586" s="34"/>
      <c r="AA586" s="34"/>
      <c r="AB586" s="34"/>
      <c r="AH586" s="525"/>
      <c r="AI586" s="525"/>
      <c r="AJ586" s="525"/>
      <c r="AK586" s="525"/>
      <c r="AL586" s="525"/>
    </row>
    <row r="587" spans="1:38" ht="12" hidden="1" customHeight="1" x14ac:dyDescent="0.3">
      <c r="A587" s="130" t="s">
        <v>178</v>
      </c>
      <c r="B587" s="107" t="s">
        <v>54</v>
      </c>
      <c r="C587" s="560"/>
      <c r="D587" s="81"/>
      <c r="E587" s="81"/>
      <c r="F587" s="370"/>
      <c r="G587" s="370"/>
      <c r="H587" s="370"/>
      <c r="I587" s="370"/>
      <c r="J587" s="370"/>
      <c r="K587" s="81"/>
      <c r="L587" s="81"/>
      <c r="M587" s="63"/>
      <c r="N587" s="370"/>
      <c r="O587" s="370"/>
      <c r="P587" s="81"/>
      <c r="Q587" s="81"/>
      <c r="R587" s="81"/>
      <c r="S587" s="70">
        <f>P587-M587</f>
        <v>0</v>
      </c>
      <c r="T587" s="70">
        <f>P587-N587</f>
        <v>0</v>
      </c>
      <c r="U587" s="63">
        <f>N587-G587</f>
        <v>0</v>
      </c>
      <c r="V587" s="506">
        <f t="shared" ref="V587:V650" si="498">P587-M587</f>
        <v>0</v>
      </c>
      <c r="W587" s="506">
        <f t="shared" ref="W587:W650" si="499">S587-V587</f>
        <v>0</v>
      </c>
      <c r="X587" s="31"/>
      <c r="Y587" s="486"/>
      <c r="Z587" s="31"/>
      <c r="AA587" s="31"/>
      <c r="AB587" s="31"/>
    </row>
    <row r="588" spans="1:38" ht="13.05" hidden="1" x14ac:dyDescent="0.3">
      <c r="A588" s="130">
        <v>4223</v>
      </c>
      <c r="B588" s="107" t="s">
        <v>59</v>
      </c>
      <c r="C588" s="560"/>
      <c r="D588" s="81"/>
      <c r="E588" s="81">
        <v>30000</v>
      </c>
      <c r="F588" s="370"/>
      <c r="G588" s="370"/>
      <c r="H588" s="370"/>
      <c r="I588" s="370"/>
      <c r="J588" s="370"/>
      <c r="K588" s="81"/>
      <c r="L588" s="81"/>
      <c r="M588" s="63"/>
      <c r="N588" s="370"/>
      <c r="O588" s="370"/>
      <c r="P588" s="81"/>
      <c r="Q588" s="81"/>
      <c r="R588" s="81"/>
      <c r="S588" s="70">
        <f>P588-M588</f>
        <v>0</v>
      </c>
      <c r="T588" s="70">
        <f>P588-N588</f>
        <v>0</v>
      </c>
      <c r="U588" s="63">
        <f>N588-G588</f>
        <v>0</v>
      </c>
      <c r="V588" s="506">
        <f t="shared" si="498"/>
        <v>0</v>
      </c>
      <c r="W588" s="506">
        <f t="shared" si="499"/>
        <v>0</v>
      </c>
      <c r="X588" s="31"/>
      <c r="Y588" s="486"/>
      <c r="Z588" s="31"/>
      <c r="AA588" s="31"/>
      <c r="AB588" s="31"/>
    </row>
    <row r="589" spans="1:38" ht="13.05" hidden="1" x14ac:dyDescent="0.3">
      <c r="A589" s="130">
        <v>4225</v>
      </c>
      <c r="B589" s="107" t="s">
        <v>105</v>
      </c>
      <c r="C589" s="560"/>
      <c r="D589" s="81"/>
      <c r="E589" s="81"/>
      <c r="F589" s="370"/>
      <c r="G589" s="370"/>
      <c r="H589" s="370"/>
      <c r="I589" s="370"/>
      <c r="J589" s="370"/>
      <c r="K589" s="81"/>
      <c r="L589" s="81"/>
      <c r="M589" s="63"/>
      <c r="N589" s="370"/>
      <c r="O589" s="370"/>
      <c r="P589" s="81"/>
      <c r="Q589" s="81"/>
      <c r="R589" s="81"/>
      <c r="S589" s="70">
        <f>P589-M589</f>
        <v>0</v>
      </c>
      <c r="T589" s="70">
        <f>P589-N589</f>
        <v>0</v>
      </c>
      <c r="U589" s="63">
        <f>N589-G589</f>
        <v>0</v>
      </c>
      <c r="V589" s="506">
        <f t="shared" si="498"/>
        <v>0</v>
      </c>
      <c r="W589" s="506">
        <f t="shared" si="499"/>
        <v>0</v>
      </c>
      <c r="X589" s="31"/>
      <c r="Y589" s="486"/>
      <c r="Z589" s="31"/>
      <c r="AA589" s="31"/>
      <c r="AB589" s="31"/>
    </row>
    <row r="590" spans="1:38" ht="13.05" hidden="1" x14ac:dyDescent="0.3">
      <c r="A590" s="130" t="s">
        <v>180</v>
      </c>
      <c r="B590" s="107" t="s">
        <v>60</v>
      </c>
      <c r="C590" s="560">
        <v>265000</v>
      </c>
      <c r="D590" s="81"/>
      <c r="E590" s="81">
        <v>37000</v>
      </c>
      <c r="F590" s="370"/>
      <c r="G590" s="370"/>
      <c r="H590" s="370"/>
      <c r="I590" s="370"/>
      <c r="J590" s="370"/>
      <c r="K590" s="81"/>
      <c r="L590" s="81"/>
      <c r="M590" s="63"/>
      <c r="N590" s="370"/>
      <c r="O590" s="370"/>
      <c r="P590" s="81"/>
      <c r="Q590" s="81"/>
      <c r="R590" s="81"/>
      <c r="S590" s="70">
        <f>P590-M590</f>
        <v>0</v>
      </c>
      <c r="T590" s="70">
        <f>P590-N590</f>
        <v>0</v>
      </c>
      <c r="U590" s="63">
        <f>N590-G590</f>
        <v>0</v>
      </c>
      <c r="V590" s="506">
        <f t="shared" si="498"/>
        <v>0</v>
      </c>
      <c r="W590" s="506">
        <f t="shared" si="499"/>
        <v>0</v>
      </c>
      <c r="X590" s="31"/>
      <c r="Y590" s="486"/>
      <c r="Z590" s="31"/>
      <c r="AA590" s="31"/>
      <c r="AB590" s="31"/>
    </row>
    <row r="591" spans="1:38" s="2" customFormat="1" ht="13.05" hidden="1" x14ac:dyDescent="0.3">
      <c r="A591" s="557" t="s">
        <v>181</v>
      </c>
      <c r="B591" s="558" t="s">
        <v>61</v>
      </c>
      <c r="C591" s="559">
        <f t="shared" ref="C591:U591" si="500">SUM(C592:C594)</f>
        <v>6757000</v>
      </c>
      <c r="D591" s="79"/>
      <c r="E591" s="79">
        <f t="shared" ref="E591" si="501">SUM(E592:E594)</f>
        <v>6524000</v>
      </c>
      <c r="F591" s="369">
        <f t="shared" si="500"/>
        <v>0</v>
      </c>
      <c r="G591" s="369">
        <f t="shared" si="500"/>
        <v>0</v>
      </c>
      <c r="H591" s="369">
        <f t="shared" si="500"/>
        <v>0</v>
      </c>
      <c r="I591" s="369">
        <f t="shared" si="500"/>
        <v>0</v>
      </c>
      <c r="J591" s="369">
        <f t="shared" si="500"/>
        <v>0</v>
      </c>
      <c r="K591" s="369">
        <f t="shared" si="500"/>
        <v>0</v>
      </c>
      <c r="L591" s="369">
        <f t="shared" si="500"/>
        <v>0</v>
      </c>
      <c r="M591" s="369">
        <f t="shared" si="500"/>
        <v>0</v>
      </c>
      <c r="N591" s="369">
        <f t="shared" si="500"/>
        <v>0</v>
      </c>
      <c r="O591" s="369">
        <f t="shared" si="500"/>
        <v>0</v>
      </c>
      <c r="P591" s="369">
        <f t="shared" si="500"/>
        <v>0</v>
      </c>
      <c r="Q591" s="369">
        <f t="shared" si="500"/>
        <v>0</v>
      </c>
      <c r="R591" s="369">
        <f t="shared" si="500"/>
        <v>0</v>
      </c>
      <c r="S591" s="369">
        <f t="shared" si="500"/>
        <v>0</v>
      </c>
      <c r="T591" s="369">
        <f t="shared" si="500"/>
        <v>0</v>
      </c>
      <c r="U591" s="369">
        <f t="shared" si="500"/>
        <v>0</v>
      </c>
      <c r="V591" s="506">
        <f t="shared" si="498"/>
        <v>0</v>
      </c>
      <c r="W591" s="506">
        <f t="shared" si="499"/>
        <v>0</v>
      </c>
      <c r="X591" s="34"/>
      <c r="Y591" s="490"/>
      <c r="Z591" s="34"/>
      <c r="AA591" s="34"/>
      <c r="AB591" s="34"/>
      <c r="AH591" s="525"/>
      <c r="AI591" s="525"/>
      <c r="AJ591" s="525"/>
      <c r="AK591" s="525"/>
      <c r="AL591" s="525"/>
    </row>
    <row r="592" spans="1:38" ht="13.05" hidden="1" x14ac:dyDescent="0.3">
      <c r="A592" s="130" t="s">
        <v>182</v>
      </c>
      <c r="B592" s="107" t="s">
        <v>62</v>
      </c>
      <c r="C592" s="560">
        <v>850000</v>
      </c>
      <c r="D592" s="81"/>
      <c r="E592" s="81">
        <v>650000</v>
      </c>
      <c r="F592" s="370"/>
      <c r="G592" s="370"/>
      <c r="H592" s="370"/>
      <c r="I592" s="370"/>
      <c r="J592" s="370"/>
      <c r="K592" s="81"/>
      <c r="L592" s="81"/>
      <c r="M592" s="63"/>
      <c r="N592" s="370"/>
      <c r="O592" s="370"/>
      <c r="P592" s="81"/>
      <c r="Q592" s="81"/>
      <c r="R592" s="81"/>
      <c r="S592" s="70">
        <f>P592-M592</f>
        <v>0</v>
      </c>
      <c r="T592" s="70">
        <f>P592-N592</f>
        <v>0</v>
      </c>
      <c r="U592" s="63">
        <f>N592-G592</f>
        <v>0</v>
      </c>
      <c r="V592" s="506">
        <f t="shared" si="498"/>
        <v>0</v>
      </c>
      <c r="W592" s="506">
        <f t="shared" si="499"/>
        <v>0</v>
      </c>
      <c r="X592" s="31"/>
      <c r="Y592" s="486"/>
      <c r="Z592" s="31"/>
      <c r="AA592" s="31"/>
      <c r="AB592" s="31"/>
    </row>
    <row r="593" spans="1:38" ht="13.05" hidden="1" x14ac:dyDescent="0.3">
      <c r="A593" s="130">
        <v>4233</v>
      </c>
      <c r="B593" s="107" t="s">
        <v>227</v>
      </c>
      <c r="C593" s="560">
        <v>133000</v>
      </c>
      <c r="D593" s="81"/>
      <c r="E593" s="81">
        <v>100000</v>
      </c>
      <c r="F593" s="370"/>
      <c r="G593" s="370"/>
      <c r="H593" s="370"/>
      <c r="I593" s="370"/>
      <c r="J593" s="370"/>
      <c r="K593" s="81"/>
      <c r="L593" s="81"/>
      <c r="M593" s="63"/>
      <c r="N593" s="370"/>
      <c r="O593" s="370"/>
      <c r="P593" s="81"/>
      <c r="Q593" s="81"/>
      <c r="R593" s="81"/>
      <c r="S593" s="70">
        <f>P593-M593</f>
        <v>0</v>
      </c>
      <c r="T593" s="70">
        <f>P593-N593</f>
        <v>0</v>
      </c>
      <c r="U593" s="63">
        <f>N593-G593</f>
        <v>0</v>
      </c>
      <c r="V593" s="506">
        <f t="shared" si="498"/>
        <v>0</v>
      </c>
      <c r="W593" s="506">
        <f t="shared" si="499"/>
        <v>0</v>
      </c>
      <c r="X593" s="31"/>
      <c r="Y593" s="486"/>
      <c r="Z593" s="31"/>
      <c r="AA593" s="31"/>
      <c r="AB593" s="31"/>
    </row>
    <row r="594" spans="1:38" ht="15" hidden="1" customHeight="1" x14ac:dyDescent="0.3">
      <c r="A594" s="130">
        <v>4234</v>
      </c>
      <c r="B594" s="107" t="s">
        <v>279</v>
      </c>
      <c r="C594" s="560">
        <v>5774000</v>
      </c>
      <c r="D594" s="81"/>
      <c r="E594" s="81">
        <v>5774000</v>
      </c>
      <c r="F594" s="370"/>
      <c r="G594" s="370"/>
      <c r="H594" s="370"/>
      <c r="I594" s="370"/>
      <c r="J594" s="370"/>
      <c r="K594" s="81"/>
      <c r="L594" s="81"/>
      <c r="M594" s="63"/>
      <c r="N594" s="370"/>
      <c r="O594" s="370"/>
      <c r="P594" s="81"/>
      <c r="Q594" s="81"/>
      <c r="R594" s="81"/>
      <c r="S594" s="70">
        <f>P594-M594</f>
        <v>0</v>
      </c>
      <c r="T594" s="70">
        <f>P594-N594</f>
        <v>0</v>
      </c>
      <c r="U594" s="63">
        <f>N594-G594</f>
        <v>0</v>
      </c>
      <c r="V594" s="506">
        <f t="shared" si="498"/>
        <v>0</v>
      </c>
      <c r="W594" s="506">
        <f t="shared" si="499"/>
        <v>0</v>
      </c>
      <c r="X594" s="31"/>
      <c r="Y594" s="486"/>
      <c r="Z594" s="31"/>
      <c r="AA594" s="31"/>
      <c r="AB594" s="31"/>
    </row>
    <row r="595" spans="1:38" ht="34.5" hidden="1" customHeight="1" x14ac:dyDescent="0.3">
      <c r="A595" s="579" t="s">
        <v>134</v>
      </c>
      <c r="B595" s="580" t="s">
        <v>229</v>
      </c>
      <c r="C595" s="581">
        <f t="shared" ref="C595:U595" si="502">C596</f>
        <v>207100</v>
      </c>
      <c r="D595" s="99"/>
      <c r="E595" s="99">
        <f t="shared" si="502"/>
        <v>207100</v>
      </c>
      <c r="F595" s="373">
        <f t="shared" si="502"/>
        <v>1000</v>
      </c>
      <c r="G595" s="373">
        <f t="shared" si="502"/>
        <v>0</v>
      </c>
      <c r="H595" s="373">
        <f t="shared" si="502"/>
        <v>21000</v>
      </c>
      <c r="I595" s="373">
        <f t="shared" si="502"/>
        <v>0</v>
      </c>
      <c r="J595" s="373">
        <f t="shared" si="502"/>
        <v>500</v>
      </c>
      <c r="K595" s="373">
        <f t="shared" si="502"/>
        <v>0</v>
      </c>
      <c r="L595" s="373">
        <f t="shared" si="502"/>
        <v>0</v>
      </c>
      <c r="M595" s="373">
        <f t="shared" si="502"/>
        <v>21500</v>
      </c>
      <c r="N595" s="373">
        <f t="shared" si="502"/>
        <v>0</v>
      </c>
      <c r="O595" s="373">
        <f t="shared" si="502"/>
        <v>0</v>
      </c>
      <c r="P595" s="373">
        <f t="shared" si="502"/>
        <v>0</v>
      </c>
      <c r="Q595" s="373">
        <f t="shared" si="502"/>
        <v>0</v>
      </c>
      <c r="R595" s="373">
        <f t="shared" si="502"/>
        <v>0</v>
      </c>
      <c r="S595" s="373">
        <f t="shared" si="502"/>
        <v>-21500</v>
      </c>
      <c r="T595" s="373">
        <f t="shared" si="502"/>
        <v>0</v>
      </c>
      <c r="U595" s="373">
        <f t="shared" si="502"/>
        <v>0</v>
      </c>
      <c r="V595" s="506">
        <f t="shared" si="498"/>
        <v>-21500</v>
      </c>
      <c r="W595" s="506">
        <f t="shared" si="499"/>
        <v>0</v>
      </c>
      <c r="X595" s="31"/>
      <c r="Y595" s="486"/>
      <c r="Z595" s="31"/>
      <c r="AA595" s="31"/>
      <c r="AB595" s="31"/>
    </row>
    <row r="596" spans="1:38" s="2" customFormat="1" ht="19.5" hidden="1" customHeight="1" x14ac:dyDescent="0.3">
      <c r="A596" s="700" t="s">
        <v>77</v>
      </c>
      <c r="B596" s="700"/>
      <c r="C596" s="582">
        <f>SUM(C597)</f>
        <v>207100</v>
      </c>
      <c r="D596" s="100"/>
      <c r="E596" s="100">
        <f t="shared" ref="E596:U596" si="503">SUM(E597)</f>
        <v>207100</v>
      </c>
      <c r="F596" s="374">
        <f t="shared" si="503"/>
        <v>1000</v>
      </c>
      <c r="G596" s="374">
        <f t="shared" si="503"/>
        <v>0</v>
      </c>
      <c r="H596" s="374">
        <f t="shared" si="503"/>
        <v>21000</v>
      </c>
      <c r="I596" s="374">
        <f t="shared" si="503"/>
        <v>0</v>
      </c>
      <c r="J596" s="374">
        <f t="shared" si="503"/>
        <v>500</v>
      </c>
      <c r="K596" s="374">
        <f t="shared" si="503"/>
        <v>0</v>
      </c>
      <c r="L596" s="374">
        <f t="shared" si="503"/>
        <v>0</v>
      </c>
      <c r="M596" s="374">
        <f t="shared" si="503"/>
        <v>21500</v>
      </c>
      <c r="N596" s="374">
        <f t="shared" si="503"/>
        <v>0</v>
      </c>
      <c r="O596" s="374">
        <f t="shared" si="503"/>
        <v>0</v>
      </c>
      <c r="P596" s="374">
        <f t="shared" si="503"/>
        <v>0</v>
      </c>
      <c r="Q596" s="374">
        <f t="shared" si="503"/>
        <v>0</v>
      </c>
      <c r="R596" s="374">
        <f t="shared" si="503"/>
        <v>0</v>
      </c>
      <c r="S596" s="587">
        <f t="shared" si="503"/>
        <v>-21500</v>
      </c>
      <c r="T596" s="587">
        <f t="shared" si="503"/>
        <v>0</v>
      </c>
      <c r="U596" s="587">
        <f t="shared" si="503"/>
        <v>0</v>
      </c>
      <c r="V596" s="506">
        <f t="shared" si="498"/>
        <v>-21500</v>
      </c>
      <c r="W596" s="506">
        <f t="shared" si="499"/>
        <v>0</v>
      </c>
      <c r="X596" s="34"/>
      <c r="Y596" s="490"/>
      <c r="Z596" s="34"/>
      <c r="AA596" s="34"/>
      <c r="AB596" s="34"/>
      <c r="AH596" s="525"/>
      <c r="AI596" s="525"/>
      <c r="AJ596" s="525"/>
      <c r="AK596" s="525"/>
      <c r="AL596" s="525"/>
    </row>
    <row r="597" spans="1:38" s="2" customFormat="1" ht="19.5" hidden="1" customHeight="1" x14ac:dyDescent="0.3">
      <c r="A597" s="540" t="s">
        <v>317</v>
      </c>
      <c r="B597" s="145" t="s">
        <v>318</v>
      </c>
      <c r="C597" s="146">
        <f>SUM(C598,C602)</f>
        <v>207100</v>
      </c>
      <c r="D597" s="142"/>
      <c r="E597" s="142">
        <f t="shared" ref="E597:U597" si="504">SUM(E598,E602)</f>
        <v>207100</v>
      </c>
      <c r="F597" s="147">
        <f t="shared" si="504"/>
        <v>1000</v>
      </c>
      <c r="G597" s="147">
        <f t="shared" si="504"/>
        <v>0</v>
      </c>
      <c r="H597" s="147">
        <f t="shared" si="504"/>
        <v>21000</v>
      </c>
      <c r="I597" s="147">
        <f t="shared" si="504"/>
        <v>0</v>
      </c>
      <c r="J597" s="147">
        <f t="shared" si="504"/>
        <v>500</v>
      </c>
      <c r="K597" s="147">
        <f t="shared" si="504"/>
        <v>0</v>
      </c>
      <c r="L597" s="147">
        <f t="shared" si="504"/>
        <v>0</v>
      </c>
      <c r="M597" s="147">
        <f t="shared" si="504"/>
        <v>21500</v>
      </c>
      <c r="N597" s="147">
        <f t="shared" si="504"/>
        <v>0</v>
      </c>
      <c r="O597" s="147">
        <f t="shared" si="504"/>
        <v>0</v>
      </c>
      <c r="P597" s="147">
        <f t="shared" si="504"/>
        <v>0</v>
      </c>
      <c r="Q597" s="147">
        <f t="shared" si="504"/>
        <v>0</v>
      </c>
      <c r="R597" s="147">
        <f t="shared" si="504"/>
        <v>0</v>
      </c>
      <c r="S597" s="87">
        <f t="shared" si="504"/>
        <v>-21500</v>
      </c>
      <c r="T597" s="87">
        <f t="shared" si="504"/>
        <v>0</v>
      </c>
      <c r="U597" s="87">
        <f t="shared" si="504"/>
        <v>0</v>
      </c>
      <c r="V597" s="506">
        <f t="shared" si="498"/>
        <v>-21500</v>
      </c>
      <c r="W597" s="506">
        <f t="shared" si="499"/>
        <v>0</v>
      </c>
      <c r="X597" s="34"/>
      <c r="Y597" s="490"/>
      <c r="Z597" s="34"/>
      <c r="AA597" s="34"/>
      <c r="AB597" s="34"/>
      <c r="AH597" s="525"/>
      <c r="AI597" s="525"/>
      <c r="AJ597" s="525"/>
      <c r="AK597" s="525"/>
      <c r="AL597" s="525"/>
    </row>
    <row r="598" spans="1:38" s="2" customFormat="1" ht="14.55" hidden="1" customHeight="1" x14ac:dyDescent="0.3">
      <c r="A598" s="557" t="s">
        <v>159</v>
      </c>
      <c r="B598" s="558" t="s">
        <v>123</v>
      </c>
      <c r="C598" s="559">
        <f t="shared" ref="C598:F598" si="505">SUM(C599:C601)</f>
        <v>178100</v>
      </c>
      <c r="D598" s="79"/>
      <c r="E598" s="79">
        <f t="shared" ref="E598" si="506">SUM(E599:E601)</f>
        <v>178100</v>
      </c>
      <c r="F598" s="369">
        <f t="shared" si="505"/>
        <v>1000</v>
      </c>
      <c r="G598" s="369">
        <f t="shared" ref="G598:U598" si="507">SUM(G599:G601)</f>
        <v>0</v>
      </c>
      <c r="H598" s="369">
        <f t="shared" si="507"/>
        <v>21000</v>
      </c>
      <c r="I598" s="369">
        <f t="shared" si="507"/>
        <v>0</v>
      </c>
      <c r="J598" s="369">
        <f t="shared" si="507"/>
        <v>500</v>
      </c>
      <c r="K598" s="369">
        <f t="shared" si="507"/>
        <v>0</v>
      </c>
      <c r="L598" s="369">
        <f t="shared" si="507"/>
        <v>0</v>
      </c>
      <c r="M598" s="369">
        <f t="shared" si="507"/>
        <v>21500</v>
      </c>
      <c r="N598" s="369">
        <f t="shared" si="507"/>
        <v>0</v>
      </c>
      <c r="O598" s="369">
        <f t="shared" si="507"/>
        <v>0</v>
      </c>
      <c r="P598" s="369">
        <f t="shared" si="507"/>
        <v>0</v>
      </c>
      <c r="Q598" s="369">
        <f t="shared" si="507"/>
        <v>0</v>
      </c>
      <c r="R598" s="369">
        <f t="shared" si="507"/>
        <v>0</v>
      </c>
      <c r="S598" s="369">
        <f t="shared" si="507"/>
        <v>-21500</v>
      </c>
      <c r="T598" s="369">
        <f t="shared" si="507"/>
        <v>0</v>
      </c>
      <c r="U598" s="369">
        <f t="shared" si="507"/>
        <v>0</v>
      </c>
      <c r="V598" s="506">
        <f t="shared" si="498"/>
        <v>-21500</v>
      </c>
      <c r="W598" s="506">
        <f t="shared" si="499"/>
        <v>0</v>
      </c>
      <c r="X598" s="34"/>
      <c r="Y598" s="490"/>
      <c r="Z598" s="34"/>
      <c r="AA598" s="34"/>
      <c r="AB598" s="34"/>
      <c r="AH598" s="525"/>
      <c r="AI598" s="525"/>
      <c r="AJ598" s="525"/>
      <c r="AK598" s="525"/>
      <c r="AL598" s="525"/>
    </row>
    <row r="599" spans="1:38" ht="0.6" hidden="1" customHeight="1" x14ac:dyDescent="0.3">
      <c r="A599" s="130" t="s">
        <v>162</v>
      </c>
      <c r="B599" s="107" t="s">
        <v>26</v>
      </c>
      <c r="C599" s="560">
        <v>1000</v>
      </c>
      <c r="D599" s="81"/>
      <c r="E599" s="81">
        <v>1000</v>
      </c>
      <c r="F599" s="370"/>
      <c r="G599" s="370"/>
      <c r="H599" s="370"/>
      <c r="I599" s="370"/>
      <c r="J599" s="370"/>
      <c r="K599" s="81"/>
      <c r="L599" s="81"/>
      <c r="M599" s="63"/>
      <c r="N599" s="370"/>
      <c r="O599" s="370"/>
      <c r="P599" s="81"/>
      <c r="Q599" s="81"/>
      <c r="R599" s="81"/>
      <c r="S599" s="70">
        <f>P599-M599</f>
        <v>0</v>
      </c>
      <c r="T599" s="70">
        <f>P599-N599</f>
        <v>0</v>
      </c>
      <c r="U599" s="63">
        <f>N599-G599</f>
        <v>0</v>
      </c>
      <c r="V599" s="506">
        <f t="shared" si="498"/>
        <v>0</v>
      </c>
      <c r="W599" s="506">
        <f t="shared" si="499"/>
        <v>0</v>
      </c>
      <c r="X599" s="31"/>
      <c r="Y599" s="486"/>
      <c r="Z599" s="31"/>
      <c r="AA599" s="31"/>
      <c r="AB599" s="31"/>
    </row>
    <row r="600" spans="1:38" hidden="1" x14ac:dyDescent="0.3">
      <c r="A600" s="130" t="s">
        <v>166</v>
      </c>
      <c r="B600" s="107" t="s">
        <v>30</v>
      </c>
      <c r="C600" s="560">
        <v>5100</v>
      </c>
      <c r="D600" s="81"/>
      <c r="E600" s="81">
        <v>5100</v>
      </c>
      <c r="F600" s="370">
        <v>1000</v>
      </c>
      <c r="G600" s="370"/>
      <c r="H600" s="370">
        <v>1000</v>
      </c>
      <c r="I600" s="370"/>
      <c r="J600" s="370">
        <v>500</v>
      </c>
      <c r="K600" s="81"/>
      <c r="L600" s="81"/>
      <c r="M600" s="63">
        <f>H600-I600+J600-K600+L600</f>
        <v>1500</v>
      </c>
      <c r="N600" s="370"/>
      <c r="O600" s="370"/>
      <c r="P600" s="81"/>
      <c r="Q600" s="81"/>
      <c r="R600" s="81"/>
      <c r="S600" s="70">
        <f>P600-M600</f>
        <v>-1500</v>
      </c>
      <c r="T600" s="70">
        <f>P600-N600</f>
        <v>0</v>
      </c>
      <c r="U600" s="63">
        <f>N600-G600</f>
        <v>0</v>
      </c>
      <c r="V600" s="506">
        <f t="shared" si="498"/>
        <v>-1500</v>
      </c>
      <c r="W600" s="506">
        <f t="shared" si="499"/>
        <v>0</v>
      </c>
      <c r="X600" s="31"/>
      <c r="Y600" s="486"/>
      <c r="Z600" s="31"/>
      <c r="AA600" s="31"/>
      <c r="AB600" s="31"/>
    </row>
    <row r="601" spans="1:38" ht="12.6" hidden="1" customHeight="1" x14ac:dyDescent="0.3">
      <c r="A601" s="130">
        <v>3239</v>
      </c>
      <c r="B601" s="107" t="s">
        <v>31</v>
      </c>
      <c r="C601" s="560">
        <v>172000</v>
      </c>
      <c r="D601" s="81"/>
      <c r="E601" s="81">
        <v>172000</v>
      </c>
      <c r="F601" s="370"/>
      <c r="G601" s="370"/>
      <c r="H601" s="379">
        <v>20000</v>
      </c>
      <c r="I601" s="379"/>
      <c r="J601" s="379"/>
      <c r="K601" s="111"/>
      <c r="L601" s="111"/>
      <c r="M601" s="63">
        <f>H601-I601+J601-K601+L601</f>
        <v>20000</v>
      </c>
      <c r="N601" s="370"/>
      <c r="O601" s="370"/>
      <c r="P601" s="81"/>
      <c r="Q601" s="81"/>
      <c r="R601" s="81"/>
      <c r="S601" s="70">
        <f>P601-M601</f>
        <v>-20000</v>
      </c>
      <c r="T601" s="70">
        <f>P601-N601</f>
        <v>0</v>
      </c>
      <c r="U601" s="63">
        <f>N601-G601</f>
        <v>0</v>
      </c>
      <c r="V601" s="506">
        <f t="shared" si="498"/>
        <v>-20000</v>
      </c>
      <c r="W601" s="506">
        <f t="shared" si="499"/>
        <v>0</v>
      </c>
      <c r="X601" s="68" t="s">
        <v>417</v>
      </c>
      <c r="Y601" s="491"/>
      <c r="Z601" s="31"/>
      <c r="AA601" s="31"/>
      <c r="AB601" s="31"/>
    </row>
    <row r="602" spans="1:38" s="2" customFormat="1" ht="13.05" hidden="1" x14ac:dyDescent="0.3">
      <c r="A602" s="586">
        <v>324</v>
      </c>
      <c r="B602" s="558" t="s">
        <v>32</v>
      </c>
      <c r="C602" s="559">
        <f t="shared" ref="C602:U602" si="508">SUM(C603)</f>
        <v>29000</v>
      </c>
      <c r="D602" s="79"/>
      <c r="E602" s="79">
        <f t="shared" si="508"/>
        <v>29000</v>
      </c>
      <c r="F602" s="369">
        <f t="shared" si="508"/>
        <v>0</v>
      </c>
      <c r="G602" s="369">
        <f t="shared" si="508"/>
        <v>0</v>
      </c>
      <c r="H602" s="369">
        <f t="shared" si="508"/>
        <v>0</v>
      </c>
      <c r="I602" s="369">
        <f t="shared" si="508"/>
        <v>0</v>
      </c>
      <c r="J602" s="369">
        <f t="shared" si="508"/>
        <v>0</v>
      </c>
      <c r="K602" s="369">
        <f t="shared" si="508"/>
        <v>0</v>
      </c>
      <c r="L602" s="369">
        <f t="shared" si="508"/>
        <v>0</v>
      </c>
      <c r="M602" s="369">
        <f t="shared" si="508"/>
        <v>0</v>
      </c>
      <c r="N602" s="369">
        <f t="shared" si="508"/>
        <v>0</v>
      </c>
      <c r="O602" s="369">
        <f t="shared" si="508"/>
        <v>0</v>
      </c>
      <c r="P602" s="369">
        <f t="shared" si="508"/>
        <v>0</v>
      </c>
      <c r="Q602" s="369">
        <f t="shared" si="508"/>
        <v>0</v>
      </c>
      <c r="R602" s="369">
        <f t="shared" si="508"/>
        <v>0</v>
      </c>
      <c r="S602" s="369">
        <f t="shared" si="508"/>
        <v>0</v>
      </c>
      <c r="T602" s="369">
        <f t="shared" si="508"/>
        <v>0</v>
      </c>
      <c r="U602" s="369">
        <f t="shared" si="508"/>
        <v>0</v>
      </c>
      <c r="V602" s="506">
        <f t="shared" si="498"/>
        <v>0</v>
      </c>
      <c r="W602" s="506">
        <f t="shared" si="499"/>
        <v>0</v>
      </c>
      <c r="X602" s="34"/>
      <c r="Y602" s="490"/>
      <c r="Z602" s="34"/>
      <c r="AA602" s="34"/>
      <c r="AB602" s="34"/>
      <c r="AH602" s="525"/>
      <c r="AI602" s="525"/>
      <c r="AJ602" s="525"/>
      <c r="AK602" s="525"/>
      <c r="AL602" s="525"/>
    </row>
    <row r="603" spans="1:38" ht="13.05" hidden="1" x14ac:dyDescent="0.3">
      <c r="A603" s="130">
        <v>3241</v>
      </c>
      <c r="B603" s="107" t="s">
        <v>32</v>
      </c>
      <c r="C603" s="560">
        <v>29000</v>
      </c>
      <c r="D603" s="81"/>
      <c r="E603" s="81">
        <v>29000</v>
      </c>
      <c r="F603" s="370"/>
      <c r="G603" s="370"/>
      <c r="H603" s="370"/>
      <c r="I603" s="370"/>
      <c r="J603" s="370"/>
      <c r="K603" s="81"/>
      <c r="L603" s="81"/>
      <c r="M603" s="63"/>
      <c r="N603" s="370"/>
      <c r="O603" s="370"/>
      <c r="P603" s="81"/>
      <c r="Q603" s="81"/>
      <c r="R603" s="81"/>
      <c r="S603" s="70">
        <f>P603-M603</f>
        <v>0</v>
      </c>
      <c r="T603" s="70">
        <f>P603-N603</f>
        <v>0</v>
      </c>
      <c r="U603" s="63">
        <f>N603-G603</f>
        <v>0</v>
      </c>
      <c r="V603" s="506">
        <f t="shared" si="498"/>
        <v>0</v>
      </c>
      <c r="W603" s="506">
        <f t="shared" si="499"/>
        <v>0</v>
      </c>
      <c r="X603" s="31"/>
      <c r="Y603" s="486"/>
      <c r="Z603" s="31"/>
      <c r="AA603" s="31"/>
      <c r="AB603" s="31"/>
    </row>
    <row r="604" spans="1:38" ht="25.95" hidden="1" x14ac:dyDescent="0.3">
      <c r="A604" s="592" t="s">
        <v>346</v>
      </c>
      <c r="B604" s="593" t="s">
        <v>347</v>
      </c>
      <c r="C604" s="581">
        <f t="shared" ref="C604:U607" si="509">SUM(C605)</f>
        <v>7000</v>
      </c>
      <c r="D604" s="99"/>
      <c r="E604" s="99">
        <f t="shared" si="509"/>
        <v>0</v>
      </c>
      <c r="F604" s="373">
        <f t="shared" si="509"/>
        <v>4000</v>
      </c>
      <c r="G604" s="373">
        <f t="shared" si="509"/>
        <v>0</v>
      </c>
      <c r="H604" s="373">
        <f t="shared" si="509"/>
        <v>0</v>
      </c>
      <c r="I604" s="373">
        <f t="shared" si="509"/>
        <v>0</v>
      </c>
      <c r="J604" s="373">
        <f t="shared" si="509"/>
        <v>0</v>
      </c>
      <c r="K604" s="373">
        <f t="shared" si="509"/>
        <v>0</v>
      </c>
      <c r="L604" s="373">
        <f t="shared" si="509"/>
        <v>0</v>
      </c>
      <c r="M604" s="373">
        <f t="shared" si="509"/>
        <v>0</v>
      </c>
      <c r="N604" s="373">
        <f t="shared" si="509"/>
        <v>0</v>
      </c>
      <c r="O604" s="373">
        <f t="shared" si="509"/>
        <v>0</v>
      </c>
      <c r="P604" s="373">
        <f t="shared" si="509"/>
        <v>0</v>
      </c>
      <c r="Q604" s="373">
        <f t="shared" si="509"/>
        <v>0</v>
      </c>
      <c r="R604" s="373">
        <f t="shared" si="509"/>
        <v>0</v>
      </c>
      <c r="S604" s="373">
        <f t="shared" si="509"/>
        <v>0</v>
      </c>
      <c r="T604" s="373">
        <f t="shared" si="509"/>
        <v>0</v>
      </c>
      <c r="U604" s="373">
        <f t="shared" si="509"/>
        <v>0</v>
      </c>
      <c r="V604" s="506">
        <f t="shared" si="498"/>
        <v>0</v>
      </c>
      <c r="W604" s="506">
        <f t="shared" si="499"/>
        <v>0</v>
      </c>
      <c r="X604" s="31"/>
      <c r="Y604" s="486"/>
      <c r="Z604" s="31"/>
      <c r="AA604" s="31"/>
      <c r="AB604" s="31"/>
      <c r="AD604" s="408" t="s">
        <v>430</v>
      </c>
    </row>
    <row r="605" spans="1:38" ht="13.05" hidden="1" x14ac:dyDescent="0.3">
      <c r="A605" s="693" t="s">
        <v>77</v>
      </c>
      <c r="B605" s="694"/>
      <c r="C605" s="582">
        <f t="shared" si="509"/>
        <v>7000</v>
      </c>
      <c r="D605" s="100"/>
      <c r="E605" s="100">
        <f t="shared" si="509"/>
        <v>0</v>
      </c>
      <c r="F605" s="374">
        <f t="shared" si="509"/>
        <v>4000</v>
      </c>
      <c r="G605" s="374">
        <f t="shared" si="509"/>
        <v>0</v>
      </c>
      <c r="H605" s="374">
        <f t="shared" si="509"/>
        <v>0</v>
      </c>
      <c r="I605" s="374">
        <f t="shared" si="509"/>
        <v>0</v>
      </c>
      <c r="J605" s="374">
        <f t="shared" si="509"/>
        <v>0</v>
      </c>
      <c r="K605" s="374">
        <f t="shared" si="509"/>
        <v>0</v>
      </c>
      <c r="L605" s="374">
        <f t="shared" si="509"/>
        <v>0</v>
      </c>
      <c r="M605" s="374">
        <f t="shared" si="509"/>
        <v>0</v>
      </c>
      <c r="N605" s="374">
        <f t="shared" si="509"/>
        <v>0</v>
      </c>
      <c r="O605" s="374">
        <f t="shared" si="509"/>
        <v>0</v>
      </c>
      <c r="P605" s="374">
        <f t="shared" si="509"/>
        <v>0</v>
      </c>
      <c r="Q605" s="374">
        <f t="shared" si="509"/>
        <v>0</v>
      </c>
      <c r="R605" s="374">
        <f t="shared" si="509"/>
        <v>0</v>
      </c>
      <c r="S605" s="587">
        <f t="shared" si="509"/>
        <v>0</v>
      </c>
      <c r="T605" s="587">
        <f t="shared" si="509"/>
        <v>0</v>
      </c>
      <c r="U605" s="587">
        <f t="shared" si="509"/>
        <v>0</v>
      </c>
      <c r="V605" s="506">
        <f t="shared" si="498"/>
        <v>0</v>
      </c>
      <c r="W605" s="506">
        <f t="shared" si="499"/>
        <v>0</v>
      </c>
      <c r="X605" s="31"/>
      <c r="Y605" s="486"/>
      <c r="Z605" s="31"/>
      <c r="AA605" s="31"/>
      <c r="AB605" s="31"/>
    </row>
    <row r="606" spans="1:38" ht="17.25" hidden="1" customHeight="1" x14ac:dyDescent="0.3">
      <c r="A606" s="561">
        <v>32</v>
      </c>
      <c r="B606" s="562" t="s">
        <v>318</v>
      </c>
      <c r="C606" s="599">
        <f t="shared" si="509"/>
        <v>7000</v>
      </c>
      <c r="D606" s="148"/>
      <c r="E606" s="148">
        <f t="shared" si="509"/>
        <v>0</v>
      </c>
      <c r="F606" s="381">
        <f t="shared" si="509"/>
        <v>4000</v>
      </c>
      <c r="G606" s="381">
        <f t="shared" si="509"/>
        <v>0</v>
      </c>
      <c r="H606" s="381">
        <f t="shared" si="509"/>
        <v>0</v>
      </c>
      <c r="I606" s="381">
        <f t="shared" si="509"/>
        <v>0</v>
      </c>
      <c r="J606" s="381">
        <f t="shared" si="509"/>
        <v>0</v>
      </c>
      <c r="K606" s="381">
        <f t="shared" si="509"/>
        <v>0</v>
      </c>
      <c r="L606" s="381">
        <f t="shared" si="509"/>
        <v>0</v>
      </c>
      <c r="M606" s="381">
        <f t="shared" si="509"/>
        <v>0</v>
      </c>
      <c r="N606" s="381">
        <f t="shared" si="509"/>
        <v>0</v>
      </c>
      <c r="O606" s="381">
        <f t="shared" si="509"/>
        <v>0</v>
      </c>
      <c r="P606" s="381">
        <f t="shared" si="509"/>
        <v>0</v>
      </c>
      <c r="Q606" s="381">
        <f t="shared" si="509"/>
        <v>0</v>
      </c>
      <c r="R606" s="381">
        <f t="shared" si="509"/>
        <v>0</v>
      </c>
      <c r="S606" s="600">
        <f t="shared" si="509"/>
        <v>0</v>
      </c>
      <c r="T606" s="600">
        <f t="shared" si="509"/>
        <v>0</v>
      </c>
      <c r="U606" s="600">
        <f t="shared" si="509"/>
        <v>0</v>
      </c>
      <c r="V606" s="506">
        <f t="shared" si="498"/>
        <v>0</v>
      </c>
      <c r="W606" s="506">
        <f t="shared" si="499"/>
        <v>0</v>
      </c>
      <c r="X606" s="31"/>
      <c r="Y606" s="486"/>
      <c r="Z606" s="31"/>
      <c r="AA606" s="31"/>
      <c r="AB606" s="31"/>
    </row>
    <row r="607" spans="1:38" ht="15.75" hidden="1" customHeight="1" x14ac:dyDescent="0.3">
      <c r="A607" s="601" t="s">
        <v>149</v>
      </c>
      <c r="B607" s="602" t="s">
        <v>12</v>
      </c>
      <c r="C607" s="559">
        <f t="shared" si="509"/>
        <v>7000</v>
      </c>
      <c r="D607" s="79"/>
      <c r="E607" s="79">
        <f t="shared" si="509"/>
        <v>0</v>
      </c>
      <c r="F607" s="369">
        <f t="shared" si="509"/>
        <v>4000</v>
      </c>
      <c r="G607" s="369">
        <f t="shared" si="509"/>
        <v>0</v>
      </c>
      <c r="H607" s="369">
        <f t="shared" si="509"/>
        <v>0</v>
      </c>
      <c r="I607" s="369">
        <f t="shared" si="509"/>
        <v>0</v>
      </c>
      <c r="J607" s="369">
        <f t="shared" si="509"/>
        <v>0</v>
      </c>
      <c r="K607" s="369">
        <f t="shared" si="509"/>
        <v>0</v>
      </c>
      <c r="L607" s="369">
        <f t="shared" si="509"/>
        <v>0</v>
      </c>
      <c r="M607" s="369">
        <f t="shared" si="509"/>
        <v>0</v>
      </c>
      <c r="N607" s="369">
        <f t="shared" si="509"/>
        <v>0</v>
      </c>
      <c r="O607" s="369">
        <f t="shared" si="509"/>
        <v>0</v>
      </c>
      <c r="P607" s="369">
        <f t="shared" si="509"/>
        <v>0</v>
      </c>
      <c r="Q607" s="369">
        <f t="shared" si="509"/>
        <v>0</v>
      </c>
      <c r="R607" s="369">
        <f t="shared" si="509"/>
        <v>0</v>
      </c>
      <c r="S607" s="369">
        <f t="shared" si="509"/>
        <v>0</v>
      </c>
      <c r="T607" s="369">
        <f t="shared" si="509"/>
        <v>0</v>
      </c>
      <c r="U607" s="369">
        <f t="shared" si="509"/>
        <v>0</v>
      </c>
      <c r="V607" s="506">
        <f t="shared" si="498"/>
        <v>0</v>
      </c>
      <c r="W607" s="506">
        <f t="shared" si="499"/>
        <v>0</v>
      </c>
      <c r="X607" s="31"/>
      <c r="Y607" s="486"/>
      <c r="Z607" s="31"/>
      <c r="AA607" s="31"/>
      <c r="AB607" s="31"/>
    </row>
    <row r="608" spans="1:38" ht="13.05" hidden="1" x14ac:dyDescent="0.3">
      <c r="A608" s="542">
        <v>3213</v>
      </c>
      <c r="B608" s="124" t="s">
        <v>15</v>
      </c>
      <c r="C608" s="560">
        <v>7000</v>
      </c>
      <c r="D608" s="81"/>
      <c r="E608" s="81">
        <v>0</v>
      </c>
      <c r="F608" s="370">
        <v>4000</v>
      </c>
      <c r="G608" s="370"/>
      <c r="H608" s="370"/>
      <c r="I608" s="370"/>
      <c r="J608" s="370"/>
      <c r="K608" s="81"/>
      <c r="L608" s="81"/>
      <c r="M608" s="63"/>
      <c r="N608" s="370"/>
      <c r="O608" s="370"/>
      <c r="P608" s="81"/>
      <c r="Q608" s="81"/>
      <c r="R608" s="81"/>
      <c r="S608" s="63">
        <f>H608-E608</f>
        <v>0</v>
      </c>
      <c r="T608" s="70">
        <f>P608-N608</f>
        <v>0</v>
      </c>
      <c r="U608" s="63">
        <f>N608-G608</f>
        <v>0</v>
      </c>
      <c r="V608" s="506">
        <f t="shared" si="498"/>
        <v>0</v>
      </c>
      <c r="W608" s="506">
        <f t="shared" si="499"/>
        <v>0</v>
      </c>
      <c r="X608" s="31"/>
      <c r="Y608" s="486"/>
      <c r="Z608" s="31"/>
      <c r="AA608" s="31"/>
      <c r="AB608" s="31"/>
    </row>
    <row r="609" spans="1:38" ht="25.95" hidden="1" x14ac:dyDescent="0.3">
      <c r="A609" s="592" t="s">
        <v>284</v>
      </c>
      <c r="B609" s="593" t="s">
        <v>285</v>
      </c>
      <c r="C609" s="581">
        <f t="shared" ref="C609:U609" si="510">C610</f>
        <v>25000</v>
      </c>
      <c r="D609" s="99"/>
      <c r="E609" s="99">
        <f t="shared" si="510"/>
        <v>18000</v>
      </c>
      <c r="F609" s="373">
        <f t="shared" si="510"/>
        <v>0</v>
      </c>
      <c r="G609" s="373">
        <f t="shared" si="510"/>
        <v>0</v>
      </c>
      <c r="H609" s="373">
        <f t="shared" si="510"/>
        <v>0</v>
      </c>
      <c r="I609" s="373">
        <f t="shared" si="510"/>
        <v>0</v>
      </c>
      <c r="J609" s="373">
        <f t="shared" si="510"/>
        <v>0</v>
      </c>
      <c r="K609" s="373">
        <f t="shared" si="510"/>
        <v>0</v>
      </c>
      <c r="L609" s="373">
        <f t="shared" si="510"/>
        <v>0</v>
      </c>
      <c r="M609" s="373">
        <f t="shared" si="510"/>
        <v>0</v>
      </c>
      <c r="N609" s="373">
        <f t="shared" si="510"/>
        <v>0</v>
      </c>
      <c r="O609" s="373">
        <f t="shared" si="510"/>
        <v>0</v>
      </c>
      <c r="P609" s="373">
        <f t="shared" si="510"/>
        <v>0</v>
      </c>
      <c r="Q609" s="373">
        <f t="shared" si="510"/>
        <v>0</v>
      </c>
      <c r="R609" s="373">
        <f t="shared" si="510"/>
        <v>0</v>
      </c>
      <c r="S609" s="373">
        <f t="shared" si="510"/>
        <v>0</v>
      </c>
      <c r="T609" s="373"/>
      <c r="U609" s="373">
        <f t="shared" si="510"/>
        <v>0</v>
      </c>
      <c r="V609" s="506">
        <f t="shared" si="498"/>
        <v>0</v>
      </c>
      <c r="W609" s="506">
        <f t="shared" si="499"/>
        <v>0</v>
      </c>
      <c r="X609" s="31"/>
      <c r="Y609" s="486"/>
      <c r="Z609" s="31"/>
      <c r="AA609" s="31"/>
      <c r="AB609" s="31"/>
      <c r="AD609" s="408" t="s">
        <v>430</v>
      </c>
    </row>
    <row r="610" spans="1:38" s="2" customFormat="1" ht="19.5" hidden="1" customHeight="1" x14ac:dyDescent="0.3">
      <c r="A610" s="700" t="s">
        <v>77</v>
      </c>
      <c r="B610" s="700"/>
      <c r="C610" s="582">
        <f>SUM(C611)</f>
        <v>25000</v>
      </c>
      <c r="D610" s="100"/>
      <c r="E610" s="100">
        <f t="shared" ref="E610:U611" si="511">SUM(E611)</f>
        <v>18000</v>
      </c>
      <c r="F610" s="374">
        <f t="shared" si="511"/>
        <v>0</v>
      </c>
      <c r="G610" s="374">
        <f t="shared" si="511"/>
        <v>0</v>
      </c>
      <c r="H610" s="374">
        <f t="shared" si="511"/>
        <v>0</v>
      </c>
      <c r="I610" s="374">
        <f t="shared" si="511"/>
        <v>0</v>
      </c>
      <c r="J610" s="374">
        <f t="shared" si="511"/>
        <v>0</v>
      </c>
      <c r="K610" s="374">
        <f t="shared" si="511"/>
        <v>0</v>
      </c>
      <c r="L610" s="374">
        <f t="shared" si="511"/>
        <v>0</v>
      </c>
      <c r="M610" s="374">
        <f t="shared" si="511"/>
        <v>0</v>
      </c>
      <c r="N610" s="374">
        <f t="shared" si="511"/>
        <v>0</v>
      </c>
      <c r="O610" s="374">
        <f t="shared" si="511"/>
        <v>0</v>
      </c>
      <c r="P610" s="374">
        <f t="shared" si="511"/>
        <v>0</v>
      </c>
      <c r="Q610" s="374">
        <f t="shared" si="511"/>
        <v>0</v>
      </c>
      <c r="R610" s="374">
        <f t="shared" si="511"/>
        <v>0</v>
      </c>
      <c r="S610" s="587">
        <f t="shared" si="511"/>
        <v>0</v>
      </c>
      <c r="T610" s="587">
        <f t="shared" si="511"/>
        <v>0</v>
      </c>
      <c r="U610" s="587">
        <f t="shared" si="511"/>
        <v>0</v>
      </c>
      <c r="V610" s="506">
        <f t="shared" si="498"/>
        <v>0</v>
      </c>
      <c r="W610" s="506">
        <f t="shared" si="499"/>
        <v>0</v>
      </c>
      <c r="X610" s="34"/>
      <c r="Y610" s="490"/>
      <c r="Z610" s="34"/>
      <c r="AA610" s="34"/>
      <c r="AB610" s="34"/>
      <c r="AH610" s="525"/>
      <c r="AI610" s="525"/>
      <c r="AJ610" s="525"/>
      <c r="AK610" s="525"/>
      <c r="AL610" s="525"/>
    </row>
    <row r="611" spans="1:38" s="2" customFormat="1" ht="19.5" hidden="1" customHeight="1" x14ac:dyDescent="0.3">
      <c r="A611" s="561">
        <v>32</v>
      </c>
      <c r="B611" s="562" t="s">
        <v>318</v>
      </c>
      <c r="C611" s="599">
        <f>SUM(C612)</f>
        <v>25000</v>
      </c>
      <c r="D611" s="148"/>
      <c r="E611" s="148">
        <f t="shared" si="511"/>
        <v>18000</v>
      </c>
      <c r="F611" s="381">
        <f t="shared" si="511"/>
        <v>0</v>
      </c>
      <c r="G611" s="381">
        <f t="shared" si="511"/>
        <v>0</v>
      </c>
      <c r="H611" s="381">
        <f t="shared" si="511"/>
        <v>0</v>
      </c>
      <c r="I611" s="381">
        <f t="shared" si="511"/>
        <v>0</v>
      </c>
      <c r="J611" s="381">
        <f t="shared" si="511"/>
        <v>0</v>
      </c>
      <c r="K611" s="381">
        <f t="shared" si="511"/>
        <v>0</v>
      </c>
      <c r="L611" s="381">
        <f t="shared" si="511"/>
        <v>0</v>
      </c>
      <c r="M611" s="381">
        <f t="shared" si="511"/>
        <v>0</v>
      </c>
      <c r="N611" s="381">
        <f t="shared" si="511"/>
        <v>0</v>
      </c>
      <c r="O611" s="381">
        <f t="shared" si="511"/>
        <v>0</v>
      </c>
      <c r="P611" s="381">
        <f t="shared" si="511"/>
        <v>0</v>
      </c>
      <c r="Q611" s="381">
        <f t="shared" si="511"/>
        <v>0</v>
      </c>
      <c r="R611" s="381">
        <f t="shared" si="511"/>
        <v>0</v>
      </c>
      <c r="S611" s="600">
        <f t="shared" si="511"/>
        <v>0</v>
      </c>
      <c r="T611" s="600">
        <f t="shared" si="511"/>
        <v>0</v>
      </c>
      <c r="U611" s="600">
        <f t="shared" si="511"/>
        <v>0</v>
      </c>
      <c r="V611" s="506">
        <f t="shared" si="498"/>
        <v>0</v>
      </c>
      <c r="W611" s="506">
        <f t="shared" si="499"/>
        <v>0</v>
      </c>
      <c r="X611" s="34"/>
      <c r="Y611" s="490"/>
      <c r="Z611" s="34"/>
      <c r="AA611" s="34"/>
      <c r="AB611" s="34"/>
      <c r="AH611" s="525"/>
      <c r="AI611" s="525"/>
      <c r="AJ611" s="525"/>
      <c r="AK611" s="525"/>
      <c r="AL611" s="525"/>
    </row>
    <row r="612" spans="1:38" s="2" customFormat="1" ht="13.05" hidden="1" x14ac:dyDescent="0.3">
      <c r="A612" s="557" t="s">
        <v>159</v>
      </c>
      <c r="B612" s="558" t="s">
        <v>123</v>
      </c>
      <c r="C612" s="559">
        <f>SUM(C614:C617)</f>
        <v>25000</v>
      </c>
      <c r="D612" s="79"/>
      <c r="E612" s="79">
        <f>SUM(E614:E617)</f>
        <v>18000</v>
      </c>
      <c r="F612" s="369">
        <f t="shared" ref="F612:U612" si="512">SUM(F614:F617)</f>
        <v>0</v>
      </c>
      <c r="G612" s="369">
        <f t="shared" si="512"/>
        <v>0</v>
      </c>
      <c r="H612" s="369">
        <f t="shared" si="512"/>
        <v>0</v>
      </c>
      <c r="I612" s="369">
        <f t="shared" si="512"/>
        <v>0</v>
      </c>
      <c r="J612" s="369">
        <f t="shared" si="512"/>
        <v>0</v>
      </c>
      <c r="K612" s="369">
        <f t="shared" si="512"/>
        <v>0</v>
      </c>
      <c r="L612" s="369">
        <f t="shared" si="512"/>
        <v>0</v>
      </c>
      <c r="M612" s="369">
        <f t="shared" si="512"/>
        <v>0</v>
      </c>
      <c r="N612" s="369">
        <f t="shared" si="512"/>
        <v>0</v>
      </c>
      <c r="O612" s="369">
        <f t="shared" si="512"/>
        <v>0</v>
      </c>
      <c r="P612" s="369">
        <f t="shared" si="512"/>
        <v>0</v>
      </c>
      <c r="Q612" s="369">
        <f t="shared" si="512"/>
        <v>0</v>
      </c>
      <c r="R612" s="369">
        <f t="shared" si="512"/>
        <v>0</v>
      </c>
      <c r="S612" s="369">
        <f t="shared" si="512"/>
        <v>0</v>
      </c>
      <c r="T612" s="369">
        <f t="shared" si="512"/>
        <v>0</v>
      </c>
      <c r="U612" s="369">
        <f t="shared" si="512"/>
        <v>0</v>
      </c>
      <c r="V612" s="506">
        <f t="shared" si="498"/>
        <v>0</v>
      </c>
      <c r="W612" s="506">
        <f t="shared" si="499"/>
        <v>0</v>
      </c>
      <c r="X612" s="34"/>
      <c r="Y612" s="490"/>
      <c r="Z612" s="34"/>
      <c r="AA612" s="34"/>
      <c r="AB612" s="34"/>
      <c r="AH612" s="525"/>
      <c r="AI612" s="525"/>
      <c r="AJ612" s="525"/>
      <c r="AK612" s="525"/>
      <c r="AL612" s="525"/>
    </row>
    <row r="613" spans="1:38" ht="12.75" hidden="1" customHeight="1" x14ac:dyDescent="0.3">
      <c r="A613" s="130" t="s">
        <v>162</v>
      </c>
      <c r="B613" s="107" t="s">
        <v>26</v>
      </c>
      <c r="C613" s="560"/>
      <c r="D613" s="81"/>
      <c r="E613" s="81"/>
      <c r="F613" s="370"/>
      <c r="G613" s="370"/>
      <c r="H613" s="370"/>
      <c r="I613" s="370"/>
      <c r="J613" s="370"/>
      <c r="K613" s="370"/>
      <c r="L613" s="370"/>
      <c r="M613" s="370"/>
      <c r="N613" s="370"/>
      <c r="O613" s="370"/>
      <c r="P613" s="370"/>
      <c r="Q613" s="370"/>
      <c r="R613" s="370"/>
      <c r="S613" s="370"/>
      <c r="T613" s="370"/>
      <c r="U613" s="370"/>
      <c r="V613" s="506">
        <f t="shared" si="498"/>
        <v>0</v>
      </c>
      <c r="W613" s="506">
        <f t="shared" si="499"/>
        <v>0</v>
      </c>
      <c r="X613" s="31"/>
      <c r="Y613" s="486"/>
      <c r="Z613" s="31"/>
      <c r="AA613" s="31"/>
      <c r="AB613" s="31"/>
    </row>
    <row r="614" spans="1:38" ht="12.75" hidden="1" customHeight="1" x14ac:dyDescent="0.3">
      <c r="A614" s="130">
        <v>3233</v>
      </c>
      <c r="B614" s="107" t="s">
        <v>26</v>
      </c>
      <c r="C614" s="560">
        <v>19000</v>
      </c>
      <c r="D614" s="81"/>
      <c r="E614" s="81">
        <v>18000</v>
      </c>
      <c r="F614" s="370"/>
      <c r="G614" s="370"/>
      <c r="H614" s="370"/>
      <c r="I614" s="370"/>
      <c r="J614" s="370"/>
      <c r="K614" s="81"/>
      <c r="L614" s="81"/>
      <c r="M614" s="63"/>
      <c r="N614" s="370"/>
      <c r="O614" s="370"/>
      <c r="P614" s="81"/>
      <c r="Q614" s="81"/>
      <c r="R614" s="81"/>
      <c r="S614" s="70">
        <f>P614-M614</f>
        <v>0</v>
      </c>
      <c r="T614" s="70">
        <f>P614-N614</f>
        <v>0</v>
      </c>
      <c r="U614" s="63">
        <f>N614-G614</f>
        <v>0</v>
      </c>
      <c r="V614" s="506">
        <f t="shared" si="498"/>
        <v>0</v>
      </c>
      <c r="W614" s="506">
        <f t="shared" si="499"/>
        <v>0</v>
      </c>
      <c r="X614" s="31"/>
      <c r="Y614" s="486"/>
      <c r="Z614" s="31"/>
      <c r="AA614" s="31"/>
      <c r="AB614" s="31"/>
    </row>
    <row r="615" spans="1:38" ht="13.05" hidden="1" x14ac:dyDescent="0.3">
      <c r="A615" s="130" t="s">
        <v>166</v>
      </c>
      <c r="B615" s="107" t="s">
        <v>30</v>
      </c>
      <c r="C615" s="560">
        <v>5000</v>
      </c>
      <c r="D615" s="81"/>
      <c r="E615" s="81">
        <v>0</v>
      </c>
      <c r="F615" s="370"/>
      <c r="G615" s="370"/>
      <c r="H615" s="370"/>
      <c r="I615" s="370"/>
      <c r="J615" s="370"/>
      <c r="K615" s="81"/>
      <c r="L615" s="81"/>
      <c r="M615" s="63"/>
      <c r="N615" s="370"/>
      <c r="O615" s="370"/>
      <c r="P615" s="81"/>
      <c r="Q615" s="81"/>
      <c r="R615" s="81"/>
      <c r="S615" s="70">
        <f>P615-M615</f>
        <v>0</v>
      </c>
      <c r="T615" s="70">
        <f>P615-N615</f>
        <v>0</v>
      </c>
      <c r="U615" s="63">
        <f>N615-G615</f>
        <v>0</v>
      </c>
      <c r="V615" s="506">
        <f t="shared" si="498"/>
        <v>0</v>
      </c>
      <c r="W615" s="506">
        <f t="shared" si="499"/>
        <v>0</v>
      </c>
      <c r="X615" s="31"/>
      <c r="Y615" s="486"/>
      <c r="Z615" s="31"/>
      <c r="AA615" s="31"/>
      <c r="AB615" s="31"/>
    </row>
    <row r="616" spans="1:38" ht="13.05" hidden="1" x14ac:dyDescent="0.3">
      <c r="A616" s="130">
        <v>3238</v>
      </c>
      <c r="B616" s="107" t="s">
        <v>70</v>
      </c>
      <c r="C616" s="560"/>
      <c r="D616" s="81"/>
      <c r="E616" s="81"/>
      <c r="F616" s="370"/>
      <c r="G616" s="370"/>
      <c r="H616" s="370"/>
      <c r="I616" s="370"/>
      <c r="J616" s="370"/>
      <c r="K616" s="370"/>
      <c r="L616" s="370"/>
      <c r="M616" s="370"/>
      <c r="N616" s="370"/>
      <c r="O616" s="370"/>
      <c r="P616" s="81"/>
      <c r="Q616" s="81"/>
      <c r="R616" s="81"/>
      <c r="S616" s="63">
        <f>H616-E616</f>
        <v>0</v>
      </c>
      <c r="T616" s="63"/>
      <c r="U616" s="63">
        <f>N616-G616</f>
        <v>0</v>
      </c>
      <c r="V616" s="506">
        <f t="shared" si="498"/>
        <v>0</v>
      </c>
      <c r="W616" s="506">
        <f t="shared" si="499"/>
        <v>0</v>
      </c>
      <c r="X616" s="31"/>
      <c r="Y616" s="486"/>
      <c r="Z616" s="31"/>
      <c r="AA616" s="31"/>
      <c r="AB616" s="31"/>
    </row>
    <row r="617" spans="1:38" ht="13.05" hidden="1" x14ac:dyDescent="0.3">
      <c r="A617" s="130">
        <v>3239</v>
      </c>
      <c r="B617" s="107" t="s">
        <v>31</v>
      </c>
      <c r="C617" s="560">
        <v>1000</v>
      </c>
      <c r="D617" s="81"/>
      <c r="E617" s="81">
        <v>0</v>
      </c>
      <c r="F617" s="370"/>
      <c r="G617" s="370"/>
      <c r="H617" s="370"/>
      <c r="I617" s="370"/>
      <c r="J617" s="370"/>
      <c r="K617" s="81"/>
      <c r="L617" s="81"/>
      <c r="M617" s="63"/>
      <c r="N617" s="370"/>
      <c r="O617" s="370"/>
      <c r="P617" s="81"/>
      <c r="Q617" s="81"/>
      <c r="R617" s="81"/>
      <c r="S617" s="70">
        <f>P617-M617</f>
        <v>0</v>
      </c>
      <c r="T617" s="70">
        <f>P617-N617</f>
        <v>0</v>
      </c>
      <c r="U617" s="63">
        <f>N617-G617</f>
        <v>0</v>
      </c>
      <c r="V617" s="506">
        <f t="shared" si="498"/>
        <v>0</v>
      </c>
      <c r="W617" s="506">
        <f t="shared" si="499"/>
        <v>0</v>
      </c>
      <c r="X617" s="31"/>
      <c r="Y617" s="486"/>
      <c r="Z617" s="31"/>
      <c r="AA617" s="31"/>
      <c r="AB617" s="31"/>
    </row>
    <row r="618" spans="1:38" s="2" customFormat="1" ht="13.05" hidden="1" x14ac:dyDescent="0.3">
      <c r="A618" s="557" t="s">
        <v>177</v>
      </c>
      <c r="B618" s="558" t="s">
        <v>129</v>
      </c>
      <c r="C618" s="559">
        <f t="shared" ref="C618:H618" si="513">SUM(C619:C620)</f>
        <v>0</v>
      </c>
      <c r="D618" s="79"/>
      <c r="E618" s="79">
        <f t="shared" ref="E618" si="514">SUM(E619:E620)</f>
        <v>0</v>
      </c>
      <c r="F618" s="369">
        <f t="shared" si="513"/>
        <v>0</v>
      </c>
      <c r="G618" s="369">
        <f t="shared" si="513"/>
        <v>0</v>
      </c>
      <c r="H618" s="369">
        <f t="shared" si="513"/>
        <v>0</v>
      </c>
      <c r="I618" s="369"/>
      <c r="J618" s="369"/>
      <c r="K618" s="369"/>
      <c r="L618" s="369"/>
      <c r="M618" s="369"/>
      <c r="N618" s="369">
        <f t="shared" ref="N618:O618" si="515">SUM(N619:N620)</f>
        <v>0</v>
      </c>
      <c r="O618" s="369">
        <f t="shared" si="515"/>
        <v>0</v>
      </c>
      <c r="P618" s="369"/>
      <c r="Q618" s="369"/>
      <c r="R618" s="369"/>
      <c r="S618" s="369">
        <f t="shared" ref="S618" si="516">SUM(S619:S620)</f>
        <v>0</v>
      </c>
      <c r="T618" s="369"/>
      <c r="U618" s="369">
        <f t="shared" ref="U618" si="517">SUM(U619:U620)</f>
        <v>0</v>
      </c>
      <c r="V618" s="506">
        <f t="shared" si="498"/>
        <v>0</v>
      </c>
      <c r="W618" s="506">
        <f t="shared" si="499"/>
        <v>0</v>
      </c>
      <c r="X618" s="34"/>
      <c r="Y618" s="490"/>
      <c r="Z618" s="34"/>
      <c r="AA618" s="34"/>
      <c r="AB618" s="34"/>
      <c r="AH618" s="525"/>
      <c r="AI618" s="525"/>
      <c r="AJ618" s="525"/>
      <c r="AK618" s="525"/>
      <c r="AL618" s="525"/>
    </row>
    <row r="619" spans="1:38" ht="13.05" hidden="1" x14ac:dyDescent="0.3">
      <c r="A619" s="130">
        <v>4222</v>
      </c>
      <c r="B619" s="107" t="s">
        <v>58</v>
      </c>
      <c r="C619" s="560"/>
      <c r="D619" s="81"/>
      <c r="E619" s="81"/>
      <c r="F619" s="370"/>
      <c r="G619" s="370"/>
      <c r="H619" s="370"/>
      <c r="I619" s="370"/>
      <c r="J619" s="370"/>
      <c r="K619" s="370"/>
      <c r="L619" s="370"/>
      <c r="M619" s="370"/>
      <c r="N619" s="370"/>
      <c r="O619" s="370"/>
      <c r="P619" s="370"/>
      <c r="Q619" s="370"/>
      <c r="R619" s="370"/>
      <c r="S619" s="370"/>
      <c r="T619" s="370"/>
      <c r="U619" s="370"/>
      <c r="V619" s="506">
        <f t="shared" si="498"/>
        <v>0</v>
      </c>
      <c r="W619" s="506">
        <f t="shared" si="499"/>
        <v>0</v>
      </c>
      <c r="X619" s="31"/>
      <c r="Y619" s="486"/>
      <c r="Z619" s="31"/>
      <c r="AA619" s="31"/>
      <c r="AB619" s="31"/>
    </row>
    <row r="620" spans="1:38" ht="13.05" hidden="1" x14ac:dyDescent="0.3">
      <c r="A620" s="130">
        <v>4227</v>
      </c>
      <c r="B620" s="107" t="s">
        <v>60</v>
      </c>
      <c r="C620" s="560"/>
      <c r="D620" s="81"/>
      <c r="E620" s="81"/>
      <c r="F620" s="370"/>
      <c r="G620" s="370"/>
      <c r="H620" s="370"/>
      <c r="I620" s="370"/>
      <c r="J620" s="370"/>
      <c r="K620" s="370"/>
      <c r="L620" s="370"/>
      <c r="M620" s="370"/>
      <c r="N620" s="370"/>
      <c r="O620" s="370"/>
      <c r="P620" s="370"/>
      <c r="Q620" s="370"/>
      <c r="R620" s="370"/>
      <c r="S620" s="370"/>
      <c r="T620" s="370"/>
      <c r="U620" s="370"/>
      <c r="V620" s="506">
        <f t="shared" si="498"/>
        <v>0</v>
      </c>
      <c r="W620" s="506">
        <f t="shared" si="499"/>
        <v>0</v>
      </c>
      <c r="X620" s="31"/>
      <c r="Y620" s="486"/>
      <c r="Z620" s="31"/>
      <c r="AA620" s="31"/>
      <c r="AB620" s="31"/>
    </row>
    <row r="621" spans="1:38" ht="13.05" hidden="1" x14ac:dyDescent="0.3">
      <c r="A621" s="130">
        <v>4262</v>
      </c>
      <c r="B621" s="93" t="s">
        <v>74</v>
      </c>
      <c r="C621" s="560"/>
      <c r="D621" s="81"/>
      <c r="E621" s="81"/>
      <c r="F621" s="370"/>
      <c r="G621" s="370"/>
      <c r="H621" s="370"/>
      <c r="I621" s="370"/>
      <c r="J621" s="370"/>
      <c r="K621" s="370"/>
      <c r="L621" s="370"/>
      <c r="M621" s="370"/>
      <c r="N621" s="370"/>
      <c r="O621" s="370"/>
      <c r="P621" s="370"/>
      <c r="Q621" s="370"/>
      <c r="R621" s="370"/>
      <c r="S621" s="370"/>
      <c r="T621" s="370"/>
      <c r="U621" s="370"/>
      <c r="V621" s="506">
        <f t="shared" si="498"/>
        <v>0</v>
      </c>
      <c r="W621" s="506">
        <f t="shared" si="499"/>
        <v>0</v>
      </c>
      <c r="X621" s="31"/>
      <c r="Y621" s="486"/>
      <c r="Z621" s="31"/>
      <c r="AA621" s="31"/>
      <c r="AB621" s="31"/>
    </row>
    <row r="622" spans="1:38" ht="26.4" hidden="1" x14ac:dyDescent="0.3">
      <c r="A622" s="579" t="s">
        <v>292</v>
      </c>
      <c r="B622" s="580" t="s">
        <v>303</v>
      </c>
      <c r="C622" s="581">
        <f t="shared" ref="C622:U622" si="518">C623</f>
        <v>896000</v>
      </c>
      <c r="D622" s="99"/>
      <c r="E622" s="99">
        <f t="shared" si="518"/>
        <v>0</v>
      </c>
      <c r="F622" s="373">
        <f t="shared" si="518"/>
        <v>0</v>
      </c>
      <c r="G622" s="373">
        <f t="shared" si="518"/>
        <v>0</v>
      </c>
      <c r="H622" s="373">
        <f t="shared" si="518"/>
        <v>825000</v>
      </c>
      <c r="I622" s="373">
        <f t="shared" si="518"/>
        <v>0</v>
      </c>
      <c r="J622" s="373">
        <f t="shared" si="518"/>
        <v>0</v>
      </c>
      <c r="K622" s="373">
        <f t="shared" si="518"/>
        <v>0</v>
      </c>
      <c r="L622" s="373">
        <f t="shared" si="518"/>
        <v>0</v>
      </c>
      <c r="M622" s="373">
        <f t="shared" si="518"/>
        <v>825000</v>
      </c>
      <c r="N622" s="373">
        <f t="shared" si="518"/>
        <v>0</v>
      </c>
      <c r="O622" s="373">
        <f t="shared" si="518"/>
        <v>0</v>
      </c>
      <c r="P622" s="373">
        <f t="shared" si="518"/>
        <v>0</v>
      </c>
      <c r="Q622" s="373">
        <f t="shared" si="518"/>
        <v>0</v>
      </c>
      <c r="R622" s="373">
        <f t="shared" si="518"/>
        <v>0</v>
      </c>
      <c r="S622" s="373">
        <f t="shared" si="518"/>
        <v>-825000</v>
      </c>
      <c r="T622" s="373">
        <f t="shared" si="518"/>
        <v>0</v>
      </c>
      <c r="U622" s="373">
        <f t="shared" si="518"/>
        <v>0</v>
      </c>
      <c r="V622" s="506">
        <f t="shared" si="498"/>
        <v>-825000</v>
      </c>
      <c r="W622" s="506">
        <f t="shared" si="499"/>
        <v>0</v>
      </c>
      <c r="X622" s="31"/>
      <c r="Y622" s="486"/>
      <c r="Z622" s="31"/>
      <c r="AA622" s="31"/>
      <c r="AB622" s="31"/>
    </row>
    <row r="623" spans="1:38" ht="19.5" hidden="1" customHeight="1" x14ac:dyDescent="0.3">
      <c r="A623" s="693" t="s">
        <v>77</v>
      </c>
      <c r="B623" s="694"/>
      <c r="C623" s="582">
        <f>SUM(C624)</f>
        <v>896000</v>
      </c>
      <c r="D623" s="100"/>
      <c r="E623" s="100">
        <f t="shared" ref="E623:U623" si="519">SUM(E624)</f>
        <v>0</v>
      </c>
      <c r="F623" s="374">
        <f t="shared" si="519"/>
        <v>0</v>
      </c>
      <c r="G623" s="374">
        <f t="shared" si="519"/>
        <v>0</v>
      </c>
      <c r="H623" s="374">
        <f t="shared" si="519"/>
        <v>825000</v>
      </c>
      <c r="I623" s="374">
        <f t="shared" si="519"/>
        <v>0</v>
      </c>
      <c r="J623" s="374">
        <f t="shared" si="519"/>
        <v>0</v>
      </c>
      <c r="K623" s="374">
        <f t="shared" si="519"/>
        <v>0</v>
      </c>
      <c r="L623" s="374">
        <f t="shared" si="519"/>
        <v>0</v>
      </c>
      <c r="M623" s="374">
        <f t="shared" si="519"/>
        <v>825000</v>
      </c>
      <c r="N623" s="374">
        <f t="shared" si="519"/>
        <v>0</v>
      </c>
      <c r="O623" s="374">
        <f t="shared" si="519"/>
        <v>0</v>
      </c>
      <c r="P623" s="374">
        <f t="shared" si="519"/>
        <v>0</v>
      </c>
      <c r="Q623" s="374">
        <f t="shared" si="519"/>
        <v>0</v>
      </c>
      <c r="R623" s="374">
        <f t="shared" si="519"/>
        <v>0</v>
      </c>
      <c r="S623" s="587">
        <f t="shared" si="519"/>
        <v>-825000</v>
      </c>
      <c r="T623" s="587">
        <f t="shared" si="519"/>
        <v>0</v>
      </c>
      <c r="U623" s="587">
        <f t="shared" si="519"/>
        <v>0</v>
      </c>
      <c r="V623" s="506">
        <f t="shared" si="498"/>
        <v>-825000</v>
      </c>
      <c r="W623" s="506">
        <f t="shared" si="499"/>
        <v>0</v>
      </c>
      <c r="X623" s="31"/>
      <c r="Y623" s="486"/>
      <c r="Z623" s="31"/>
      <c r="AA623" s="31"/>
      <c r="AB623" s="31"/>
    </row>
    <row r="624" spans="1:38" ht="28.5" hidden="1" customHeight="1" x14ac:dyDescent="0.3">
      <c r="A624" s="570" t="s">
        <v>323</v>
      </c>
      <c r="B624" s="571" t="s">
        <v>324</v>
      </c>
      <c r="C624" s="531">
        <f>SUM(C625,C627)</f>
        <v>896000</v>
      </c>
      <c r="D624" s="141"/>
      <c r="E624" s="141">
        <f t="shared" ref="E624:U624" si="520">SUM(E625,E627)</f>
        <v>0</v>
      </c>
      <c r="F624" s="364">
        <f t="shared" si="520"/>
        <v>0</v>
      </c>
      <c r="G624" s="364">
        <f t="shared" si="520"/>
        <v>0</v>
      </c>
      <c r="H624" s="364">
        <f t="shared" si="520"/>
        <v>825000</v>
      </c>
      <c r="I624" s="364">
        <f t="shared" si="520"/>
        <v>0</v>
      </c>
      <c r="J624" s="364">
        <f t="shared" si="520"/>
        <v>0</v>
      </c>
      <c r="K624" s="364">
        <f t="shared" si="520"/>
        <v>0</v>
      </c>
      <c r="L624" s="364">
        <f t="shared" si="520"/>
        <v>0</v>
      </c>
      <c r="M624" s="364">
        <f t="shared" si="520"/>
        <v>825000</v>
      </c>
      <c r="N624" s="364">
        <f t="shared" si="520"/>
        <v>0</v>
      </c>
      <c r="O624" s="364">
        <f t="shared" si="520"/>
        <v>0</v>
      </c>
      <c r="P624" s="364">
        <f t="shared" si="520"/>
        <v>0</v>
      </c>
      <c r="Q624" s="364">
        <f t="shared" si="520"/>
        <v>0</v>
      </c>
      <c r="R624" s="364">
        <f t="shared" si="520"/>
        <v>0</v>
      </c>
      <c r="S624" s="532">
        <f t="shared" si="520"/>
        <v>-825000</v>
      </c>
      <c r="T624" s="532">
        <f t="shared" si="520"/>
        <v>0</v>
      </c>
      <c r="U624" s="532">
        <f t="shared" si="520"/>
        <v>0</v>
      </c>
      <c r="V624" s="506">
        <f t="shared" si="498"/>
        <v>-825000</v>
      </c>
      <c r="W624" s="506">
        <f t="shared" si="499"/>
        <v>0</v>
      </c>
      <c r="X624" s="31"/>
      <c r="Y624" s="486"/>
      <c r="Z624" s="31"/>
      <c r="AA624" s="31"/>
      <c r="AB624" s="31"/>
    </row>
    <row r="625" spans="1:38" ht="14.55" hidden="1" customHeight="1" x14ac:dyDescent="0.3">
      <c r="A625" s="557" t="s">
        <v>177</v>
      </c>
      <c r="B625" s="558" t="s">
        <v>129</v>
      </c>
      <c r="C625" s="559">
        <f t="shared" ref="C625:U625" si="521">SUM(C626:C626)</f>
        <v>0</v>
      </c>
      <c r="D625" s="79"/>
      <c r="E625" s="79">
        <f t="shared" si="521"/>
        <v>0</v>
      </c>
      <c r="F625" s="369">
        <f t="shared" si="521"/>
        <v>0</v>
      </c>
      <c r="G625" s="369">
        <f t="shared" si="521"/>
        <v>0</v>
      </c>
      <c r="H625" s="369">
        <f t="shared" si="521"/>
        <v>0</v>
      </c>
      <c r="I625" s="369">
        <f t="shared" si="521"/>
        <v>0</v>
      </c>
      <c r="J625" s="369">
        <f t="shared" si="521"/>
        <v>0</v>
      </c>
      <c r="K625" s="369">
        <f t="shared" si="521"/>
        <v>0</v>
      </c>
      <c r="L625" s="369">
        <f t="shared" si="521"/>
        <v>0</v>
      </c>
      <c r="M625" s="369">
        <f t="shared" si="521"/>
        <v>0</v>
      </c>
      <c r="N625" s="369">
        <f t="shared" si="521"/>
        <v>0</v>
      </c>
      <c r="O625" s="369">
        <f t="shared" si="521"/>
        <v>0</v>
      </c>
      <c r="P625" s="369">
        <f t="shared" si="521"/>
        <v>0</v>
      </c>
      <c r="Q625" s="369">
        <f t="shared" si="521"/>
        <v>0</v>
      </c>
      <c r="R625" s="369">
        <f t="shared" si="521"/>
        <v>0</v>
      </c>
      <c r="S625" s="369">
        <f t="shared" si="521"/>
        <v>0</v>
      </c>
      <c r="T625" s="369">
        <f t="shared" si="521"/>
        <v>0</v>
      </c>
      <c r="U625" s="369">
        <f t="shared" si="521"/>
        <v>0</v>
      </c>
      <c r="V625" s="506">
        <f t="shared" si="498"/>
        <v>0</v>
      </c>
      <c r="W625" s="506">
        <f t="shared" si="499"/>
        <v>0</v>
      </c>
      <c r="X625" s="31"/>
      <c r="Y625" s="486"/>
      <c r="Z625" s="31"/>
      <c r="AA625" s="31"/>
      <c r="AB625" s="31"/>
    </row>
    <row r="626" spans="1:38" ht="13.05" hidden="1" x14ac:dyDescent="0.3">
      <c r="A626" s="130">
        <v>4223</v>
      </c>
      <c r="B626" s="107" t="s">
        <v>59</v>
      </c>
      <c r="C626" s="560"/>
      <c r="D626" s="81"/>
      <c r="E626" s="81"/>
      <c r="F626" s="370"/>
      <c r="G626" s="370"/>
      <c r="H626" s="370"/>
      <c r="I626" s="370"/>
      <c r="J626" s="370"/>
      <c r="K626" s="81"/>
      <c r="L626" s="81"/>
      <c r="M626" s="63"/>
      <c r="N626" s="370"/>
      <c r="O626" s="370"/>
      <c r="P626" s="81"/>
      <c r="Q626" s="81"/>
      <c r="R626" s="81"/>
      <c r="S626" s="70">
        <f>P626-M626</f>
        <v>0</v>
      </c>
      <c r="T626" s="70">
        <f>P626-N626</f>
        <v>0</v>
      </c>
      <c r="U626" s="63">
        <f>N626-G626</f>
        <v>0</v>
      </c>
      <c r="V626" s="506">
        <f t="shared" si="498"/>
        <v>0</v>
      </c>
      <c r="W626" s="506">
        <f t="shared" si="499"/>
        <v>0</v>
      </c>
      <c r="X626" s="31"/>
      <c r="Y626" s="486"/>
      <c r="Z626" s="31"/>
      <c r="AA626" s="31"/>
      <c r="AB626" s="31"/>
    </row>
    <row r="627" spans="1:38" ht="14.55" hidden="1" customHeight="1" x14ac:dyDescent="0.3">
      <c r="A627" s="557" t="s">
        <v>181</v>
      </c>
      <c r="B627" s="558" t="s">
        <v>61</v>
      </c>
      <c r="C627" s="559">
        <f t="shared" ref="C627:U627" si="522">SUM(C628:C628)</f>
        <v>896000</v>
      </c>
      <c r="D627" s="79"/>
      <c r="E627" s="79">
        <f t="shared" si="522"/>
        <v>0</v>
      </c>
      <c r="F627" s="369">
        <f t="shared" si="522"/>
        <v>0</v>
      </c>
      <c r="G627" s="369">
        <f t="shared" si="522"/>
        <v>0</v>
      </c>
      <c r="H627" s="369">
        <f t="shared" si="522"/>
        <v>825000</v>
      </c>
      <c r="I627" s="369">
        <f t="shared" si="522"/>
        <v>0</v>
      </c>
      <c r="J627" s="369">
        <f t="shared" si="522"/>
        <v>0</v>
      </c>
      <c r="K627" s="369">
        <f t="shared" si="522"/>
        <v>0</v>
      </c>
      <c r="L627" s="369">
        <f t="shared" si="522"/>
        <v>0</v>
      </c>
      <c r="M627" s="369">
        <f t="shared" si="522"/>
        <v>825000</v>
      </c>
      <c r="N627" s="369">
        <f t="shared" si="522"/>
        <v>0</v>
      </c>
      <c r="O627" s="369">
        <f t="shared" si="522"/>
        <v>0</v>
      </c>
      <c r="P627" s="369">
        <f t="shared" si="522"/>
        <v>0</v>
      </c>
      <c r="Q627" s="369">
        <f t="shared" si="522"/>
        <v>0</v>
      </c>
      <c r="R627" s="369">
        <f t="shared" si="522"/>
        <v>0</v>
      </c>
      <c r="S627" s="369">
        <f t="shared" si="522"/>
        <v>-825000</v>
      </c>
      <c r="T627" s="369">
        <f t="shared" si="522"/>
        <v>0</v>
      </c>
      <c r="U627" s="369">
        <f t="shared" si="522"/>
        <v>0</v>
      </c>
      <c r="V627" s="506">
        <f t="shared" si="498"/>
        <v>-825000</v>
      </c>
      <c r="W627" s="506">
        <f t="shared" si="499"/>
        <v>0</v>
      </c>
      <c r="X627" s="31"/>
      <c r="Y627" s="486"/>
      <c r="Z627" s="31"/>
      <c r="AA627" s="31"/>
      <c r="AB627" s="31"/>
    </row>
    <row r="628" spans="1:38" hidden="1" x14ac:dyDescent="0.3">
      <c r="A628" s="594">
        <v>4233</v>
      </c>
      <c r="B628" s="595" t="s">
        <v>227</v>
      </c>
      <c r="C628" s="597">
        <v>896000</v>
      </c>
      <c r="D628" s="111"/>
      <c r="E628" s="111"/>
      <c r="F628" s="379"/>
      <c r="G628" s="379"/>
      <c r="H628" s="111">
        <v>825000</v>
      </c>
      <c r="I628" s="111"/>
      <c r="J628" s="111"/>
      <c r="K628" s="111"/>
      <c r="L628" s="111"/>
      <c r="M628" s="63">
        <f>H628-I628+J628-K628+L628</f>
        <v>825000</v>
      </c>
      <c r="N628" s="379"/>
      <c r="O628" s="379"/>
      <c r="P628" s="111"/>
      <c r="Q628" s="111"/>
      <c r="R628" s="111"/>
      <c r="S628" s="70">
        <f>P628-M628</f>
        <v>-825000</v>
      </c>
      <c r="T628" s="70">
        <f>P628-N628</f>
        <v>0</v>
      </c>
      <c r="U628" s="603">
        <f>N628-G628</f>
        <v>0</v>
      </c>
      <c r="V628" s="506">
        <f t="shared" si="498"/>
        <v>-825000</v>
      </c>
      <c r="W628" s="506">
        <f t="shared" si="499"/>
        <v>0</v>
      </c>
      <c r="X628" s="31"/>
      <c r="Y628" s="486"/>
      <c r="Z628" s="31"/>
      <c r="AA628" s="31"/>
      <c r="AB628" s="31"/>
    </row>
    <row r="629" spans="1:38" x14ac:dyDescent="0.3">
      <c r="A629" s="579" t="s">
        <v>336</v>
      </c>
      <c r="B629" s="580" t="s">
        <v>337</v>
      </c>
      <c r="C629" s="581">
        <f t="shared" ref="C629:U629" si="523">C630</f>
        <v>1771000</v>
      </c>
      <c r="D629" s="99"/>
      <c r="E629" s="99">
        <f t="shared" si="523"/>
        <v>0</v>
      </c>
      <c r="F629" s="373">
        <f t="shared" si="523"/>
        <v>2183000</v>
      </c>
      <c r="G629" s="373">
        <f t="shared" si="523"/>
        <v>2601000</v>
      </c>
      <c r="H629" s="373">
        <f t="shared" si="523"/>
        <v>2001000</v>
      </c>
      <c r="I629" s="373">
        <f t="shared" si="523"/>
        <v>1290000</v>
      </c>
      <c r="J629" s="373">
        <f t="shared" si="523"/>
        <v>0</v>
      </c>
      <c r="K629" s="373">
        <f t="shared" si="523"/>
        <v>0</v>
      </c>
      <c r="L629" s="373">
        <f t="shared" si="523"/>
        <v>0</v>
      </c>
      <c r="M629" s="373">
        <f t="shared" si="523"/>
        <v>711000</v>
      </c>
      <c r="N629" s="373">
        <f t="shared" si="523"/>
        <v>1419043</v>
      </c>
      <c r="O629" s="373">
        <f t="shared" si="523"/>
        <v>2589000</v>
      </c>
      <c r="P629" s="373">
        <f t="shared" si="523"/>
        <v>4171000</v>
      </c>
      <c r="Q629" s="373">
        <f t="shared" si="523"/>
        <v>2117000</v>
      </c>
      <c r="R629" s="373">
        <f t="shared" si="523"/>
        <v>2117000</v>
      </c>
      <c r="S629" s="373">
        <f t="shared" si="523"/>
        <v>3460000</v>
      </c>
      <c r="T629" s="373">
        <f t="shared" si="523"/>
        <v>2751957</v>
      </c>
      <c r="U629" s="373">
        <f t="shared" si="523"/>
        <v>-472000</v>
      </c>
      <c r="V629" s="506">
        <f t="shared" si="498"/>
        <v>3460000</v>
      </c>
      <c r="W629" s="506">
        <f t="shared" si="499"/>
        <v>0</v>
      </c>
      <c r="X629" s="31"/>
      <c r="Y629" s="486"/>
      <c r="Z629" s="31"/>
      <c r="AA629" s="31"/>
      <c r="AB629" s="31"/>
      <c r="AD629" s="3"/>
    </row>
    <row r="630" spans="1:38" x14ac:dyDescent="0.3">
      <c r="A630" s="693" t="s">
        <v>77</v>
      </c>
      <c r="B630" s="694"/>
      <c r="C630" s="582">
        <f t="shared" ref="C630" si="524">SUM(C631,C643,C646,C659)</f>
        <v>1771000</v>
      </c>
      <c r="D630" s="100"/>
      <c r="E630" s="100">
        <f t="shared" ref="E630:U630" si="525">SUM(E631,E643,E646,E659)</f>
        <v>0</v>
      </c>
      <c r="F630" s="374">
        <f t="shared" si="525"/>
        <v>2183000</v>
      </c>
      <c r="G630" s="374">
        <f t="shared" si="525"/>
        <v>2601000</v>
      </c>
      <c r="H630" s="374">
        <f t="shared" si="525"/>
        <v>2001000</v>
      </c>
      <c r="I630" s="374">
        <f t="shared" si="525"/>
        <v>1290000</v>
      </c>
      <c r="J630" s="374">
        <f t="shared" si="525"/>
        <v>0</v>
      </c>
      <c r="K630" s="374">
        <f t="shared" si="525"/>
        <v>0</v>
      </c>
      <c r="L630" s="374">
        <f t="shared" si="525"/>
        <v>0</v>
      </c>
      <c r="M630" s="374">
        <f t="shared" si="525"/>
        <v>711000</v>
      </c>
      <c r="N630" s="374">
        <f t="shared" si="525"/>
        <v>1419043</v>
      </c>
      <c r="O630" s="374">
        <f t="shared" si="525"/>
        <v>2589000</v>
      </c>
      <c r="P630" s="374">
        <f t="shared" si="525"/>
        <v>4171000</v>
      </c>
      <c r="Q630" s="374">
        <f t="shared" si="525"/>
        <v>2117000</v>
      </c>
      <c r="R630" s="374">
        <f t="shared" si="525"/>
        <v>2117000</v>
      </c>
      <c r="S630" s="587">
        <f t="shared" si="525"/>
        <v>3460000</v>
      </c>
      <c r="T630" s="587">
        <f t="shared" si="525"/>
        <v>2751957</v>
      </c>
      <c r="U630" s="587">
        <f t="shared" si="525"/>
        <v>-472000</v>
      </c>
      <c r="V630" s="506">
        <f t="shared" si="498"/>
        <v>3460000</v>
      </c>
      <c r="W630" s="506">
        <f t="shared" si="499"/>
        <v>0</v>
      </c>
      <c r="X630" s="31"/>
      <c r="Y630" s="486"/>
      <c r="Z630" s="31"/>
      <c r="AA630" s="31"/>
      <c r="AB630" s="31"/>
    </row>
    <row r="631" spans="1:38" x14ac:dyDescent="0.3">
      <c r="A631" s="561">
        <v>32</v>
      </c>
      <c r="B631" s="562" t="s">
        <v>318</v>
      </c>
      <c r="C631" s="599">
        <f t="shared" ref="C631" si="526">SUM(C632,C635,C637,C641)</f>
        <v>164000</v>
      </c>
      <c r="D631" s="148"/>
      <c r="E631" s="148">
        <f t="shared" ref="E631:U631" si="527">SUM(E632,E635,E637,E641)</f>
        <v>0</v>
      </c>
      <c r="F631" s="381">
        <f t="shared" si="527"/>
        <v>202000</v>
      </c>
      <c r="G631" s="381">
        <f t="shared" si="527"/>
        <v>272000</v>
      </c>
      <c r="H631" s="381">
        <f t="shared" si="527"/>
        <v>236000</v>
      </c>
      <c r="I631" s="381">
        <f t="shared" si="527"/>
        <v>0</v>
      </c>
      <c r="J631" s="381">
        <f t="shared" si="527"/>
        <v>0</v>
      </c>
      <c r="K631" s="381">
        <f t="shared" si="527"/>
        <v>0</v>
      </c>
      <c r="L631" s="381">
        <f t="shared" si="527"/>
        <v>0</v>
      </c>
      <c r="M631" s="381">
        <f t="shared" si="527"/>
        <v>236000</v>
      </c>
      <c r="N631" s="381">
        <f t="shared" si="527"/>
        <v>296043</v>
      </c>
      <c r="O631" s="381">
        <f t="shared" si="527"/>
        <v>766000</v>
      </c>
      <c r="P631" s="381">
        <f t="shared" si="527"/>
        <v>229000</v>
      </c>
      <c r="Q631" s="381">
        <f t="shared" si="527"/>
        <v>186000</v>
      </c>
      <c r="R631" s="381">
        <f t="shared" si="527"/>
        <v>186000</v>
      </c>
      <c r="S631" s="600">
        <f t="shared" si="527"/>
        <v>-7000</v>
      </c>
      <c r="T631" s="600">
        <f t="shared" si="527"/>
        <v>-67043</v>
      </c>
      <c r="U631" s="600">
        <f t="shared" si="527"/>
        <v>-580000</v>
      </c>
      <c r="V631" s="506">
        <f t="shared" si="498"/>
        <v>-7000</v>
      </c>
      <c r="W631" s="506">
        <f t="shared" si="499"/>
        <v>0</v>
      </c>
      <c r="X631" s="31"/>
      <c r="Y631" s="486"/>
      <c r="Z631" s="31"/>
      <c r="AA631" s="31"/>
      <c r="AB631" s="31"/>
    </row>
    <row r="632" spans="1:38" s="2" customFormat="1" x14ac:dyDescent="0.3">
      <c r="A632" s="557" t="s">
        <v>149</v>
      </c>
      <c r="B632" s="558" t="s">
        <v>12</v>
      </c>
      <c r="C632" s="559">
        <f t="shared" ref="C632:U632" si="528">SUM(C633:C634)</f>
        <v>53000</v>
      </c>
      <c r="D632" s="79"/>
      <c r="E632" s="79">
        <f t="shared" si="528"/>
        <v>0</v>
      </c>
      <c r="F632" s="369">
        <f t="shared" si="528"/>
        <v>91000</v>
      </c>
      <c r="G632" s="369">
        <f t="shared" si="528"/>
        <v>161000</v>
      </c>
      <c r="H632" s="369">
        <f t="shared" si="528"/>
        <v>62000</v>
      </c>
      <c r="I632" s="369">
        <f t="shared" si="528"/>
        <v>0</v>
      </c>
      <c r="J632" s="369">
        <f t="shared" si="528"/>
        <v>0</v>
      </c>
      <c r="K632" s="369">
        <f t="shared" si="528"/>
        <v>0</v>
      </c>
      <c r="L632" s="369">
        <f t="shared" si="528"/>
        <v>0</v>
      </c>
      <c r="M632" s="369">
        <f t="shared" si="528"/>
        <v>62000</v>
      </c>
      <c r="N632" s="369">
        <f t="shared" si="528"/>
        <v>132043</v>
      </c>
      <c r="O632" s="369">
        <f t="shared" si="528"/>
        <v>600000</v>
      </c>
      <c r="P632" s="369">
        <f t="shared" si="528"/>
        <v>95000</v>
      </c>
      <c r="Q632" s="369">
        <f t="shared" si="528"/>
        <v>95000</v>
      </c>
      <c r="R632" s="369">
        <f t="shared" si="528"/>
        <v>95000</v>
      </c>
      <c r="S632" s="369">
        <f t="shared" si="528"/>
        <v>33000</v>
      </c>
      <c r="T632" s="369">
        <f t="shared" si="528"/>
        <v>-37043</v>
      </c>
      <c r="U632" s="369">
        <f t="shared" si="528"/>
        <v>-505000</v>
      </c>
      <c r="V632" s="506">
        <f t="shared" si="498"/>
        <v>33000</v>
      </c>
      <c r="W632" s="506">
        <f t="shared" si="499"/>
        <v>0</v>
      </c>
      <c r="X632" s="34"/>
      <c r="Y632" s="490"/>
      <c r="Z632" s="34"/>
      <c r="AA632" s="34"/>
      <c r="AB632" s="34"/>
      <c r="AH632" s="525"/>
      <c r="AI632" s="525"/>
      <c r="AJ632" s="525"/>
      <c r="AK632" s="525"/>
      <c r="AL632" s="525"/>
    </row>
    <row r="633" spans="1:38" x14ac:dyDescent="0.3">
      <c r="A633" s="130" t="s">
        <v>150</v>
      </c>
      <c r="B633" s="107" t="s">
        <v>13</v>
      </c>
      <c r="C633" s="560">
        <v>11000</v>
      </c>
      <c r="D633" s="81"/>
      <c r="E633" s="81">
        <v>0</v>
      </c>
      <c r="F633" s="370">
        <v>11000</v>
      </c>
      <c r="G633" s="370">
        <v>11000</v>
      </c>
      <c r="H633" s="370">
        <v>12000</v>
      </c>
      <c r="I633" s="370"/>
      <c r="J633" s="370"/>
      <c r="K633" s="81"/>
      <c r="L633" s="81"/>
      <c r="M633" s="63">
        <f>H633-I633+J633-K633+L633</f>
        <v>12000</v>
      </c>
      <c r="N633" s="370">
        <f>100000-89000+41043</f>
        <v>52043</v>
      </c>
      <c r="O633" s="370">
        <v>100000</v>
      </c>
      <c r="P633" s="81">
        <v>15000</v>
      </c>
      <c r="Q633" s="81">
        <v>15000</v>
      </c>
      <c r="R633" s="81">
        <v>15000</v>
      </c>
      <c r="S633" s="70">
        <f>P633-M633</f>
        <v>3000</v>
      </c>
      <c r="T633" s="70">
        <f>P633-N633</f>
        <v>-37043</v>
      </c>
      <c r="U633" s="70">
        <f>Q633-O633</f>
        <v>-85000</v>
      </c>
      <c r="V633" s="506">
        <f t="shared" si="498"/>
        <v>3000</v>
      </c>
      <c r="W633" s="506">
        <f t="shared" si="499"/>
        <v>0</v>
      </c>
      <c r="X633" s="31"/>
      <c r="Y633" s="486"/>
      <c r="Z633" s="31"/>
      <c r="AA633" s="31"/>
      <c r="AB633" s="31"/>
    </row>
    <row r="634" spans="1:38" x14ac:dyDescent="0.3">
      <c r="A634" s="130" t="s">
        <v>152</v>
      </c>
      <c r="B634" s="107" t="s">
        <v>15</v>
      </c>
      <c r="C634" s="560">
        <v>42000</v>
      </c>
      <c r="D634" s="81"/>
      <c r="E634" s="81">
        <v>0</v>
      </c>
      <c r="F634" s="370">
        <v>80000</v>
      </c>
      <c r="G634" s="370">
        <v>150000</v>
      </c>
      <c r="H634" s="370">
        <v>50000</v>
      </c>
      <c r="I634" s="370"/>
      <c r="J634" s="370"/>
      <c r="K634" s="81"/>
      <c r="L634" s="81"/>
      <c r="M634" s="63">
        <f>H634-I634+J634-K634+L634</f>
        <v>50000</v>
      </c>
      <c r="N634" s="370">
        <f>300000-220000</f>
        <v>80000</v>
      </c>
      <c r="O634" s="370">
        <v>500000</v>
      </c>
      <c r="P634" s="81">
        <v>80000</v>
      </c>
      <c r="Q634" s="81">
        <v>80000</v>
      </c>
      <c r="R634" s="81">
        <v>80000</v>
      </c>
      <c r="S634" s="70">
        <f>P634-M634</f>
        <v>30000</v>
      </c>
      <c r="T634" s="70">
        <f>P634-N634</f>
        <v>0</v>
      </c>
      <c r="U634" s="70">
        <f>Q634-O634</f>
        <v>-420000</v>
      </c>
      <c r="V634" s="506">
        <f t="shared" si="498"/>
        <v>30000</v>
      </c>
      <c r="W634" s="506">
        <f t="shared" si="499"/>
        <v>0</v>
      </c>
      <c r="X634" s="31"/>
      <c r="Y634" s="486"/>
      <c r="Z634" s="31"/>
      <c r="AA634" s="31"/>
      <c r="AB634" s="31"/>
    </row>
    <row r="635" spans="1:38" s="2" customFormat="1" x14ac:dyDescent="0.3">
      <c r="A635" s="557" t="s">
        <v>153</v>
      </c>
      <c r="B635" s="558" t="s">
        <v>16</v>
      </c>
      <c r="C635" s="559">
        <f t="shared" ref="C635:U635" si="529">SUM(C636)</f>
        <v>20000</v>
      </c>
      <c r="D635" s="79"/>
      <c r="E635" s="79">
        <f t="shared" si="529"/>
        <v>0</v>
      </c>
      <c r="F635" s="369">
        <f t="shared" si="529"/>
        <v>20000</v>
      </c>
      <c r="G635" s="369">
        <f t="shared" si="529"/>
        <v>20000</v>
      </c>
      <c r="H635" s="369">
        <f t="shared" si="529"/>
        <v>20000</v>
      </c>
      <c r="I635" s="369">
        <f t="shared" si="529"/>
        <v>0</v>
      </c>
      <c r="J635" s="369">
        <f t="shared" si="529"/>
        <v>0</v>
      </c>
      <c r="K635" s="369">
        <f t="shared" si="529"/>
        <v>0</v>
      </c>
      <c r="L635" s="369">
        <f t="shared" si="529"/>
        <v>0</v>
      </c>
      <c r="M635" s="369">
        <f t="shared" si="529"/>
        <v>20000</v>
      </c>
      <c r="N635" s="369">
        <f t="shared" si="529"/>
        <v>25000</v>
      </c>
      <c r="O635" s="369">
        <f t="shared" si="529"/>
        <v>25000</v>
      </c>
      <c r="P635" s="369">
        <f t="shared" si="529"/>
        <v>110000</v>
      </c>
      <c r="Q635" s="369">
        <f t="shared" si="529"/>
        <v>70000</v>
      </c>
      <c r="R635" s="369">
        <f t="shared" si="529"/>
        <v>70000</v>
      </c>
      <c r="S635" s="369">
        <f t="shared" si="529"/>
        <v>90000</v>
      </c>
      <c r="T635" s="369">
        <f t="shared" si="529"/>
        <v>85000</v>
      </c>
      <c r="U635" s="369">
        <f t="shared" si="529"/>
        <v>45000</v>
      </c>
      <c r="V635" s="506">
        <f t="shared" si="498"/>
        <v>90000</v>
      </c>
      <c r="W635" s="506">
        <f t="shared" si="499"/>
        <v>0</v>
      </c>
      <c r="X635" s="34"/>
      <c r="Y635" s="490"/>
      <c r="Z635" s="34"/>
      <c r="AA635" s="34"/>
      <c r="AB635" s="34"/>
      <c r="AH635" s="525"/>
      <c r="AI635" s="525"/>
      <c r="AJ635" s="525"/>
      <c r="AK635" s="525"/>
      <c r="AL635" s="525"/>
    </row>
    <row r="636" spans="1:38" x14ac:dyDescent="0.3">
      <c r="A636" s="130" t="s">
        <v>156</v>
      </c>
      <c r="B636" s="107" t="s">
        <v>19</v>
      </c>
      <c r="C636" s="560">
        <v>20000</v>
      </c>
      <c r="D636" s="81"/>
      <c r="E636" s="81">
        <v>0</v>
      </c>
      <c r="F636" s="370">
        <v>20000</v>
      </c>
      <c r="G636" s="370">
        <v>20000</v>
      </c>
      <c r="H636" s="370">
        <v>20000</v>
      </c>
      <c r="I636" s="370"/>
      <c r="J636" s="370"/>
      <c r="K636" s="81"/>
      <c r="L636" s="81"/>
      <c r="M636" s="63">
        <f>H636-I636+J636-K636+L636</f>
        <v>20000</v>
      </c>
      <c r="N636" s="370">
        <v>25000</v>
      </c>
      <c r="O636" s="370">
        <v>25000</v>
      </c>
      <c r="P636" s="81">
        <v>110000</v>
      </c>
      <c r="Q636" s="81">
        <v>70000</v>
      </c>
      <c r="R636" s="81">
        <v>70000</v>
      </c>
      <c r="S636" s="70">
        <f>P636-M636</f>
        <v>90000</v>
      </c>
      <c r="T636" s="70">
        <f>P636-N636</f>
        <v>85000</v>
      </c>
      <c r="U636" s="70">
        <f>Q636-O636</f>
        <v>45000</v>
      </c>
      <c r="V636" s="506">
        <f t="shared" si="498"/>
        <v>90000</v>
      </c>
      <c r="W636" s="506">
        <f t="shared" si="499"/>
        <v>0</v>
      </c>
      <c r="X636" s="31"/>
      <c r="Y636" s="486"/>
      <c r="Z636" s="31"/>
      <c r="AA636" s="31"/>
      <c r="AB636" s="31"/>
    </row>
    <row r="637" spans="1:38" s="2" customFormat="1" ht="12.6" customHeight="1" x14ac:dyDescent="0.3">
      <c r="A637" s="557" t="s">
        <v>159</v>
      </c>
      <c r="B637" s="114" t="s">
        <v>123</v>
      </c>
      <c r="C637" s="559">
        <f>SUM(C638:C640)</f>
        <v>25000</v>
      </c>
      <c r="D637" s="79"/>
      <c r="E637" s="79">
        <f t="shared" ref="E637:U637" si="530">SUM(E638:E640)</f>
        <v>0</v>
      </c>
      <c r="F637" s="79">
        <f t="shared" si="530"/>
        <v>25000</v>
      </c>
      <c r="G637" s="79">
        <f t="shared" si="530"/>
        <v>25000</v>
      </c>
      <c r="H637" s="79">
        <f t="shared" si="530"/>
        <v>104000</v>
      </c>
      <c r="I637" s="79">
        <f t="shared" si="530"/>
        <v>0</v>
      </c>
      <c r="J637" s="79">
        <f t="shared" si="530"/>
        <v>0</v>
      </c>
      <c r="K637" s="79">
        <f t="shared" si="530"/>
        <v>0</v>
      </c>
      <c r="L637" s="79">
        <f t="shared" si="530"/>
        <v>0</v>
      </c>
      <c r="M637" s="79">
        <v>104000</v>
      </c>
      <c r="N637" s="79">
        <f t="shared" si="530"/>
        <v>89000</v>
      </c>
      <c r="O637" s="79">
        <f t="shared" si="530"/>
        <v>91000</v>
      </c>
      <c r="P637" s="79">
        <f t="shared" si="530"/>
        <v>24000</v>
      </c>
      <c r="Q637" s="79">
        <f t="shared" si="530"/>
        <v>21000</v>
      </c>
      <c r="R637" s="79">
        <f t="shared" si="530"/>
        <v>21000</v>
      </c>
      <c r="S637" s="79">
        <f t="shared" si="530"/>
        <v>-80000</v>
      </c>
      <c r="T637" s="79">
        <f t="shared" si="530"/>
        <v>-65000</v>
      </c>
      <c r="U637" s="79">
        <f t="shared" si="530"/>
        <v>-70000</v>
      </c>
      <c r="V637" s="506">
        <f t="shared" si="498"/>
        <v>-80000</v>
      </c>
      <c r="W637" s="506">
        <f t="shared" si="499"/>
        <v>0</v>
      </c>
      <c r="X637" s="34"/>
      <c r="Y637" s="490"/>
      <c r="Z637" s="34"/>
      <c r="AA637" s="34"/>
      <c r="AB637" s="34"/>
      <c r="AH637" s="525"/>
      <c r="AI637" s="525"/>
      <c r="AJ637" s="525"/>
      <c r="AK637" s="525"/>
      <c r="AL637" s="525"/>
    </row>
    <row r="638" spans="1:38" s="2" customFormat="1" x14ac:dyDescent="0.3">
      <c r="A638" s="130" t="s">
        <v>160</v>
      </c>
      <c r="B638" s="107" t="s">
        <v>24</v>
      </c>
      <c r="C638" s="559"/>
      <c r="D638" s="79"/>
      <c r="E638" s="79"/>
      <c r="F638" s="79"/>
      <c r="G638" s="79"/>
      <c r="H638" s="102"/>
      <c r="I638" s="102"/>
      <c r="J638" s="102"/>
      <c r="K638" s="102"/>
      <c r="L638" s="102"/>
      <c r="M638" s="63"/>
      <c r="N638" s="102">
        <v>4000</v>
      </c>
      <c r="O638" s="102">
        <v>4000</v>
      </c>
      <c r="P638" s="102">
        <v>2000</v>
      </c>
      <c r="Q638" s="102">
        <v>2000</v>
      </c>
      <c r="R638" s="102">
        <v>2000</v>
      </c>
      <c r="S638" s="70">
        <f>P638-M638</f>
        <v>2000</v>
      </c>
      <c r="T638" s="70">
        <f t="shared" ref="T638:U640" si="531">P638-N638</f>
        <v>-2000</v>
      </c>
      <c r="U638" s="70">
        <f t="shared" si="531"/>
        <v>-2000</v>
      </c>
      <c r="V638" s="506">
        <f t="shared" si="498"/>
        <v>2000</v>
      </c>
      <c r="W638" s="506">
        <f t="shared" si="499"/>
        <v>0</v>
      </c>
      <c r="X638" s="34"/>
      <c r="Y638" s="490"/>
      <c r="Z638" s="34"/>
      <c r="AA638" s="34"/>
      <c r="AB638" s="34"/>
      <c r="AH638" s="525"/>
      <c r="AI638" s="525"/>
      <c r="AJ638" s="525"/>
      <c r="AK638" s="525"/>
      <c r="AL638" s="525"/>
    </row>
    <row r="639" spans="1:38" s="2" customFormat="1" x14ac:dyDescent="0.3">
      <c r="A639" s="130">
        <v>3233</v>
      </c>
      <c r="B639" s="107" t="s">
        <v>26</v>
      </c>
      <c r="C639" s="108">
        <v>4000</v>
      </c>
      <c r="D639" s="102"/>
      <c r="E639" s="102">
        <v>0</v>
      </c>
      <c r="F639" s="102">
        <v>4000</v>
      </c>
      <c r="G639" s="102">
        <v>4000</v>
      </c>
      <c r="H639" s="102">
        <v>4000</v>
      </c>
      <c r="I639" s="102"/>
      <c r="J639" s="102"/>
      <c r="K639" s="102"/>
      <c r="L639" s="102"/>
      <c r="M639" s="63">
        <f>H639-I639+J639-K639+L639</f>
        <v>4000</v>
      </c>
      <c r="N639" s="102">
        <v>20000</v>
      </c>
      <c r="O639" s="102">
        <v>21000</v>
      </c>
      <c r="P639" s="102">
        <v>4000</v>
      </c>
      <c r="Q639" s="102">
        <v>4000</v>
      </c>
      <c r="R639" s="102">
        <v>4000</v>
      </c>
      <c r="S639" s="70">
        <f>P639-M639</f>
        <v>0</v>
      </c>
      <c r="T639" s="70">
        <f t="shared" si="531"/>
        <v>-16000</v>
      </c>
      <c r="U639" s="70">
        <f t="shared" si="531"/>
        <v>-17000</v>
      </c>
      <c r="V639" s="506">
        <f t="shared" si="498"/>
        <v>0</v>
      </c>
      <c r="W639" s="506">
        <f t="shared" si="499"/>
        <v>0</v>
      </c>
      <c r="X639" s="34"/>
      <c r="Y639" s="490"/>
      <c r="Z639" s="34"/>
      <c r="AA639" s="34"/>
      <c r="AB639" s="34"/>
      <c r="AH639" s="525"/>
      <c r="AI639" s="525"/>
      <c r="AJ639" s="525"/>
      <c r="AK639" s="525"/>
      <c r="AL639" s="525"/>
    </row>
    <row r="640" spans="1:38" x14ac:dyDescent="0.3">
      <c r="A640" s="130" t="s">
        <v>166</v>
      </c>
      <c r="B640" s="107" t="s">
        <v>30</v>
      </c>
      <c r="C640" s="560">
        <v>21000</v>
      </c>
      <c r="D640" s="81"/>
      <c r="E640" s="81">
        <v>0</v>
      </c>
      <c r="F640" s="81">
        <v>21000</v>
      </c>
      <c r="G640" s="81">
        <v>21000</v>
      </c>
      <c r="H640" s="81">
        <v>100000</v>
      </c>
      <c r="I640" s="81"/>
      <c r="J640" s="81"/>
      <c r="K640" s="81"/>
      <c r="L640" s="81"/>
      <c r="M640" s="63">
        <f>H640-I640+J640-K640+L640</f>
        <v>100000</v>
      </c>
      <c r="N640" s="81">
        <v>65000</v>
      </c>
      <c r="O640" s="81">
        <v>66000</v>
      </c>
      <c r="P640" s="81">
        <v>18000</v>
      </c>
      <c r="Q640" s="81">
        <v>15000</v>
      </c>
      <c r="R640" s="81">
        <v>15000</v>
      </c>
      <c r="S640" s="70">
        <f>P640-M640</f>
        <v>-82000</v>
      </c>
      <c r="T640" s="70">
        <f t="shared" si="531"/>
        <v>-47000</v>
      </c>
      <c r="U640" s="70">
        <f t="shared" si="531"/>
        <v>-51000</v>
      </c>
      <c r="V640" s="506">
        <f t="shared" si="498"/>
        <v>-82000</v>
      </c>
      <c r="W640" s="506">
        <f t="shared" si="499"/>
        <v>0</v>
      </c>
      <c r="X640" s="31"/>
      <c r="Y640" s="486"/>
      <c r="Z640" s="31"/>
      <c r="AA640" s="31"/>
      <c r="AB640" s="31"/>
    </row>
    <row r="641" spans="1:38" s="2" customFormat="1" hidden="1" x14ac:dyDescent="0.3">
      <c r="A641" s="557" t="s">
        <v>170</v>
      </c>
      <c r="B641" s="558" t="s">
        <v>33</v>
      </c>
      <c r="C641" s="559">
        <f t="shared" ref="C641:U641" si="532">SUM(C642)</f>
        <v>66000</v>
      </c>
      <c r="D641" s="79"/>
      <c r="E641" s="79">
        <f t="shared" si="532"/>
        <v>0</v>
      </c>
      <c r="F641" s="369">
        <f t="shared" si="532"/>
        <v>66000</v>
      </c>
      <c r="G641" s="369">
        <f t="shared" si="532"/>
        <v>66000</v>
      </c>
      <c r="H641" s="369">
        <f t="shared" si="532"/>
        <v>50000</v>
      </c>
      <c r="I641" s="369">
        <f t="shared" si="532"/>
        <v>0</v>
      </c>
      <c r="J641" s="369">
        <f t="shared" si="532"/>
        <v>0</v>
      </c>
      <c r="K641" s="369">
        <f t="shared" si="532"/>
        <v>0</v>
      </c>
      <c r="L641" s="369">
        <f t="shared" si="532"/>
        <v>0</v>
      </c>
      <c r="M641" s="369">
        <f t="shared" si="532"/>
        <v>50000</v>
      </c>
      <c r="N641" s="369">
        <f t="shared" si="532"/>
        <v>50000</v>
      </c>
      <c r="O641" s="369">
        <f t="shared" si="532"/>
        <v>50000</v>
      </c>
      <c r="P641" s="369">
        <f t="shared" si="532"/>
        <v>0</v>
      </c>
      <c r="Q641" s="369">
        <f t="shared" si="532"/>
        <v>0</v>
      </c>
      <c r="R641" s="369">
        <f t="shared" si="532"/>
        <v>0</v>
      </c>
      <c r="S641" s="369">
        <f t="shared" si="532"/>
        <v>-50000</v>
      </c>
      <c r="T641" s="369">
        <f t="shared" si="532"/>
        <v>-50000</v>
      </c>
      <c r="U641" s="369">
        <f t="shared" si="532"/>
        <v>-50000</v>
      </c>
      <c r="V641" s="506">
        <f t="shared" si="498"/>
        <v>-50000</v>
      </c>
      <c r="W641" s="506">
        <f t="shared" si="499"/>
        <v>0</v>
      </c>
      <c r="X641" s="34"/>
      <c r="Y641" s="490"/>
      <c r="Z641" s="34"/>
      <c r="AA641" s="34"/>
      <c r="AB641" s="34"/>
      <c r="AH641" s="525"/>
      <c r="AI641" s="525"/>
      <c r="AJ641" s="525"/>
      <c r="AK641" s="525"/>
      <c r="AL641" s="525"/>
    </row>
    <row r="642" spans="1:38" s="2" customFormat="1" hidden="1" x14ac:dyDescent="0.3">
      <c r="A642" s="130">
        <v>3294</v>
      </c>
      <c r="B642" s="107" t="s">
        <v>37</v>
      </c>
      <c r="C642" s="598">
        <v>66000</v>
      </c>
      <c r="D642" s="112"/>
      <c r="E642" s="112">
        <v>0</v>
      </c>
      <c r="F642" s="112">
        <v>66000</v>
      </c>
      <c r="G642" s="112">
        <v>66000</v>
      </c>
      <c r="H642" s="112">
        <v>50000</v>
      </c>
      <c r="I642" s="112"/>
      <c r="J642" s="112"/>
      <c r="K642" s="112"/>
      <c r="L642" s="112"/>
      <c r="M642" s="63">
        <f>H642-I642+J642-K642+L642</f>
        <v>50000</v>
      </c>
      <c r="N642" s="112">
        <v>50000</v>
      </c>
      <c r="O642" s="112">
        <v>50000</v>
      </c>
      <c r="P642" s="112"/>
      <c r="Q642" s="112"/>
      <c r="R642" s="112"/>
      <c r="S642" s="70">
        <f>P642-M642</f>
        <v>-50000</v>
      </c>
      <c r="T642" s="70">
        <f>P642-N642</f>
        <v>-50000</v>
      </c>
      <c r="U642" s="70">
        <f>Q642-O642</f>
        <v>-50000</v>
      </c>
      <c r="V642" s="506">
        <f t="shared" si="498"/>
        <v>-50000</v>
      </c>
      <c r="W642" s="506">
        <f t="shared" si="499"/>
        <v>0</v>
      </c>
      <c r="X642" s="34"/>
      <c r="Y642" s="490"/>
      <c r="Z642" s="34"/>
      <c r="AA642" s="34"/>
      <c r="AB642" s="34"/>
      <c r="AH642" s="525"/>
      <c r="AI642" s="525"/>
      <c r="AJ642" s="525"/>
      <c r="AK642" s="525"/>
      <c r="AL642" s="525"/>
    </row>
    <row r="643" spans="1:38" s="2" customFormat="1" ht="26.4" x14ac:dyDescent="0.3">
      <c r="A643" s="144">
        <v>41</v>
      </c>
      <c r="B643" s="145" t="s">
        <v>361</v>
      </c>
      <c r="C643" s="604">
        <f t="shared" ref="C643:U644" si="533">SUM(C644)</f>
        <v>398000</v>
      </c>
      <c r="D643" s="149"/>
      <c r="E643" s="149">
        <f t="shared" si="533"/>
        <v>0</v>
      </c>
      <c r="F643" s="605">
        <f t="shared" si="533"/>
        <v>199000</v>
      </c>
      <c r="G643" s="605">
        <f t="shared" si="533"/>
        <v>199000</v>
      </c>
      <c r="H643" s="605">
        <f t="shared" si="533"/>
        <v>200000</v>
      </c>
      <c r="I643" s="605">
        <f t="shared" si="533"/>
        <v>0</v>
      </c>
      <c r="J643" s="605">
        <f t="shared" si="533"/>
        <v>0</v>
      </c>
      <c r="K643" s="605">
        <f t="shared" si="533"/>
        <v>0</v>
      </c>
      <c r="L643" s="605">
        <f t="shared" si="533"/>
        <v>0</v>
      </c>
      <c r="M643" s="605">
        <f t="shared" si="533"/>
        <v>200000</v>
      </c>
      <c r="N643" s="605">
        <f t="shared" si="533"/>
        <v>200000</v>
      </c>
      <c r="O643" s="605">
        <f t="shared" si="533"/>
        <v>200000</v>
      </c>
      <c r="P643" s="605">
        <f t="shared" si="533"/>
        <v>350000</v>
      </c>
      <c r="Q643" s="605">
        <f t="shared" si="533"/>
        <v>270000</v>
      </c>
      <c r="R643" s="605">
        <f t="shared" si="533"/>
        <v>270000</v>
      </c>
      <c r="S643" s="606">
        <f t="shared" si="533"/>
        <v>150000</v>
      </c>
      <c r="T643" s="606">
        <f t="shared" si="533"/>
        <v>150000</v>
      </c>
      <c r="U643" s="606">
        <f t="shared" si="533"/>
        <v>70000</v>
      </c>
      <c r="V643" s="506">
        <f t="shared" si="498"/>
        <v>150000</v>
      </c>
      <c r="W643" s="506">
        <f t="shared" si="499"/>
        <v>0</v>
      </c>
      <c r="X643" s="34"/>
      <c r="Y643" s="490"/>
      <c r="Z643" s="34"/>
      <c r="AA643" s="34"/>
      <c r="AB643" s="34"/>
      <c r="AH643" s="525"/>
      <c r="AI643" s="525"/>
      <c r="AJ643" s="525"/>
      <c r="AK643" s="525"/>
      <c r="AL643" s="525"/>
    </row>
    <row r="644" spans="1:38" s="2" customFormat="1" x14ac:dyDescent="0.3">
      <c r="A644" s="607">
        <v>412</v>
      </c>
      <c r="B644" s="119" t="s">
        <v>67</v>
      </c>
      <c r="C644" s="608">
        <f t="shared" si="533"/>
        <v>398000</v>
      </c>
      <c r="D644" s="115"/>
      <c r="E644" s="115">
        <f t="shared" si="533"/>
        <v>0</v>
      </c>
      <c r="F644" s="609">
        <f t="shared" si="533"/>
        <v>199000</v>
      </c>
      <c r="G644" s="609">
        <f t="shared" si="533"/>
        <v>199000</v>
      </c>
      <c r="H644" s="609">
        <f t="shared" si="533"/>
        <v>200000</v>
      </c>
      <c r="I644" s="609">
        <f t="shared" si="533"/>
        <v>0</v>
      </c>
      <c r="J644" s="609">
        <f t="shared" si="533"/>
        <v>0</v>
      </c>
      <c r="K644" s="609">
        <f t="shared" si="533"/>
        <v>0</v>
      </c>
      <c r="L644" s="609">
        <f t="shared" si="533"/>
        <v>0</v>
      </c>
      <c r="M644" s="609">
        <f t="shared" si="533"/>
        <v>200000</v>
      </c>
      <c r="N644" s="609">
        <f t="shared" si="533"/>
        <v>200000</v>
      </c>
      <c r="O644" s="609">
        <f t="shared" si="533"/>
        <v>200000</v>
      </c>
      <c r="P644" s="609">
        <f t="shared" si="533"/>
        <v>350000</v>
      </c>
      <c r="Q644" s="609">
        <f t="shared" si="533"/>
        <v>270000</v>
      </c>
      <c r="R644" s="609">
        <f t="shared" si="533"/>
        <v>270000</v>
      </c>
      <c r="S644" s="609">
        <f t="shared" si="533"/>
        <v>150000</v>
      </c>
      <c r="T644" s="609">
        <f t="shared" si="533"/>
        <v>150000</v>
      </c>
      <c r="U644" s="609">
        <f t="shared" si="533"/>
        <v>70000</v>
      </c>
      <c r="V644" s="506">
        <f t="shared" si="498"/>
        <v>150000</v>
      </c>
      <c r="W644" s="506">
        <f t="shared" si="499"/>
        <v>0</v>
      </c>
      <c r="X644" s="34"/>
      <c r="Y644" s="490"/>
      <c r="Z644" s="34"/>
      <c r="AA644" s="34"/>
      <c r="AB644" s="34"/>
      <c r="AH644" s="525"/>
      <c r="AI644" s="525"/>
      <c r="AJ644" s="525"/>
      <c r="AK644" s="525"/>
      <c r="AL644" s="525"/>
    </row>
    <row r="645" spans="1:38" s="2" customFormat="1" x14ac:dyDescent="0.3">
      <c r="A645" s="434">
        <v>4123</v>
      </c>
      <c r="B645" s="117" t="s">
        <v>68</v>
      </c>
      <c r="C645" s="598">
        <v>398000</v>
      </c>
      <c r="D645" s="112"/>
      <c r="E645" s="112">
        <v>0</v>
      </c>
      <c r="F645" s="380">
        <v>199000</v>
      </c>
      <c r="G645" s="380">
        <v>199000</v>
      </c>
      <c r="H645" s="380">
        <v>200000</v>
      </c>
      <c r="I645" s="380"/>
      <c r="J645" s="380"/>
      <c r="K645" s="112"/>
      <c r="L645" s="112"/>
      <c r="M645" s="63">
        <f>H645-I645+J645-K645+L645</f>
        <v>200000</v>
      </c>
      <c r="N645" s="380">
        <f>300000-100000</f>
        <v>200000</v>
      </c>
      <c r="O645" s="380">
        <v>200000</v>
      </c>
      <c r="P645" s="112">
        <v>350000</v>
      </c>
      <c r="Q645" s="112">
        <v>270000</v>
      </c>
      <c r="R645" s="112">
        <v>270000</v>
      </c>
      <c r="S645" s="70">
        <f>P645-M645</f>
        <v>150000</v>
      </c>
      <c r="T645" s="70">
        <f>P645-N645</f>
        <v>150000</v>
      </c>
      <c r="U645" s="70">
        <f>Q645-O645</f>
        <v>70000</v>
      </c>
      <c r="V645" s="506">
        <f t="shared" si="498"/>
        <v>150000</v>
      </c>
      <c r="W645" s="506">
        <f t="shared" si="499"/>
        <v>0</v>
      </c>
      <c r="X645" s="34"/>
      <c r="Y645" s="490"/>
      <c r="Z645" s="34"/>
      <c r="AA645" s="34"/>
      <c r="AB645" s="34"/>
      <c r="AH645" s="525"/>
      <c r="AI645" s="525"/>
      <c r="AJ645" s="525"/>
      <c r="AK645" s="525"/>
      <c r="AL645" s="525"/>
    </row>
    <row r="646" spans="1:38" s="2" customFormat="1" ht="26.4" x14ac:dyDescent="0.3">
      <c r="A646" s="144">
        <v>42</v>
      </c>
      <c r="B646" s="145" t="s">
        <v>362</v>
      </c>
      <c r="C646" s="604">
        <f t="shared" ref="C646" si="534">SUM(C647,C654,C657)</f>
        <v>1159000</v>
      </c>
      <c r="D646" s="149"/>
      <c r="E646" s="149">
        <f t="shared" ref="E646:U646" si="535">SUM(E647,E654,E657)</f>
        <v>0</v>
      </c>
      <c r="F646" s="605">
        <f t="shared" si="535"/>
        <v>1597000</v>
      </c>
      <c r="G646" s="605">
        <f t="shared" si="535"/>
        <v>1945000</v>
      </c>
      <c r="H646" s="605">
        <f t="shared" si="535"/>
        <v>1065000</v>
      </c>
      <c r="I646" s="605">
        <f t="shared" si="535"/>
        <v>790000</v>
      </c>
      <c r="J646" s="605">
        <f t="shared" si="535"/>
        <v>0</v>
      </c>
      <c r="K646" s="605">
        <f t="shared" si="535"/>
        <v>0</v>
      </c>
      <c r="L646" s="605">
        <f t="shared" si="535"/>
        <v>0</v>
      </c>
      <c r="M646" s="605">
        <f t="shared" si="535"/>
        <v>275000</v>
      </c>
      <c r="N646" s="605">
        <f t="shared" si="535"/>
        <v>723000</v>
      </c>
      <c r="O646" s="605">
        <f t="shared" si="535"/>
        <v>823000</v>
      </c>
      <c r="P646" s="605">
        <f t="shared" si="535"/>
        <v>2942000</v>
      </c>
      <c r="Q646" s="605">
        <f t="shared" si="535"/>
        <v>1011000</v>
      </c>
      <c r="R646" s="605">
        <f t="shared" si="535"/>
        <v>1011000</v>
      </c>
      <c r="S646" s="606">
        <f t="shared" si="535"/>
        <v>2667000</v>
      </c>
      <c r="T646" s="606">
        <f t="shared" si="535"/>
        <v>2219000</v>
      </c>
      <c r="U646" s="606">
        <f t="shared" si="535"/>
        <v>188000</v>
      </c>
      <c r="V646" s="506">
        <f t="shared" si="498"/>
        <v>2667000</v>
      </c>
      <c r="W646" s="506">
        <f t="shared" si="499"/>
        <v>0</v>
      </c>
      <c r="X646" s="34"/>
      <c r="Y646" s="490"/>
      <c r="Z646" s="34"/>
      <c r="AA646" s="34"/>
      <c r="AB646" s="34"/>
      <c r="AH646" s="525"/>
      <c r="AI646" s="525"/>
      <c r="AJ646" s="525"/>
      <c r="AK646" s="525"/>
      <c r="AL646" s="525"/>
    </row>
    <row r="647" spans="1:38" s="2" customFormat="1" x14ac:dyDescent="0.3">
      <c r="A647" s="607">
        <v>422</v>
      </c>
      <c r="B647" s="119" t="s">
        <v>53</v>
      </c>
      <c r="C647" s="608">
        <f t="shared" ref="C647" si="536">SUM(C648:C653)</f>
        <v>661000</v>
      </c>
      <c r="D647" s="115"/>
      <c r="E647" s="115">
        <f t="shared" ref="E647:U647" si="537">SUM(E648:E653)</f>
        <v>0</v>
      </c>
      <c r="F647" s="609">
        <f t="shared" si="537"/>
        <v>1099000</v>
      </c>
      <c r="G647" s="609">
        <f t="shared" si="537"/>
        <v>1447000</v>
      </c>
      <c r="H647" s="609">
        <f t="shared" si="537"/>
        <v>365000</v>
      </c>
      <c r="I647" s="609">
        <f t="shared" si="537"/>
        <v>200000</v>
      </c>
      <c r="J647" s="609">
        <f t="shared" si="537"/>
        <v>0</v>
      </c>
      <c r="K647" s="609">
        <f t="shared" si="537"/>
        <v>0</v>
      </c>
      <c r="L647" s="609">
        <f t="shared" si="537"/>
        <v>0</v>
      </c>
      <c r="M647" s="609">
        <f t="shared" si="537"/>
        <v>165000</v>
      </c>
      <c r="N647" s="609">
        <f t="shared" si="537"/>
        <v>423000</v>
      </c>
      <c r="O647" s="609">
        <f t="shared" si="537"/>
        <v>323000</v>
      </c>
      <c r="P647" s="609">
        <f t="shared" si="537"/>
        <v>1927000</v>
      </c>
      <c r="Q647" s="609">
        <f t="shared" si="537"/>
        <v>627000</v>
      </c>
      <c r="R647" s="609">
        <f t="shared" si="537"/>
        <v>627000</v>
      </c>
      <c r="S647" s="609">
        <f t="shared" si="537"/>
        <v>1762000</v>
      </c>
      <c r="T647" s="609">
        <f t="shared" si="537"/>
        <v>1504000</v>
      </c>
      <c r="U647" s="609">
        <f t="shared" si="537"/>
        <v>304000</v>
      </c>
      <c r="V647" s="506">
        <f t="shared" si="498"/>
        <v>1762000</v>
      </c>
      <c r="W647" s="506">
        <f t="shared" si="499"/>
        <v>0</v>
      </c>
      <c r="X647" s="34"/>
      <c r="Y647" s="490"/>
      <c r="Z647" s="34"/>
      <c r="AA647" s="34"/>
      <c r="AB647" s="34"/>
      <c r="AH647" s="525"/>
      <c r="AI647" s="525"/>
      <c r="AJ647" s="525"/>
      <c r="AK647" s="525"/>
      <c r="AL647" s="525"/>
    </row>
    <row r="648" spans="1:38" s="2" customFormat="1" x14ac:dyDescent="0.3">
      <c r="A648" s="434">
        <v>4221</v>
      </c>
      <c r="B648" s="117" t="s">
        <v>54</v>
      </c>
      <c r="C648" s="598">
        <v>100000</v>
      </c>
      <c r="D648" s="112"/>
      <c r="E648" s="112">
        <v>0</v>
      </c>
      <c r="F648" s="380">
        <v>139000</v>
      </c>
      <c r="G648" s="380">
        <v>139000</v>
      </c>
      <c r="H648" s="380">
        <v>100000</v>
      </c>
      <c r="I648" s="380">
        <v>50000</v>
      </c>
      <c r="J648" s="380"/>
      <c r="K648" s="380"/>
      <c r="L648" s="112"/>
      <c r="M648" s="63">
        <f>H648-I648+J648-K648+L648</f>
        <v>50000</v>
      </c>
      <c r="N648" s="380">
        <v>10000</v>
      </c>
      <c r="O648" s="380">
        <v>10000</v>
      </c>
      <c r="P648" s="112">
        <v>100000</v>
      </c>
      <c r="Q648" s="112">
        <v>50000</v>
      </c>
      <c r="R648" s="112">
        <v>50000</v>
      </c>
      <c r="S648" s="70">
        <f t="shared" ref="S648:S653" si="538">P648-M648</f>
        <v>50000</v>
      </c>
      <c r="T648" s="70">
        <f t="shared" ref="T648:U653" si="539">P648-N648</f>
        <v>90000</v>
      </c>
      <c r="U648" s="70">
        <f t="shared" si="539"/>
        <v>40000</v>
      </c>
      <c r="V648" s="506">
        <f t="shared" si="498"/>
        <v>50000</v>
      </c>
      <c r="W648" s="506">
        <f t="shared" si="499"/>
        <v>0</v>
      </c>
      <c r="X648" s="34"/>
      <c r="Y648" s="490"/>
      <c r="Z648" s="34"/>
      <c r="AA648" s="34"/>
      <c r="AB648" s="34"/>
      <c r="AH648" s="525"/>
      <c r="AI648" s="525"/>
      <c r="AJ648" s="525"/>
      <c r="AK648" s="525"/>
      <c r="AL648" s="525"/>
    </row>
    <row r="649" spans="1:38" s="2" customFormat="1" x14ac:dyDescent="0.3">
      <c r="A649" s="434">
        <v>4222</v>
      </c>
      <c r="B649" s="117" t="s">
        <v>58</v>
      </c>
      <c r="C649" s="598">
        <v>149000</v>
      </c>
      <c r="D649" s="112"/>
      <c r="E649" s="112">
        <v>0</v>
      </c>
      <c r="F649" s="380">
        <v>249000</v>
      </c>
      <c r="G649" s="380">
        <v>498000</v>
      </c>
      <c r="H649" s="380">
        <v>100000</v>
      </c>
      <c r="I649" s="380">
        <v>50000</v>
      </c>
      <c r="J649" s="380"/>
      <c r="K649" s="380"/>
      <c r="L649" s="112"/>
      <c r="M649" s="63">
        <f>H649-I649+J649-K649+L649</f>
        <v>50000</v>
      </c>
      <c r="N649" s="380">
        <v>100000</v>
      </c>
      <c r="O649" s="380">
        <v>100000</v>
      </c>
      <c r="P649" s="112">
        <v>64000</v>
      </c>
      <c r="Q649" s="112">
        <v>64000</v>
      </c>
      <c r="R649" s="112">
        <v>64000</v>
      </c>
      <c r="S649" s="70">
        <f t="shared" si="538"/>
        <v>14000</v>
      </c>
      <c r="T649" s="70">
        <f t="shared" si="539"/>
        <v>-36000</v>
      </c>
      <c r="U649" s="70">
        <f t="shared" si="539"/>
        <v>-36000</v>
      </c>
      <c r="V649" s="506">
        <f t="shared" si="498"/>
        <v>14000</v>
      </c>
      <c r="W649" s="506">
        <f t="shared" si="499"/>
        <v>0</v>
      </c>
      <c r="X649" s="34"/>
      <c r="Y649" s="490"/>
      <c r="Z649" s="34"/>
      <c r="AA649" s="34"/>
      <c r="AB649" s="34"/>
      <c r="AH649" s="525"/>
      <c r="AI649" s="525"/>
      <c r="AJ649" s="525"/>
      <c r="AK649" s="525"/>
      <c r="AL649" s="525"/>
    </row>
    <row r="650" spans="1:38" s="2" customFormat="1" x14ac:dyDescent="0.3">
      <c r="A650" s="434">
        <v>4223</v>
      </c>
      <c r="B650" s="117" t="s">
        <v>59</v>
      </c>
      <c r="C650" s="598">
        <v>398000</v>
      </c>
      <c r="D650" s="112"/>
      <c r="E650" s="112">
        <v>0</v>
      </c>
      <c r="F650" s="380">
        <v>697000</v>
      </c>
      <c r="G650" s="380">
        <v>796000</v>
      </c>
      <c r="H650" s="380">
        <v>150000</v>
      </c>
      <c r="I650" s="380">
        <v>100000</v>
      </c>
      <c r="J650" s="380"/>
      <c r="K650" s="380"/>
      <c r="L650" s="112"/>
      <c r="M650" s="63">
        <f>H650-I650+J650-K650+L650</f>
        <v>50000</v>
      </c>
      <c r="N650" s="380">
        <v>200000</v>
      </c>
      <c r="O650" s="380"/>
      <c r="P650" s="112">
        <v>1000000</v>
      </c>
      <c r="Q650" s="112">
        <v>250000</v>
      </c>
      <c r="R650" s="112">
        <v>250000</v>
      </c>
      <c r="S650" s="70">
        <f t="shared" si="538"/>
        <v>950000</v>
      </c>
      <c r="T650" s="70">
        <f t="shared" si="539"/>
        <v>800000</v>
      </c>
      <c r="U650" s="70">
        <f t="shared" si="539"/>
        <v>250000</v>
      </c>
      <c r="V650" s="506">
        <f t="shared" si="498"/>
        <v>950000</v>
      </c>
      <c r="W650" s="506">
        <f t="shared" si="499"/>
        <v>0</v>
      </c>
      <c r="X650" s="34"/>
      <c r="Y650" s="490"/>
      <c r="Z650" s="34"/>
      <c r="AA650" s="34"/>
      <c r="AB650" s="34"/>
      <c r="AH650" s="525"/>
      <c r="AI650" s="525"/>
      <c r="AJ650" s="525"/>
      <c r="AK650" s="525"/>
      <c r="AL650" s="525"/>
    </row>
    <row r="651" spans="1:38" s="4" customFormat="1" x14ac:dyDescent="0.3">
      <c r="A651" s="434">
        <v>4224</v>
      </c>
      <c r="B651" s="117" t="s">
        <v>283</v>
      </c>
      <c r="C651" s="108">
        <v>1000</v>
      </c>
      <c r="D651" s="102"/>
      <c r="E651" s="102">
        <v>0</v>
      </c>
      <c r="F651" s="109">
        <v>1000</v>
      </c>
      <c r="G651" s="109">
        <v>1000</v>
      </c>
      <c r="H651" s="109"/>
      <c r="I651" s="109"/>
      <c r="J651" s="109"/>
      <c r="K651" s="102"/>
      <c r="L651" s="102"/>
      <c r="M651" s="63"/>
      <c r="N651" s="109"/>
      <c r="O651" s="109"/>
      <c r="P651" s="102">
        <v>750000</v>
      </c>
      <c r="Q651" s="102">
        <v>250000</v>
      </c>
      <c r="R651" s="102">
        <v>250000</v>
      </c>
      <c r="S651" s="70">
        <f t="shared" si="538"/>
        <v>750000</v>
      </c>
      <c r="T651" s="70">
        <f t="shared" si="539"/>
        <v>750000</v>
      </c>
      <c r="U651" s="70">
        <f t="shared" si="539"/>
        <v>250000</v>
      </c>
      <c r="V651" s="506">
        <f t="shared" ref="V651:V714" si="540">P651-M651</f>
        <v>750000</v>
      </c>
      <c r="W651" s="506">
        <f t="shared" ref="W651:W714" si="541">S651-V651</f>
        <v>0</v>
      </c>
      <c r="X651" s="31"/>
      <c r="Y651" s="486"/>
      <c r="Z651" s="31"/>
      <c r="AA651" s="31"/>
      <c r="AB651" s="31"/>
      <c r="AH651" s="457"/>
      <c r="AI651" s="457"/>
      <c r="AJ651" s="457"/>
      <c r="AK651" s="457"/>
      <c r="AL651" s="457"/>
    </row>
    <row r="652" spans="1:38" s="2" customFormat="1" hidden="1" x14ac:dyDescent="0.3">
      <c r="A652" s="434">
        <v>4226</v>
      </c>
      <c r="B652" s="117" t="s">
        <v>384</v>
      </c>
      <c r="C652" s="598"/>
      <c r="D652" s="112"/>
      <c r="E652" s="112">
        <v>0</v>
      </c>
      <c r="F652" s="380"/>
      <c r="G652" s="380"/>
      <c r="H652" s="380"/>
      <c r="I652" s="380"/>
      <c r="J652" s="380"/>
      <c r="K652" s="112"/>
      <c r="L652" s="112"/>
      <c r="M652" s="63"/>
      <c r="N652" s="380">
        <v>13000</v>
      </c>
      <c r="O652" s="380">
        <v>13000</v>
      </c>
      <c r="P652" s="112"/>
      <c r="Q652" s="112"/>
      <c r="R652" s="112"/>
      <c r="S652" s="70">
        <f t="shared" si="538"/>
        <v>0</v>
      </c>
      <c r="T652" s="70">
        <f t="shared" si="539"/>
        <v>-13000</v>
      </c>
      <c r="U652" s="70">
        <f t="shared" si="539"/>
        <v>-13000</v>
      </c>
      <c r="V652" s="506">
        <f t="shared" si="540"/>
        <v>0</v>
      </c>
      <c r="W652" s="506">
        <f t="shared" si="541"/>
        <v>0</v>
      </c>
      <c r="X652" s="34"/>
      <c r="Y652" s="490"/>
      <c r="Z652" s="34"/>
      <c r="AA652" s="34"/>
      <c r="AB652" s="34"/>
      <c r="AH652" s="525"/>
      <c r="AI652" s="525"/>
      <c r="AJ652" s="525"/>
      <c r="AK652" s="525"/>
      <c r="AL652" s="525"/>
    </row>
    <row r="653" spans="1:38" s="2" customFormat="1" x14ac:dyDescent="0.3">
      <c r="A653" s="434">
        <v>4227</v>
      </c>
      <c r="B653" s="117" t="s">
        <v>60</v>
      </c>
      <c r="C653" s="598">
        <v>13000</v>
      </c>
      <c r="D653" s="112"/>
      <c r="E653" s="112">
        <v>0</v>
      </c>
      <c r="F653" s="380">
        <v>13000</v>
      </c>
      <c r="G653" s="380">
        <v>13000</v>
      </c>
      <c r="H653" s="380">
        <v>15000</v>
      </c>
      <c r="I653" s="380"/>
      <c r="J653" s="380"/>
      <c r="K653" s="112"/>
      <c r="L653" s="112"/>
      <c r="M653" s="63">
        <f>H653-I653+J653-K653+L653</f>
        <v>15000</v>
      </c>
      <c r="N653" s="380">
        <f>200000-100000</f>
        <v>100000</v>
      </c>
      <c r="O653" s="380">
        <v>200000</v>
      </c>
      <c r="P653" s="112">
        <v>13000</v>
      </c>
      <c r="Q653" s="112">
        <v>13000</v>
      </c>
      <c r="R653" s="112">
        <v>13000</v>
      </c>
      <c r="S653" s="70">
        <f t="shared" si="538"/>
        <v>-2000</v>
      </c>
      <c r="T653" s="70">
        <f t="shared" si="539"/>
        <v>-87000</v>
      </c>
      <c r="U653" s="70">
        <f t="shared" si="539"/>
        <v>-187000</v>
      </c>
      <c r="V653" s="506">
        <f t="shared" si="540"/>
        <v>-2000</v>
      </c>
      <c r="W653" s="506">
        <f t="shared" si="541"/>
        <v>0</v>
      </c>
      <c r="X653" s="34"/>
      <c r="Y653" s="490"/>
      <c r="Z653" s="34"/>
      <c r="AA653" s="34"/>
      <c r="AB653" s="34"/>
      <c r="AH653" s="525"/>
      <c r="AI653" s="525"/>
      <c r="AJ653" s="525"/>
      <c r="AK653" s="525"/>
      <c r="AL653" s="525"/>
    </row>
    <row r="654" spans="1:38" s="2" customFormat="1" x14ac:dyDescent="0.3">
      <c r="A654" s="607">
        <v>423</v>
      </c>
      <c r="B654" s="119" t="s">
        <v>61</v>
      </c>
      <c r="C654" s="608">
        <f>SUM(C655:C656)</f>
        <v>199000</v>
      </c>
      <c r="D654" s="115"/>
      <c r="E654" s="115">
        <f t="shared" ref="E654:U654" si="542">SUM(E655:E656)</f>
        <v>0</v>
      </c>
      <c r="F654" s="115">
        <f t="shared" si="542"/>
        <v>199000</v>
      </c>
      <c r="G654" s="115">
        <f t="shared" si="542"/>
        <v>199000</v>
      </c>
      <c r="H654" s="115">
        <f t="shared" si="542"/>
        <v>200000</v>
      </c>
      <c r="I654" s="115">
        <f t="shared" si="542"/>
        <v>200000</v>
      </c>
      <c r="J654" s="115">
        <f t="shared" si="542"/>
        <v>0</v>
      </c>
      <c r="K654" s="115">
        <f t="shared" si="542"/>
        <v>0</v>
      </c>
      <c r="L654" s="115">
        <f t="shared" si="542"/>
        <v>0</v>
      </c>
      <c r="M654" s="115">
        <f t="shared" si="542"/>
        <v>0</v>
      </c>
      <c r="N654" s="115">
        <f t="shared" si="542"/>
        <v>100000</v>
      </c>
      <c r="O654" s="115">
        <f t="shared" si="542"/>
        <v>300000</v>
      </c>
      <c r="P654" s="115">
        <f t="shared" si="542"/>
        <v>540000</v>
      </c>
      <c r="Q654" s="115">
        <f t="shared" si="542"/>
        <v>64000</v>
      </c>
      <c r="R654" s="115">
        <f t="shared" si="542"/>
        <v>64000</v>
      </c>
      <c r="S654" s="115">
        <f t="shared" si="542"/>
        <v>540000</v>
      </c>
      <c r="T654" s="115">
        <f t="shared" si="542"/>
        <v>440000</v>
      </c>
      <c r="U654" s="115">
        <f t="shared" si="542"/>
        <v>-236000</v>
      </c>
      <c r="V654" s="506">
        <f t="shared" si="540"/>
        <v>540000</v>
      </c>
      <c r="W654" s="506">
        <f t="shared" si="541"/>
        <v>0</v>
      </c>
      <c r="X654" s="34"/>
      <c r="Y654" s="490"/>
      <c r="Z654" s="34"/>
      <c r="AA654" s="34"/>
      <c r="AB654" s="34"/>
      <c r="AH654" s="525"/>
      <c r="AI654" s="525"/>
      <c r="AJ654" s="525"/>
      <c r="AK654" s="525"/>
      <c r="AL654" s="525"/>
    </row>
    <row r="655" spans="1:38" s="2" customFormat="1" ht="12.6" customHeight="1" x14ac:dyDescent="0.3">
      <c r="A655" s="434">
        <v>4231</v>
      </c>
      <c r="B655" s="117" t="s">
        <v>62</v>
      </c>
      <c r="C655" s="598">
        <v>199000</v>
      </c>
      <c r="D655" s="112"/>
      <c r="E655" s="112">
        <v>0</v>
      </c>
      <c r="F655" s="380">
        <v>199000</v>
      </c>
      <c r="G655" s="380">
        <v>199000</v>
      </c>
      <c r="H655" s="380">
        <v>200000</v>
      </c>
      <c r="I655" s="380">
        <v>200000</v>
      </c>
      <c r="J655" s="380"/>
      <c r="K655" s="380"/>
      <c r="L655" s="112"/>
      <c r="M655" s="63">
        <f>H655-I655+J655-K655+L655</f>
        <v>0</v>
      </c>
      <c r="N655" s="380"/>
      <c r="O655" s="380"/>
      <c r="P655" s="112">
        <v>540000</v>
      </c>
      <c r="Q655" s="112">
        <v>64000</v>
      </c>
      <c r="R655" s="112">
        <v>64000</v>
      </c>
      <c r="S655" s="70">
        <f>P655-M655</f>
        <v>540000</v>
      </c>
      <c r="T655" s="70">
        <f>P655-N655</f>
        <v>540000</v>
      </c>
      <c r="U655" s="70">
        <f>Q655-O655</f>
        <v>64000</v>
      </c>
      <c r="V655" s="506">
        <f t="shared" si="540"/>
        <v>540000</v>
      </c>
      <c r="W655" s="506">
        <f t="shared" si="541"/>
        <v>0</v>
      </c>
      <c r="X655" s="34"/>
      <c r="Y655" s="490"/>
      <c r="Z655" s="34"/>
      <c r="AA655" s="34"/>
      <c r="AB655" s="34"/>
      <c r="AH655" s="525"/>
      <c r="AI655" s="525"/>
      <c r="AJ655" s="525"/>
      <c r="AK655" s="525"/>
      <c r="AL655" s="525"/>
    </row>
    <row r="656" spans="1:38" s="2" customFormat="1" ht="13.05" hidden="1" x14ac:dyDescent="0.3">
      <c r="A656" s="434">
        <v>4233</v>
      </c>
      <c r="B656" s="117" t="s">
        <v>227</v>
      </c>
      <c r="C656" s="598"/>
      <c r="D656" s="112"/>
      <c r="E656" s="112"/>
      <c r="F656" s="380"/>
      <c r="G656" s="380"/>
      <c r="H656" s="380"/>
      <c r="I656" s="380"/>
      <c r="J656" s="380"/>
      <c r="K656" s="112"/>
      <c r="L656" s="112"/>
      <c r="M656" s="63"/>
      <c r="N656" s="380">
        <v>100000</v>
      </c>
      <c r="O656" s="380">
        <v>300000</v>
      </c>
      <c r="P656" s="112"/>
      <c r="Q656" s="112"/>
      <c r="R656" s="112"/>
      <c r="S656" s="70">
        <f>P656-M656</f>
        <v>0</v>
      </c>
      <c r="T656" s="70">
        <f>P656-N656</f>
        <v>-100000</v>
      </c>
      <c r="U656" s="70">
        <f>Q656-O656</f>
        <v>-300000</v>
      </c>
      <c r="V656" s="506">
        <f t="shared" si="540"/>
        <v>0</v>
      </c>
      <c r="W656" s="506">
        <f t="shared" si="541"/>
        <v>0</v>
      </c>
      <c r="X656" s="34"/>
      <c r="Y656" s="490"/>
      <c r="Z656" s="34"/>
      <c r="AA656" s="34"/>
      <c r="AB656" s="34"/>
      <c r="AH656" s="525"/>
      <c r="AI656" s="525"/>
      <c r="AJ656" s="525"/>
      <c r="AK656" s="525"/>
      <c r="AL656" s="525"/>
    </row>
    <row r="657" spans="1:38" x14ac:dyDescent="0.3">
      <c r="A657" s="607">
        <v>426</v>
      </c>
      <c r="B657" s="119" t="s">
        <v>73</v>
      </c>
      <c r="C657" s="559">
        <f t="shared" ref="C657:U657" si="543">SUM(C658)</f>
        <v>299000</v>
      </c>
      <c r="D657" s="79"/>
      <c r="E657" s="79">
        <f t="shared" si="543"/>
        <v>0</v>
      </c>
      <c r="F657" s="369">
        <f t="shared" si="543"/>
        <v>299000</v>
      </c>
      <c r="G657" s="369">
        <f t="shared" si="543"/>
        <v>299000</v>
      </c>
      <c r="H657" s="369">
        <f t="shared" si="543"/>
        <v>500000</v>
      </c>
      <c r="I657" s="369">
        <f t="shared" si="543"/>
        <v>390000</v>
      </c>
      <c r="J657" s="369">
        <f t="shared" si="543"/>
        <v>0</v>
      </c>
      <c r="K657" s="369">
        <f t="shared" si="543"/>
        <v>0</v>
      </c>
      <c r="L657" s="369">
        <f t="shared" si="543"/>
        <v>0</v>
      </c>
      <c r="M657" s="369">
        <f t="shared" si="543"/>
        <v>110000</v>
      </c>
      <c r="N657" s="369">
        <f t="shared" si="543"/>
        <v>200000</v>
      </c>
      <c r="O657" s="369">
        <f t="shared" si="543"/>
        <v>200000</v>
      </c>
      <c r="P657" s="369">
        <f t="shared" si="543"/>
        <v>475000</v>
      </c>
      <c r="Q657" s="369">
        <f t="shared" si="543"/>
        <v>320000</v>
      </c>
      <c r="R657" s="369">
        <f t="shared" si="543"/>
        <v>320000</v>
      </c>
      <c r="S657" s="369">
        <f t="shared" si="543"/>
        <v>365000</v>
      </c>
      <c r="T657" s="369">
        <f t="shared" si="543"/>
        <v>275000</v>
      </c>
      <c r="U657" s="369">
        <f t="shared" si="543"/>
        <v>120000</v>
      </c>
      <c r="V657" s="506">
        <f t="shared" si="540"/>
        <v>365000</v>
      </c>
      <c r="W657" s="506">
        <f t="shared" si="541"/>
        <v>0</v>
      </c>
      <c r="X657" s="31"/>
      <c r="Y657" s="486"/>
      <c r="Z657" s="31"/>
      <c r="AA657" s="31"/>
      <c r="AB657" s="31"/>
    </row>
    <row r="658" spans="1:38" s="4" customFormat="1" x14ac:dyDescent="0.3">
      <c r="A658" s="434">
        <v>4262</v>
      </c>
      <c r="B658" s="117" t="s">
        <v>88</v>
      </c>
      <c r="C658" s="108">
        <v>299000</v>
      </c>
      <c r="D658" s="102"/>
      <c r="E658" s="102">
        <v>0</v>
      </c>
      <c r="F658" s="102">
        <v>299000</v>
      </c>
      <c r="G658" s="102">
        <v>299000</v>
      </c>
      <c r="H658" s="102">
        <v>500000</v>
      </c>
      <c r="I658" s="102">
        <v>390000</v>
      </c>
      <c r="J658" s="102"/>
      <c r="K658" s="102"/>
      <c r="L658" s="102"/>
      <c r="M658" s="63">
        <f>H658-I658+J658-K658+L658</f>
        <v>110000</v>
      </c>
      <c r="N658" s="102">
        <v>200000</v>
      </c>
      <c r="O658" s="102">
        <v>200000</v>
      </c>
      <c r="P658" s="102">
        <v>475000</v>
      </c>
      <c r="Q658" s="102">
        <v>320000</v>
      </c>
      <c r="R658" s="102">
        <v>320000</v>
      </c>
      <c r="S658" s="70">
        <f>P658-M658</f>
        <v>365000</v>
      </c>
      <c r="T658" s="70">
        <f>P658-N658</f>
        <v>275000</v>
      </c>
      <c r="U658" s="70">
        <f>Q658-O658</f>
        <v>120000</v>
      </c>
      <c r="V658" s="506">
        <f t="shared" si="540"/>
        <v>365000</v>
      </c>
      <c r="W658" s="506">
        <f t="shared" si="541"/>
        <v>0</v>
      </c>
      <c r="X658" s="31"/>
      <c r="Y658" s="486"/>
      <c r="Z658" s="31"/>
      <c r="AA658" s="31"/>
      <c r="AB658" s="31"/>
      <c r="AH658" s="457"/>
      <c r="AI658" s="457"/>
      <c r="AJ658" s="457"/>
      <c r="AK658" s="457"/>
      <c r="AL658" s="457"/>
    </row>
    <row r="659" spans="1:38" ht="26.4" x14ac:dyDescent="0.3">
      <c r="A659" s="144">
        <v>45</v>
      </c>
      <c r="B659" s="145" t="s">
        <v>329</v>
      </c>
      <c r="C659" s="599">
        <f t="shared" ref="C659:U660" si="544">SUM(C660)</f>
        <v>50000</v>
      </c>
      <c r="D659" s="148"/>
      <c r="E659" s="148">
        <f t="shared" si="544"/>
        <v>0</v>
      </c>
      <c r="F659" s="381">
        <f t="shared" si="544"/>
        <v>185000</v>
      </c>
      <c r="G659" s="381">
        <f t="shared" si="544"/>
        <v>185000</v>
      </c>
      <c r="H659" s="381">
        <f t="shared" si="544"/>
        <v>500000</v>
      </c>
      <c r="I659" s="381">
        <f t="shared" si="544"/>
        <v>500000</v>
      </c>
      <c r="J659" s="381">
        <f t="shared" si="544"/>
        <v>0</v>
      </c>
      <c r="K659" s="381">
        <f t="shared" si="544"/>
        <v>0</v>
      </c>
      <c r="L659" s="381">
        <f t="shared" si="544"/>
        <v>0</v>
      </c>
      <c r="M659" s="381">
        <f t="shared" si="544"/>
        <v>0</v>
      </c>
      <c r="N659" s="381">
        <f t="shared" si="544"/>
        <v>200000</v>
      </c>
      <c r="O659" s="381">
        <f t="shared" si="544"/>
        <v>800000</v>
      </c>
      <c r="P659" s="381">
        <f t="shared" si="544"/>
        <v>650000</v>
      </c>
      <c r="Q659" s="381">
        <f t="shared" si="544"/>
        <v>650000</v>
      </c>
      <c r="R659" s="381">
        <f t="shared" si="544"/>
        <v>650000</v>
      </c>
      <c r="S659" s="600">
        <f t="shared" si="544"/>
        <v>650000</v>
      </c>
      <c r="T659" s="600">
        <f t="shared" si="544"/>
        <v>450000</v>
      </c>
      <c r="U659" s="600">
        <f t="shared" si="544"/>
        <v>-150000</v>
      </c>
      <c r="V659" s="506">
        <f t="shared" si="540"/>
        <v>650000</v>
      </c>
      <c r="W659" s="506">
        <f t="shared" si="541"/>
        <v>0</v>
      </c>
      <c r="X659" s="31"/>
      <c r="Y659" s="486"/>
      <c r="Z659" s="31"/>
      <c r="AA659" s="31"/>
      <c r="AB659" s="31"/>
    </row>
    <row r="660" spans="1:38" x14ac:dyDescent="0.3">
      <c r="A660" s="607">
        <v>451</v>
      </c>
      <c r="B660" s="119" t="s">
        <v>55</v>
      </c>
      <c r="C660" s="559">
        <f t="shared" si="544"/>
        <v>50000</v>
      </c>
      <c r="D660" s="79"/>
      <c r="E660" s="79">
        <f t="shared" si="544"/>
        <v>0</v>
      </c>
      <c r="F660" s="369">
        <f t="shared" si="544"/>
        <v>185000</v>
      </c>
      <c r="G660" s="369">
        <f t="shared" si="544"/>
        <v>185000</v>
      </c>
      <c r="H660" s="369">
        <f t="shared" si="544"/>
        <v>500000</v>
      </c>
      <c r="I660" s="369">
        <f t="shared" si="544"/>
        <v>500000</v>
      </c>
      <c r="J660" s="369">
        <f t="shared" si="544"/>
        <v>0</v>
      </c>
      <c r="K660" s="369">
        <f t="shared" si="544"/>
        <v>0</v>
      </c>
      <c r="L660" s="369">
        <f t="shared" si="544"/>
        <v>0</v>
      </c>
      <c r="M660" s="369">
        <f t="shared" si="544"/>
        <v>0</v>
      </c>
      <c r="N660" s="369">
        <f t="shared" si="544"/>
        <v>200000</v>
      </c>
      <c r="O660" s="369">
        <f t="shared" si="544"/>
        <v>800000</v>
      </c>
      <c r="P660" s="369">
        <f t="shared" si="544"/>
        <v>650000</v>
      </c>
      <c r="Q660" s="369">
        <f t="shared" si="544"/>
        <v>650000</v>
      </c>
      <c r="R660" s="369">
        <f t="shared" si="544"/>
        <v>650000</v>
      </c>
      <c r="S660" s="369">
        <f t="shared" si="544"/>
        <v>650000</v>
      </c>
      <c r="T660" s="369">
        <f t="shared" si="544"/>
        <v>450000</v>
      </c>
      <c r="U660" s="369">
        <f t="shared" si="544"/>
        <v>-150000</v>
      </c>
      <c r="V660" s="506">
        <f t="shared" si="540"/>
        <v>650000</v>
      </c>
      <c r="W660" s="506">
        <f t="shared" si="541"/>
        <v>0</v>
      </c>
      <c r="X660" s="31"/>
      <c r="Y660" s="486"/>
      <c r="Z660" s="31"/>
      <c r="AA660" s="31"/>
      <c r="AB660" s="31"/>
    </row>
    <row r="661" spans="1:38" s="4" customFormat="1" x14ac:dyDescent="0.3">
      <c r="A661" s="434">
        <v>4511</v>
      </c>
      <c r="B661" s="117" t="s">
        <v>55</v>
      </c>
      <c r="C661" s="108">
        <v>50000</v>
      </c>
      <c r="D661" s="102"/>
      <c r="E661" s="102">
        <v>0</v>
      </c>
      <c r="F661" s="109">
        <v>185000</v>
      </c>
      <c r="G661" s="109">
        <v>185000</v>
      </c>
      <c r="H661" s="109">
        <v>500000</v>
      </c>
      <c r="I661" s="109">
        <v>500000</v>
      </c>
      <c r="J661" s="109"/>
      <c r="K661" s="109"/>
      <c r="L661" s="102"/>
      <c r="M661" s="63">
        <f>H661-I661+J661-K661+L661</f>
        <v>0</v>
      </c>
      <c r="N661" s="109">
        <f>800000-600000</f>
        <v>200000</v>
      </c>
      <c r="O661" s="109">
        <v>800000</v>
      </c>
      <c r="P661" s="102">
        <v>650000</v>
      </c>
      <c r="Q661" s="102">
        <v>650000</v>
      </c>
      <c r="R661" s="102">
        <v>650000</v>
      </c>
      <c r="S661" s="70">
        <f>P661-M661</f>
        <v>650000</v>
      </c>
      <c r="T661" s="70">
        <f>P661-N661</f>
        <v>450000</v>
      </c>
      <c r="U661" s="70">
        <f>Q661-O661</f>
        <v>-150000</v>
      </c>
      <c r="V661" s="506">
        <f t="shared" si="540"/>
        <v>650000</v>
      </c>
      <c r="W661" s="506">
        <f t="shared" si="541"/>
        <v>0</v>
      </c>
      <c r="X661" s="31"/>
      <c r="Y661" s="486"/>
      <c r="Z661" s="31"/>
      <c r="AA661" s="31"/>
      <c r="AB661" s="31"/>
      <c r="AH661" s="457"/>
      <c r="AI661" s="457"/>
      <c r="AJ661" s="457"/>
      <c r="AK661" s="457"/>
      <c r="AL661" s="457"/>
    </row>
    <row r="662" spans="1:38" ht="27.75" customHeight="1" x14ac:dyDescent="0.3">
      <c r="A662" s="579" t="s">
        <v>341</v>
      </c>
      <c r="B662" s="580" t="s">
        <v>385</v>
      </c>
      <c r="C662" s="581">
        <f t="shared" ref="C662:U662" si="545">C663</f>
        <v>7685000</v>
      </c>
      <c r="D662" s="99"/>
      <c r="E662" s="99">
        <f t="shared" si="545"/>
        <v>7761900</v>
      </c>
      <c r="F662" s="373">
        <f t="shared" si="545"/>
        <v>7685000</v>
      </c>
      <c r="G662" s="373">
        <f t="shared" si="545"/>
        <v>7685000</v>
      </c>
      <c r="H662" s="373">
        <f t="shared" si="545"/>
        <v>6500000</v>
      </c>
      <c r="I662" s="373">
        <f t="shared" si="545"/>
        <v>0</v>
      </c>
      <c r="J662" s="373">
        <f t="shared" si="545"/>
        <v>7500000</v>
      </c>
      <c r="K662" s="373">
        <f t="shared" si="545"/>
        <v>0</v>
      </c>
      <c r="L662" s="373">
        <f t="shared" si="545"/>
        <v>0</v>
      </c>
      <c r="M662" s="373">
        <f t="shared" si="545"/>
        <v>14000000</v>
      </c>
      <c r="N662" s="373">
        <f t="shared" si="545"/>
        <v>16260000</v>
      </c>
      <c r="O662" s="373">
        <f t="shared" si="545"/>
        <v>3000000</v>
      </c>
      <c r="P662" s="373">
        <f t="shared" si="545"/>
        <v>16303000</v>
      </c>
      <c r="Q662" s="373">
        <f t="shared" si="545"/>
        <v>3045500</v>
      </c>
      <c r="R662" s="373">
        <f t="shared" si="545"/>
        <v>0</v>
      </c>
      <c r="S662" s="373">
        <f t="shared" si="545"/>
        <v>2303000</v>
      </c>
      <c r="T662" s="373">
        <f t="shared" si="545"/>
        <v>43000</v>
      </c>
      <c r="U662" s="373">
        <f t="shared" si="545"/>
        <v>16000</v>
      </c>
      <c r="V662" s="506">
        <f t="shared" si="540"/>
        <v>2303000</v>
      </c>
      <c r="W662" s="506">
        <f t="shared" si="541"/>
        <v>0</v>
      </c>
      <c r="X662" s="31"/>
      <c r="Y662" s="486"/>
      <c r="Z662" s="31"/>
      <c r="AA662" s="31"/>
      <c r="AB662" s="31"/>
      <c r="AD662" s="512"/>
    </row>
    <row r="663" spans="1:38" x14ac:dyDescent="0.3">
      <c r="A663" s="693" t="s">
        <v>77</v>
      </c>
      <c r="B663" s="694"/>
      <c r="C663" s="582">
        <f>SUM(C667)</f>
        <v>7685000</v>
      </c>
      <c r="D663" s="100"/>
      <c r="E663" s="100">
        <f t="shared" ref="E663:G663" si="546">SUM(E667)</f>
        <v>7761900</v>
      </c>
      <c r="F663" s="374">
        <f t="shared" si="546"/>
        <v>7685000</v>
      </c>
      <c r="G663" s="374">
        <f t="shared" si="546"/>
        <v>7685000</v>
      </c>
      <c r="H663" s="374">
        <f>SUM(H664,H667,H673)</f>
        <v>6500000</v>
      </c>
      <c r="I663" s="374">
        <f t="shared" ref="I663:U663" si="547">SUM(I664,I667,I673)</f>
        <v>0</v>
      </c>
      <c r="J663" s="374">
        <f t="shared" si="547"/>
        <v>7500000</v>
      </c>
      <c r="K663" s="374">
        <f t="shared" si="547"/>
        <v>0</v>
      </c>
      <c r="L663" s="374">
        <f t="shared" si="547"/>
        <v>0</v>
      </c>
      <c r="M663" s="374">
        <f t="shared" si="547"/>
        <v>14000000</v>
      </c>
      <c r="N663" s="374">
        <f t="shared" si="547"/>
        <v>16260000</v>
      </c>
      <c r="O663" s="374">
        <f t="shared" si="547"/>
        <v>3000000</v>
      </c>
      <c r="P663" s="374">
        <f t="shared" si="547"/>
        <v>16303000</v>
      </c>
      <c r="Q663" s="374">
        <f t="shared" si="547"/>
        <v>3045500</v>
      </c>
      <c r="R663" s="374">
        <f t="shared" si="547"/>
        <v>0</v>
      </c>
      <c r="S663" s="374">
        <f t="shared" si="547"/>
        <v>2303000</v>
      </c>
      <c r="T663" s="374">
        <f t="shared" si="547"/>
        <v>43000</v>
      </c>
      <c r="U663" s="374">
        <f t="shared" si="547"/>
        <v>16000</v>
      </c>
      <c r="V663" s="506">
        <f t="shared" si="540"/>
        <v>2303000</v>
      </c>
      <c r="W663" s="506">
        <f t="shared" si="541"/>
        <v>0</v>
      </c>
      <c r="X663" s="31"/>
      <c r="Y663" s="486"/>
      <c r="Z663" s="31"/>
      <c r="AA663" s="31"/>
      <c r="AB663" s="31"/>
      <c r="AD663" s="695"/>
    </row>
    <row r="664" spans="1:38" x14ac:dyDescent="0.3">
      <c r="A664" s="540" t="s">
        <v>315</v>
      </c>
      <c r="B664" s="145" t="s">
        <v>316</v>
      </c>
      <c r="C664" s="146">
        <f>SUM(C665)</f>
        <v>8000</v>
      </c>
      <c r="D664" s="142"/>
      <c r="E664" s="142">
        <f t="shared" ref="E664:U665" si="548">SUM(E665)</f>
        <v>3200</v>
      </c>
      <c r="F664" s="147">
        <f t="shared" si="548"/>
        <v>0</v>
      </c>
      <c r="G664" s="147">
        <f t="shared" si="548"/>
        <v>0</v>
      </c>
      <c r="H664" s="147">
        <f t="shared" si="548"/>
        <v>0</v>
      </c>
      <c r="I664" s="147">
        <f t="shared" si="548"/>
        <v>0</v>
      </c>
      <c r="J664" s="147">
        <f>SUM(J665)</f>
        <v>65000</v>
      </c>
      <c r="K664" s="147">
        <f t="shared" ref="K664:L665" si="549">SUM(K665)</f>
        <v>0</v>
      </c>
      <c r="L664" s="147">
        <f t="shared" si="549"/>
        <v>0</v>
      </c>
      <c r="M664" s="147">
        <f t="shared" si="548"/>
        <v>65000</v>
      </c>
      <c r="N664" s="147">
        <f t="shared" si="548"/>
        <v>0</v>
      </c>
      <c r="O664" s="147">
        <f t="shared" si="548"/>
        <v>0</v>
      </c>
      <c r="P664" s="147">
        <f t="shared" si="548"/>
        <v>29000</v>
      </c>
      <c r="Q664" s="147">
        <f t="shared" si="548"/>
        <v>29000</v>
      </c>
      <c r="R664" s="147">
        <f t="shared" si="548"/>
        <v>0</v>
      </c>
      <c r="S664" s="87">
        <f>SUM(S665)</f>
        <v>-36000</v>
      </c>
      <c r="T664" s="87">
        <f t="shared" si="548"/>
        <v>29000</v>
      </c>
      <c r="U664" s="87">
        <f t="shared" si="548"/>
        <v>0</v>
      </c>
      <c r="V664" s="506">
        <f t="shared" si="540"/>
        <v>-36000</v>
      </c>
      <c r="W664" s="506">
        <f t="shared" si="541"/>
        <v>0</v>
      </c>
      <c r="X664" s="31"/>
      <c r="Y664" s="486"/>
      <c r="Z664" s="31"/>
      <c r="AA664" s="31"/>
      <c r="AB664" s="31"/>
      <c r="AD664" s="696"/>
    </row>
    <row r="665" spans="1:38" x14ac:dyDescent="0.3">
      <c r="A665" s="557" t="s">
        <v>143</v>
      </c>
      <c r="B665" s="558" t="s">
        <v>220</v>
      </c>
      <c r="C665" s="559">
        <f t="shared" ref="C665:U665" si="550">C666</f>
        <v>8000</v>
      </c>
      <c r="D665" s="79"/>
      <c r="E665" s="79">
        <f t="shared" si="550"/>
        <v>3200</v>
      </c>
      <c r="F665" s="369">
        <f t="shared" si="550"/>
        <v>0</v>
      </c>
      <c r="G665" s="369">
        <f t="shared" si="550"/>
        <v>0</v>
      </c>
      <c r="H665" s="369">
        <f t="shared" si="550"/>
        <v>0</v>
      </c>
      <c r="I665" s="369">
        <f t="shared" si="550"/>
        <v>0</v>
      </c>
      <c r="J665" s="369">
        <f>SUM(J666)</f>
        <v>65000</v>
      </c>
      <c r="K665" s="369">
        <f t="shared" si="549"/>
        <v>0</v>
      </c>
      <c r="L665" s="369">
        <f t="shared" si="549"/>
        <v>0</v>
      </c>
      <c r="M665" s="369">
        <f t="shared" si="548"/>
        <v>65000</v>
      </c>
      <c r="N665" s="369">
        <f t="shared" si="550"/>
        <v>0</v>
      </c>
      <c r="O665" s="369">
        <f t="shared" si="550"/>
        <v>0</v>
      </c>
      <c r="P665" s="369">
        <f t="shared" si="550"/>
        <v>29000</v>
      </c>
      <c r="Q665" s="369">
        <f t="shared" si="550"/>
        <v>29000</v>
      </c>
      <c r="R665" s="369">
        <f t="shared" si="550"/>
        <v>0</v>
      </c>
      <c r="S665" s="369">
        <f t="shared" si="550"/>
        <v>-36000</v>
      </c>
      <c r="T665" s="369">
        <f t="shared" si="550"/>
        <v>29000</v>
      </c>
      <c r="U665" s="369">
        <f t="shared" si="550"/>
        <v>0</v>
      </c>
      <c r="V665" s="506">
        <f t="shared" si="540"/>
        <v>-36000</v>
      </c>
      <c r="W665" s="506">
        <f t="shared" si="541"/>
        <v>0</v>
      </c>
      <c r="X665" s="31"/>
      <c r="Y665" s="486"/>
      <c r="Z665" s="31"/>
      <c r="AA665" s="31"/>
      <c r="AB665" s="31"/>
      <c r="AD665" s="696"/>
    </row>
    <row r="666" spans="1:38" x14ac:dyDescent="0.3">
      <c r="A666" s="130" t="s">
        <v>144</v>
      </c>
      <c r="B666" s="107" t="s">
        <v>5</v>
      </c>
      <c r="C666" s="560">
        <v>8000</v>
      </c>
      <c r="D666" s="81"/>
      <c r="E666" s="81">
        <v>3200</v>
      </c>
      <c r="F666" s="370"/>
      <c r="G666" s="370"/>
      <c r="H666" s="370"/>
      <c r="I666" s="370"/>
      <c r="J666" s="370">
        <v>65000</v>
      </c>
      <c r="K666" s="81"/>
      <c r="L666" s="81"/>
      <c r="M666" s="63">
        <f>H666-I666+J666-K666+L666</f>
        <v>65000</v>
      </c>
      <c r="N666" s="370"/>
      <c r="O666" s="370"/>
      <c r="P666" s="81">
        <v>29000</v>
      </c>
      <c r="Q666" s="81">
        <v>29000</v>
      </c>
      <c r="R666" s="81"/>
      <c r="S666" s="70">
        <f>P666-M666</f>
        <v>-36000</v>
      </c>
      <c r="T666" s="70">
        <f>P666-N666</f>
        <v>29000</v>
      </c>
      <c r="U666" s="63">
        <f>N666-G666</f>
        <v>0</v>
      </c>
      <c r="V666" s="506">
        <f t="shared" si="540"/>
        <v>-36000</v>
      </c>
      <c r="W666" s="506">
        <f t="shared" si="541"/>
        <v>0</v>
      </c>
      <c r="X666" s="31"/>
      <c r="Y666" s="486"/>
      <c r="Z666" s="31"/>
      <c r="AA666" s="31"/>
      <c r="AB666" s="31"/>
      <c r="AD666" s="696"/>
    </row>
    <row r="667" spans="1:38" x14ac:dyDescent="0.3">
      <c r="A667" s="561">
        <v>32</v>
      </c>
      <c r="B667" s="562" t="s">
        <v>318</v>
      </c>
      <c r="C667" s="599">
        <f>SUM(C670)</f>
        <v>7685000</v>
      </c>
      <c r="D667" s="148"/>
      <c r="E667" s="148">
        <f t="shared" ref="E667:G667" si="551">SUM(E670)</f>
        <v>7761900</v>
      </c>
      <c r="F667" s="381">
        <f t="shared" si="551"/>
        <v>7685000</v>
      </c>
      <c r="G667" s="381">
        <f t="shared" si="551"/>
        <v>7685000</v>
      </c>
      <c r="H667" s="381">
        <f t="shared" ref="H667:U667" si="552">SUM(H668,H670)</f>
        <v>6500000</v>
      </c>
      <c r="I667" s="381">
        <f t="shared" si="552"/>
        <v>0</v>
      </c>
      <c r="J667" s="381">
        <f t="shared" si="552"/>
        <v>7427360</v>
      </c>
      <c r="K667" s="381">
        <f t="shared" si="552"/>
        <v>0</v>
      </c>
      <c r="L667" s="381">
        <f t="shared" si="552"/>
        <v>0</v>
      </c>
      <c r="M667" s="381">
        <f t="shared" si="552"/>
        <v>13927360</v>
      </c>
      <c r="N667" s="381">
        <f t="shared" si="552"/>
        <v>16260000</v>
      </c>
      <c r="O667" s="381">
        <f t="shared" si="552"/>
        <v>3000000</v>
      </c>
      <c r="P667" s="381">
        <f t="shared" si="552"/>
        <v>16274000</v>
      </c>
      <c r="Q667" s="381">
        <f t="shared" si="552"/>
        <v>3016500</v>
      </c>
      <c r="R667" s="381">
        <f t="shared" si="552"/>
        <v>0</v>
      </c>
      <c r="S667" s="600">
        <f t="shared" si="552"/>
        <v>2346640</v>
      </c>
      <c r="T667" s="600">
        <f t="shared" si="552"/>
        <v>14000</v>
      </c>
      <c r="U667" s="600">
        <f t="shared" si="552"/>
        <v>16000</v>
      </c>
      <c r="V667" s="506">
        <f t="shared" si="540"/>
        <v>2346640</v>
      </c>
      <c r="W667" s="506">
        <f t="shared" si="541"/>
        <v>0</v>
      </c>
      <c r="X667" s="31"/>
      <c r="Y667" s="486"/>
      <c r="Z667" s="31"/>
      <c r="AA667" s="31"/>
      <c r="AB667" s="31"/>
    </row>
    <row r="668" spans="1:38" ht="18" customHeight="1" x14ac:dyDescent="0.3">
      <c r="A668" s="557" t="s">
        <v>149</v>
      </c>
      <c r="B668" s="558" t="s">
        <v>12</v>
      </c>
      <c r="C668" s="559">
        <f t="shared" ref="C668" si="553">SUM(C669:C670)</f>
        <v>7686000</v>
      </c>
      <c r="D668" s="79"/>
      <c r="E668" s="79">
        <f t="shared" ref="E668:G668" si="554">SUM(E669:E670)</f>
        <v>7761900</v>
      </c>
      <c r="F668" s="369">
        <f t="shared" si="554"/>
        <v>7685000</v>
      </c>
      <c r="G668" s="369">
        <f t="shared" si="554"/>
        <v>7685000</v>
      </c>
      <c r="H668" s="369">
        <f t="shared" ref="H668:U668" si="555">SUM(H669)</f>
        <v>0</v>
      </c>
      <c r="I668" s="369">
        <f t="shared" si="555"/>
        <v>0</v>
      </c>
      <c r="J668" s="369">
        <f t="shared" si="555"/>
        <v>1000</v>
      </c>
      <c r="K668" s="369">
        <f t="shared" si="555"/>
        <v>0</v>
      </c>
      <c r="L668" s="369">
        <f t="shared" si="555"/>
        <v>0</v>
      </c>
      <c r="M668" s="369">
        <f t="shared" si="555"/>
        <v>1000</v>
      </c>
      <c r="N668" s="369">
        <f t="shared" si="555"/>
        <v>0</v>
      </c>
      <c r="O668" s="369">
        <f t="shared" si="555"/>
        <v>0</v>
      </c>
      <c r="P668" s="369">
        <f t="shared" si="555"/>
        <v>500</v>
      </c>
      <c r="Q668" s="369">
        <f t="shared" si="555"/>
        <v>500</v>
      </c>
      <c r="R668" s="369">
        <f t="shared" si="555"/>
        <v>0</v>
      </c>
      <c r="S668" s="369">
        <f t="shared" si="555"/>
        <v>-500</v>
      </c>
      <c r="T668" s="369">
        <f t="shared" si="555"/>
        <v>500</v>
      </c>
      <c r="U668" s="369">
        <f t="shared" si="555"/>
        <v>0</v>
      </c>
      <c r="V668" s="506">
        <f t="shared" si="540"/>
        <v>-500</v>
      </c>
      <c r="W668" s="506">
        <f t="shared" si="541"/>
        <v>0</v>
      </c>
      <c r="X668" s="31"/>
      <c r="Y668" s="486"/>
      <c r="Z668" s="31"/>
      <c r="AA668" s="31"/>
      <c r="AB668" s="31"/>
    </row>
    <row r="669" spans="1:38" ht="18" customHeight="1" x14ac:dyDescent="0.3">
      <c r="A669" s="130" t="s">
        <v>150</v>
      </c>
      <c r="B669" s="107" t="s">
        <v>13</v>
      </c>
      <c r="C669" s="560">
        <v>1000</v>
      </c>
      <c r="D669" s="81"/>
      <c r="E669" s="81">
        <v>0</v>
      </c>
      <c r="F669" s="370"/>
      <c r="G669" s="370"/>
      <c r="H669" s="370"/>
      <c r="I669" s="370"/>
      <c r="J669" s="370">
        <v>1000</v>
      </c>
      <c r="K669" s="81"/>
      <c r="L669" s="81"/>
      <c r="M669" s="63">
        <f>H669-I669+J669-K669+L669</f>
        <v>1000</v>
      </c>
      <c r="N669" s="370"/>
      <c r="O669" s="370"/>
      <c r="P669" s="81">
        <v>500</v>
      </c>
      <c r="Q669" s="81">
        <v>500</v>
      </c>
      <c r="R669" s="81"/>
      <c r="S669" s="70">
        <f>P669-M669</f>
        <v>-500</v>
      </c>
      <c r="T669" s="70">
        <f>P669-N669</f>
        <v>500</v>
      </c>
      <c r="U669" s="63">
        <f>N669-G669</f>
        <v>0</v>
      </c>
      <c r="V669" s="506">
        <f t="shared" si="540"/>
        <v>-500</v>
      </c>
      <c r="W669" s="506">
        <f t="shared" si="541"/>
        <v>0</v>
      </c>
      <c r="X669" s="31"/>
      <c r="Y669" s="486"/>
      <c r="Z669" s="31"/>
      <c r="AA669" s="31"/>
      <c r="AB669" s="31"/>
    </row>
    <row r="670" spans="1:38" x14ac:dyDescent="0.3">
      <c r="A670" s="557" t="s">
        <v>159</v>
      </c>
      <c r="B670" s="558" t="s">
        <v>123</v>
      </c>
      <c r="C670" s="559">
        <f>SUM(C672)</f>
        <v>7685000</v>
      </c>
      <c r="D670" s="79"/>
      <c r="E670" s="79">
        <f>SUM(E672)</f>
        <v>7761900</v>
      </c>
      <c r="F670" s="369">
        <f t="shared" ref="F670:G670" si="556">SUM(F672)</f>
        <v>7685000</v>
      </c>
      <c r="G670" s="369">
        <f t="shared" si="556"/>
        <v>7685000</v>
      </c>
      <c r="H670" s="369">
        <f>SUM(H671:H672)</f>
        <v>6500000</v>
      </c>
      <c r="I670" s="369">
        <f>SUM(I671:I672)</f>
        <v>0</v>
      </c>
      <c r="J670" s="369">
        <f>SUM(J671,J672)</f>
        <v>7426360</v>
      </c>
      <c r="K670" s="369">
        <f t="shared" ref="K670:L670" si="557">SUM(K671,K672)</f>
        <v>0</v>
      </c>
      <c r="L670" s="369">
        <f t="shared" si="557"/>
        <v>0</v>
      </c>
      <c r="M670" s="369">
        <f t="shared" ref="M670:U670" si="558">SUM(M671:M672)</f>
        <v>13926360</v>
      </c>
      <c r="N670" s="369">
        <f t="shared" si="558"/>
        <v>16260000</v>
      </c>
      <c r="O670" s="369">
        <f t="shared" si="558"/>
        <v>3000000</v>
      </c>
      <c r="P670" s="369">
        <f t="shared" si="558"/>
        <v>16273500</v>
      </c>
      <c r="Q670" s="369">
        <f t="shared" si="558"/>
        <v>3016000</v>
      </c>
      <c r="R670" s="369">
        <f t="shared" si="558"/>
        <v>0</v>
      </c>
      <c r="S670" s="369">
        <f t="shared" si="558"/>
        <v>2347140</v>
      </c>
      <c r="T670" s="369">
        <f t="shared" si="558"/>
        <v>13500</v>
      </c>
      <c r="U670" s="369">
        <f t="shared" si="558"/>
        <v>16000</v>
      </c>
      <c r="V670" s="506">
        <f t="shared" si="540"/>
        <v>2347140</v>
      </c>
      <c r="W670" s="506">
        <f t="shared" si="541"/>
        <v>0</v>
      </c>
      <c r="X670" s="31"/>
      <c r="Y670" s="486"/>
      <c r="Z670" s="31"/>
      <c r="AA670" s="31"/>
      <c r="AB670" s="31"/>
    </row>
    <row r="671" spans="1:38" x14ac:dyDescent="0.3">
      <c r="A671" s="130">
        <v>3233</v>
      </c>
      <c r="B671" s="107" t="s">
        <v>26</v>
      </c>
      <c r="C671" s="108">
        <v>28000</v>
      </c>
      <c r="D671" s="102"/>
      <c r="E671" s="102">
        <v>54000</v>
      </c>
      <c r="F671" s="109"/>
      <c r="G671" s="109"/>
      <c r="H671" s="109"/>
      <c r="I671" s="109"/>
      <c r="J671" s="109">
        <v>40000</v>
      </c>
      <c r="K671" s="102"/>
      <c r="L671" s="102"/>
      <c r="M671" s="63">
        <f>H671-I671+J671-K671+L671</f>
        <v>40000</v>
      </c>
      <c r="N671" s="109"/>
      <c r="O671" s="109"/>
      <c r="P671" s="102">
        <v>13500</v>
      </c>
      <c r="Q671" s="102">
        <v>16000</v>
      </c>
      <c r="R671" s="102"/>
      <c r="S671" s="70">
        <f>P671-M671</f>
        <v>-26500</v>
      </c>
      <c r="T671" s="70">
        <f>P671-N671</f>
        <v>13500</v>
      </c>
      <c r="U671" s="70">
        <f>Q671-O671</f>
        <v>16000</v>
      </c>
      <c r="V671" s="506">
        <f t="shared" si="540"/>
        <v>-26500</v>
      </c>
      <c r="W671" s="506">
        <f t="shared" si="541"/>
        <v>0</v>
      </c>
      <c r="X671" s="31"/>
      <c r="Y671" s="486"/>
      <c r="Z671" s="31"/>
      <c r="AA671" s="31"/>
      <c r="AB671" s="31"/>
    </row>
    <row r="672" spans="1:38" x14ac:dyDescent="0.3">
      <c r="A672" s="130">
        <v>3239</v>
      </c>
      <c r="B672" s="107" t="s">
        <v>31</v>
      </c>
      <c r="C672" s="560">
        <v>7685000</v>
      </c>
      <c r="D672" s="81"/>
      <c r="E672" s="81">
        <v>7761900</v>
      </c>
      <c r="F672" s="81">
        <v>7685000</v>
      </c>
      <c r="G672" s="81">
        <v>7685000</v>
      </c>
      <c r="H672" s="111">
        <v>6500000</v>
      </c>
      <c r="I672" s="111"/>
      <c r="J672" s="111">
        <v>7386360</v>
      </c>
      <c r="K672" s="111"/>
      <c r="L672" s="111"/>
      <c r="M672" s="63">
        <f>H672-I672+J672-K672+L672</f>
        <v>13886360</v>
      </c>
      <c r="N672" s="81">
        <v>16260000</v>
      </c>
      <c r="O672" s="81">
        <v>3000000</v>
      </c>
      <c r="P672" s="81">
        <v>16260000</v>
      </c>
      <c r="Q672" s="81">
        <v>3000000</v>
      </c>
      <c r="R672" s="81"/>
      <c r="S672" s="70">
        <f>P672-M672</f>
        <v>2373640</v>
      </c>
      <c r="T672" s="70">
        <f>P672-N672</f>
        <v>0</v>
      </c>
      <c r="U672" s="70">
        <f>Q672-O672</f>
        <v>0</v>
      </c>
      <c r="V672" s="506">
        <f t="shared" si="540"/>
        <v>2373640</v>
      </c>
      <c r="W672" s="506">
        <f t="shared" si="541"/>
        <v>0</v>
      </c>
      <c r="X672" s="31"/>
      <c r="Y672" s="486"/>
      <c r="Z672" s="31"/>
      <c r="AA672" s="31"/>
      <c r="AB672" s="31"/>
    </row>
    <row r="673" spans="1:28" ht="24" hidden="1" customHeight="1" x14ac:dyDescent="0.3">
      <c r="A673" s="570" t="s">
        <v>323</v>
      </c>
      <c r="B673" s="571" t="s">
        <v>324</v>
      </c>
      <c r="C673" s="531">
        <f>SUM(C674,C679)</f>
        <v>7427000</v>
      </c>
      <c r="D673" s="141"/>
      <c r="E673" s="141">
        <f t="shared" ref="E673:G673" si="559">SUM(E674,E679)</f>
        <v>473200</v>
      </c>
      <c r="F673" s="364">
        <f t="shared" si="559"/>
        <v>15000</v>
      </c>
      <c r="G673" s="364">
        <f t="shared" si="559"/>
        <v>15000</v>
      </c>
      <c r="H673" s="364">
        <f t="shared" ref="H673:Q674" si="560">SUM(H674)</f>
        <v>0</v>
      </c>
      <c r="I673" s="364">
        <f t="shared" si="560"/>
        <v>0</v>
      </c>
      <c r="J673" s="364">
        <f t="shared" si="560"/>
        <v>7640</v>
      </c>
      <c r="K673" s="364">
        <f t="shared" si="560"/>
        <v>0</v>
      </c>
      <c r="L673" s="364">
        <f t="shared" si="560"/>
        <v>0</v>
      </c>
      <c r="M673" s="364">
        <f t="shared" si="560"/>
        <v>7640</v>
      </c>
      <c r="N673" s="364">
        <f t="shared" si="560"/>
        <v>0</v>
      </c>
      <c r="O673" s="364">
        <f t="shared" si="560"/>
        <v>0</v>
      </c>
      <c r="P673" s="364">
        <f t="shared" si="560"/>
        <v>0</v>
      </c>
      <c r="Q673" s="364">
        <f t="shared" si="560"/>
        <v>0</v>
      </c>
      <c r="R673" s="364">
        <f t="shared" ref="R673" si="561">SUM(R674,R679)</f>
        <v>0</v>
      </c>
      <c r="S673" s="532">
        <f t="shared" ref="S673:U674" si="562">SUM(S674)</f>
        <v>-7640</v>
      </c>
      <c r="T673" s="532">
        <f t="shared" si="562"/>
        <v>0</v>
      </c>
      <c r="U673" s="532">
        <f t="shared" si="562"/>
        <v>0</v>
      </c>
      <c r="V673" s="506">
        <f t="shared" si="540"/>
        <v>-7640</v>
      </c>
      <c r="W673" s="506">
        <f t="shared" si="541"/>
        <v>0</v>
      </c>
      <c r="X673" s="31"/>
      <c r="Y673" s="486"/>
      <c r="Z673" s="31"/>
      <c r="AA673" s="31"/>
      <c r="AB673" s="31"/>
    </row>
    <row r="674" spans="1:28" hidden="1" x14ac:dyDescent="0.3">
      <c r="A674" s="557" t="s">
        <v>177</v>
      </c>
      <c r="B674" s="558" t="s">
        <v>129</v>
      </c>
      <c r="C674" s="559">
        <f t="shared" ref="C674" si="563">SUM(C675:C678)</f>
        <v>5692000</v>
      </c>
      <c r="D674" s="79"/>
      <c r="E674" s="79">
        <f t="shared" ref="E674:G674" si="564">SUM(E675:E678)</f>
        <v>473200</v>
      </c>
      <c r="F674" s="369">
        <f t="shared" si="564"/>
        <v>15000</v>
      </c>
      <c r="G674" s="369">
        <f t="shared" si="564"/>
        <v>15000</v>
      </c>
      <c r="H674" s="369">
        <f t="shared" si="560"/>
        <v>0</v>
      </c>
      <c r="I674" s="369">
        <f t="shared" si="560"/>
        <v>0</v>
      </c>
      <c r="J674" s="369">
        <f t="shared" si="560"/>
        <v>7640</v>
      </c>
      <c r="K674" s="369">
        <f t="shared" si="560"/>
        <v>0</v>
      </c>
      <c r="L674" s="369">
        <f t="shared" si="560"/>
        <v>0</v>
      </c>
      <c r="M674" s="369">
        <f t="shared" si="560"/>
        <v>7640</v>
      </c>
      <c r="N674" s="369">
        <f t="shared" si="560"/>
        <v>0</v>
      </c>
      <c r="O674" s="369">
        <f t="shared" si="560"/>
        <v>0</v>
      </c>
      <c r="P674" s="369">
        <f t="shared" si="560"/>
        <v>0</v>
      </c>
      <c r="Q674" s="369">
        <f t="shared" si="560"/>
        <v>0</v>
      </c>
      <c r="R674" s="369">
        <f t="shared" ref="R674" si="565">SUM(R675:R678)</f>
        <v>0</v>
      </c>
      <c r="S674" s="369">
        <f t="shared" si="562"/>
        <v>-7640</v>
      </c>
      <c r="T674" s="369">
        <f t="shared" si="562"/>
        <v>0</v>
      </c>
      <c r="U674" s="369">
        <f t="shared" si="562"/>
        <v>0</v>
      </c>
      <c r="V674" s="506">
        <f t="shared" si="540"/>
        <v>-7640</v>
      </c>
      <c r="W674" s="506">
        <f t="shared" si="541"/>
        <v>0</v>
      </c>
      <c r="X674" s="31"/>
      <c r="Y674" s="486"/>
      <c r="Z674" s="31"/>
      <c r="AA674" s="31"/>
      <c r="AB674" s="31"/>
    </row>
    <row r="675" spans="1:28" hidden="1" x14ac:dyDescent="0.3">
      <c r="A675" s="130" t="s">
        <v>178</v>
      </c>
      <c r="B675" s="107" t="s">
        <v>54</v>
      </c>
      <c r="C675" s="560"/>
      <c r="D675" s="81"/>
      <c r="E675" s="81"/>
      <c r="F675" s="370"/>
      <c r="G675" s="370"/>
      <c r="H675" s="370"/>
      <c r="I675" s="370"/>
      <c r="J675" s="370">
        <v>7640</v>
      </c>
      <c r="K675" s="81"/>
      <c r="L675" s="81"/>
      <c r="M675" s="63">
        <f>H675-I675+J675-K675+L675</f>
        <v>7640</v>
      </c>
      <c r="N675" s="370"/>
      <c r="O675" s="370"/>
      <c r="P675" s="81"/>
      <c r="Q675" s="81"/>
      <c r="R675" s="81"/>
      <c r="S675" s="70">
        <f>P675-M675</f>
        <v>-7640</v>
      </c>
      <c r="T675" s="70">
        <f>P675-N675</f>
        <v>0</v>
      </c>
      <c r="U675" s="63">
        <f>N675-G675</f>
        <v>0</v>
      </c>
      <c r="V675" s="506">
        <f t="shared" si="540"/>
        <v>-7640</v>
      </c>
      <c r="W675" s="506">
        <f t="shared" si="541"/>
        <v>0</v>
      </c>
      <c r="X675" s="31"/>
      <c r="Y675" s="486"/>
      <c r="Z675" s="31"/>
      <c r="AA675" s="31"/>
      <c r="AB675" s="31"/>
    </row>
    <row r="676" spans="1:28" ht="26.4" x14ac:dyDescent="0.3">
      <c r="A676" s="579" t="s">
        <v>349</v>
      </c>
      <c r="B676" s="580" t="s">
        <v>351</v>
      </c>
      <c r="C676" s="581">
        <f t="shared" ref="C676:U676" si="566">C677</f>
        <v>1976000</v>
      </c>
      <c r="D676" s="99"/>
      <c r="E676" s="99">
        <f t="shared" si="566"/>
        <v>236600</v>
      </c>
      <c r="F676" s="373">
        <f t="shared" si="566"/>
        <v>5000</v>
      </c>
      <c r="G676" s="373">
        <f t="shared" si="566"/>
        <v>5000</v>
      </c>
      <c r="H676" s="373">
        <f t="shared" si="566"/>
        <v>1584000</v>
      </c>
      <c r="I676" s="373">
        <f t="shared" si="566"/>
        <v>0</v>
      </c>
      <c r="J676" s="373">
        <f t="shared" si="566"/>
        <v>64000</v>
      </c>
      <c r="K676" s="373">
        <f t="shared" si="566"/>
        <v>1200000</v>
      </c>
      <c r="L676" s="373">
        <f t="shared" si="566"/>
        <v>0</v>
      </c>
      <c r="M676" s="373">
        <f t="shared" si="566"/>
        <v>448000</v>
      </c>
      <c r="N676" s="373">
        <f t="shared" si="566"/>
        <v>1000</v>
      </c>
      <c r="O676" s="373">
        <f t="shared" si="566"/>
        <v>1000</v>
      </c>
      <c r="P676" s="373">
        <f t="shared" si="566"/>
        <v>1553000</v>
      </c>
      <c r="Q676" s="373">
        <f t="shared" si="566"/>
        <v>1000</v>
      </c>
      <c r="R676" s="373">
        <f t="shared" si="566"/>
        <v>0</v>
      </c>
      <c r="S676" s="373">
        <f t="shared" si="566"/>
        <v>1105000</v>
      </c>
      <c r="T676" s="373">
        <f t="shared" si="566"/>
        <v>1552000</v>
      </c>
      <c r="U676" s="373">
        <f t="shared" si="566"/>
        <v>0</v>
      </c>
      <c r="V676" s="506">
        <f t="shared" si="540"/>
        <v>1105000</v>
      </c>
      <c r="W676" s="506">
        <f t="shared" si="541"/>
        <v>0</v>
      </c>
      <c r="X676" s="31"/>
      <c r="Y676" s="486"/>
      <c r="Z676" s="31"/>
      <c r="AA676" s="31"/>
      <c r="AB676" s="31"/>
    </row>
    <row r="677" spans="1:28" ht="24" customHeight="1" x14ac:dyDescent="0.3">
      <c r="A677" s="693" t="s">
        <v>77</v>
      </c>
      <c r="B677" s="694"/>
      <c r="C677" s="582">
        <f>SUM(C678,C686,C690)</f>
        <v>1976000</v>
      </c>
      <c r="D677" s="100"/>
      <c r="E677" s="100">
        <f t="shared" ref="E677:U677" si="567">SUM(E678,E686,E690)</f>
        <v>236600</v>
      </c>
      <c r="F677" s="374">
        <f t="shared" si="567"/>
        <v>5000</v>
      </c>
      <c r="G677" s="374">
        <f t="shared" si="567"/>
        <v>5000</v>
      </c>
      <c r="H677" s="374">
        <f t="shared" si="567"/>
        <v>1584000</v>
      </c>
      <c r="I677" s="374">
        <f t="shared" si="567"/>
        <v>0</v>
      </c>
      <c r="J677" s="374">
        <f t="shared" si="567"/>
        <v>64000</v>
      </c>
      <c r="K677" s="374">
        <f t="shared" si="567"/>
        <v>1200000</v>
      </c>
      <c r="L677" s="374">
        <f t="shared" si="567"/>
        <v>0</v>
      </c>
      <c r="M677" s="374">
        <f t="shared" si="567"/>
        <v>448000</v>
      </c>
      <c r="N677" s="374">
        <f t="shared" si="567"/>
        <v>1000</v>
      </c>
      <c r="O677" s="374">
        <f t="shared" si="567"/>
        <v>1000</v>
      </c>
      <c r="P677" s="374">
        <f t="shared" si="567"/>
        <v>1553000</v>
      </c>
      <c r="Q677" s="374">
        <f t="shared" si="567"/>
        <v>1000</v>
      </c>
      <c r="R677" s="374">
        <f t="shared" si="567"/>
        <v>0</v>
      </c>
      <c r="S677" s="587">
        <f t="shared" si="567"/>
        <v>1105000</v>
      </c>
      <c r="T677" s="587">
        <f t="shared" si="567"/>
        <v>1552000</v>
      </c>
      <c r="U677" s="587">
        <f t="shared" si="567"/>
        <v>0</v>
      </c>
      <c r="V677" s="506">
        <f t="shared" si="540"/>
        <v>1105000</v>
      </c>
      <c r="W677" s="506">
        <f t="shared" si="541"/>
        <v>0</v>
      </c>
      <c r="X677" s="31"/>
      <c r="Y677" s="486"/>
      <c r="Z677" s="31"/>
      <c r="AA677" s="31"/>
      <c r="AB677" s="31"/>
    </row>
    <row r="678" spans="1:28" x14ac:dyDescent="0.3">
      <c r="A678" s="561">
        <v>32</v>
      </c>
      <c r="B678" s="562" t="s">
        <v>318</v>
      </c>
      <c r="C678" s="599">
        <f>SUM(C679,C682,C684)</f>
        <v>1740000</v>
      </c>
      <c r="D678" s="148"/>
      <c r="E678" s="148">
        <f t="shared" ref="E678:U678" si="568">SUM(E679,E682,E684)</f>
        <v>0</v>
      </c>
      <c r="F678" s="381">
        <f t="shared" si="568"/>
        <v>5000</v>
      </c>
      <c r="G678" s="381">
        <f t="shared" si="568"/>
        <v>5000</v>
      </c>
      <c r="H678" s="381">
        <f t="shared" si="568"/>
        <v>1501000</v>
      </c>
      <c r="I678" s="381">
        <f t="shared" si="568"/>
        <v>0</v>
      </c>
      <c r="J678" s="381">
        <f t="shared" si="568"/>
        <v>0</v>
      </c>
      <c r="K678" s="381">
        <f t="shared" si="568"/>
        <v>1200000</v>
      </c>
      <c r="L678" s="381">
        <f t="shared" si="568"/>
        <v>0</v>
      </c>
      <c r="M678" s="381">
        <f t="shared" si="568"/>
        <v>301000</v>
      </c>
      <c r="N678" s="381">
        <f t="shared" si="568"/>
        <v>1000</v>
      </c>
      <c r="O678" s="381">
        <f t="shared" si="568"/>
        <v>1000</v>
      </c>
      <c r="P678" s="381">
        <f t="shared" si="568"/>
        <v>1503000</v>
      </c>
      <c r="Q678" s="381">
        <f t="shared" si="568"/>
        <v>1000</v>
      </c>
      <c r="R678" s="381">
        <f t="shared" si="568"/>
        <v>0</v>
      </c>
      <c r="S678" s="600">
        <f t="shared" si="568"/>
        <v>1202000</v>
      </c>
      <c r="T678" s="600">
        <f t="shared" si="568"/>
        <v>1502000</v>
      </c>
      <c r="U678" s="600">
        <f t="shared" si="568"/>
        <v>0</v>
      </c>
      <c r="V678" s="506">
        <f t="shared" si="540"/>
        <v>1202000</v>
      </c>
      <c r="W678" s="506">
        <f t="shared" si="541"/>
        <v>0</v>
      </c>
      <c r="X678" s="31"/>
      <c r="Y678" s="486"/>
      <c r="Z678" s="31"/>
      <c r="AA678" s="31"/>
      <c r="AB678" s="31"/>
    </row>
    <row r="679" spans="1:28" x14ac:dyDescent="0.3">
      <c r="A679" s="557" t="s">
        <v>153</v>
      </c>
      <c r="B679" s="558" t="s">
        <v>16</v>
      </c>
      <c r="C679" s="559">
        <f>SUM(C680:C681)</f>
        <v>1735000</v>
      </c>
      <c r="D679" s="79"/>
      <c r="E679" s="79">
        <f t="shared" ref="E679:U679" si="569">SUM(E680:E681)</f>
        <v>0</v>
      </c>
      <c r="F679" s="369">
        <f t="shared" si="569"/>
        <v>0</v>
      </c>
      <c r="G679" s="369">
        <f t="shared" si="569"/>
        <v>0</v>
      </c>
      <c r="H679" s="369">
        <f t="shared" si="569"/>
        <v>1500000</v>
      </c>
      <c r="I679" s="369">
        <f t="shared" si="569"/>
        <v>0</v>
      </c>
      <c r="J679" s="369">
        <f t="shared" si="569"/>
        <v>0</v>
      </c>
      <c r="K679" s="369">
        <f t="shared" si="569"/>
        <v>1200000</v>
      </c>
      <c r="L679" s="369">
        <f t="shared" si="569"/>
        <v>0</v>
      </c>
      <c r="M679" s="369">
        <f t="shared" si="569"/>
        <v>300000</v>
      </c>
      <c r="N679" s="369">
        <f t="shared" si="569"/>
        <v>0</v>
      </c>
      <c r="O679" s="369">
        <f t="shared" si="569"/>
        <v>0</v>
      </c>
      <c r="P679" s="369">
        <f t="shared" si="569"/>
        <v>1500000</v>
      </c>
      <c r="Q679" s="369">
        <f t="shared" si="569"/>
        <v>0</v>
      </c>
      <c r="R679" s="369">
        <f t="shared" si="569"/>
        <v>0</v>
      </c>
      <c r="S679" s="369">
        <f t="shared" si="569"/>
        <v>1200000</v>
      </c>
      <c r="T679" s="369">
        <f t="shared" si="569"/>
        <v>1500000</v>
      </c>
      <c r="U679" s="369">
        <f t="shared" si="569"/>
        <v>0</v>
      </c>
      <c r="V679" s="506">
        <f t="shared" si="540"/>
        <v>1200000</v>
      </c>
      <c r="W679" s="506">
        <f t="shared" si="541"/>
        <v>0</v>
      </c>
      <c r="X679" s="31"/>
      <c r="Y679" s="486"/>
      <c r="Z679" s="31"/>
      <c r="AA679" s="31"/>
      <c r="AB679" s="31"/>
    </row>
    <row r="680" spans="1:28" ht="14.55" customHeight="1" x14ac:dyDescent="0.3">
      <c r="A680" s="130">
        <v>3221</v>
      </c>
      <c r="B680" s="107" t="s">
        <v>17</v>
      </c>
      <c r="C680" s="108">
        <v>1735000</v>
      </c>
      <c r="D680" s="102"/>
      <c r="E680" s="102">
        <v>0</v>
      </c>
      <c r="F680" s="109"/>
      <c r="G680" s="109"/>
      <c r="H680" s="109">
        <v>1500000</v>
      </c>
      <c r="I680" s="109"/>
      <c r="J680" s="109"/>
      <c r="K680" s="102">
        <v>1200000</v>
      </c>
      <c r="L680" s="102"/>
      <c r="M680" s="63">
        <f>H680-I680+J680-K680+L680</f>
        <v>300000</v>
      </c>
      <c r="N680" s="109"/>
      <c r="O680" s="109"/>
      <c r="P680" s="102">
        <v>1500000</v>
      </c>
      <c r="Q680" s="102"/>
      <c r="R680" s="102"/>
      <c r="S680" s="70">
        <f>P680-M680</f>
        <v>1200000</v>
      </c>
      <c r="T680" s="70">
        <f>P680-N680</f>
        <v>1500000</v>
      </c>
      <c r="U680" s="70">
        <f>Q680-O680</f>
        <v>0</v>
      </c>
      <c r="V680" s="506">
        <f t="shared" si="540"/>
        <v>1200000</v>
      </c>
      <c r="W680" s="506">
        <f t="shared" si="541"/>
        <v>0</v>
      </c>
      <c r="X680" s="31"/>
      <c r="Y680" s="486"/>
      <c r="Z680" s="31"/>
      <c r="AA680" s="31"/>
      <c r="AB680" s="31"/>
    </row>
    <row r="681" spans="1:28" ht="13.05" hidden="1" x14ac:dyDescent="0.3">
      <c r="A681" s="130">
        <v>3222</v>
      </c>
      <c r="B681" s="107" t="s">
        <v>18</v>
      </c>
      <c r="C681" s="108"/>
      <c r="D681" s="102"/>
      <c r="E681" s="102">
        <v>0</v>
      </c>
      <c r="F681" s="109"/>
      <c r="G681" s="109"/>
      <c r="H681" s="109"/>
      <c r="I681" s="109"/>
      <c r="J681" s="109"/>
      <c r="K681" s="102"/>
      <c r="L681" s="102"/>
      <c r="M681" s="63"/>
      <c r="N681" s="109"/>
      <c r="O681" s="109"/>
      <c r="P681" s="102"/>
      <c r="Q681" s="102"/>
      <c r="R681" s="102"/>
      <c r="S681" s="70">
        <f>P681-M681</f>
        <v>0</v>
      </c>
      <c r="T681" s="70">
        <f>P681-N681</f>
        <v>0</v>
      </c>
      <c r="U681" s="70">
        <f>Q681-O681</f>
        <v>0</v>
      </c>
      <c r="V681" s="506">
        <f t="shared" si="540"/>
        <v>0</v>
      </c>
      <c r="W681" s="506">
        <f t="shared" si="541"/>
        <v>0</v>
      </c>
      <c r="X681" s="31"/>
      <c r="Y681" s="486"/>
      <c r="Z681" s="31"/>
      <c r="AA681" s="31"/>
      <c r="AB681" s="31"/>
    </row>
    <row r="682" spans="1:28" ht="13.05" hidden="1" x14ac:dyDescent="0.3">
      <c r="A682" s="586">
        <v>323</v>
      </c>
      <c r="B682" s="558" t="s">
        <v>123</v>
      </c>
      <c r="C682" s="559">
        <f>SUM(C683)</f>
        <v>4000</v>
      </c>
      <c r="D682" s="79"/>
      <c r="E682" s="79">
        <f>SUM(E683)</f>
        <v>0</v>
      </c>
      <c r="F682" s="369">
        <f t="shared" ref="F682:U682" si="570">SUM(F683)</f>
        <v>4000</v>
      </c>
      <c r="G682" s="369">
        <f t="shared" si="570"/>
        <v>4000</v>
      </c>
      <c r="H682" s="369">
        <f t="shared" si="570"/>
        <v>0</v>
      </c>
      <c r="I682" s="369">
        <f t="shared" si="570"/>
        <v>0</v>
      </c>
      <c r="J682" s="369">
        <f t="shared" si="570"/>
        <v>0</v>
      </c>
      <c r="K682" s="369">
        <f t="shared" si="570"/>
        <v>0</v>
      </c>
      <c r="L682" s="369">
        <f t="shared" si="570"/>
        <v>0</v>
      </c>
      <c r="M682" s="369">
        <f t="shared" si="570"/>
        <v>0</v>
      </c>
      <c r="N682" s="369">
        <f t="shared" si="570"/>
        <v>0</v>
      </c>
      <c r="O682" s="369">
        <f t="shared" si="570"/>
        <v>0</v>
      </c>
      <c r="P682" s="369">
        <f t="shared" si="570"/>
        <v>0</v>
      </c>
      <c r="Q682" s="369">
        <f t="shared" si="570"/>
        <v>0</v>
      </c>
      <c r="R682" s="369">
        <f t="shared" si="570"/>
        <v>0</v>
      </c>
      <c r="S682" s="369">
        <f t="shared" si="570"/>
        <v>0</v>
      </c>
      <c r="T682" s="369">
        <f t="shared" si="570"/>
        <v>0</v>
      </c>
      <c r="U682" s="369">
        <f t="shared" si="570"/>
        <v>0</v>
      </c>
      <c r="V682" s="506">
        <f t="shared" si="540"/>
        <v>0</v>
      </c>
      <c r="W682" s="506">
        <f t="shared" si="541"/>
        <v>0</v>
      </c>
      <c r="X682" s="31"/>
      <c r="Y682" s="486"/>
      <c r="Z682" s="31"/>
      <c r="AA682" s="31"/>
      <c r="AB682" s="31"/>
    </row>
    <row r="683" spans="1:28" ht="13.05" hidden="1" x14ac:dyDescent="0.3">
      <c r="A683" s="130">
        <v>3237</v>
      </c>
      <c r="B683" s="107" t="s">
        <v>30</v>
      </c>
      <c r="C683" s="108">
        <v>4000</v>
      </c>
      <c r="D683" s="102"/>
      <c r="E683" s="102">
        <v>0</v>
      </c>
      <c r="F683" s="109">
        <v>4000</v>
      </c>
      <c r="G683" s="109">
        <v>4000</v>
      </c>
      <c r="H683" s="109"/>
      <c r="I683" s="109"/>
      <c r="J683" s="109"/>
      <c r="K683" s="102"/>
      <c r="L683" s="102"/>
      <c r="M683" s="63"/>
      <c r="N683" s="109"/>
      <c r="O683" s="109"/>
      <c r="P683" s="102"/>
      <c r="Q683" s="102"/>
      <c r="R683" s="102"/>
      <c r="S683" s="70">
        <f>P683-M683</f>
        <v>0</v>
      </c>
      <c r="T683" s="70">
        <f>P683-N683</f>
        <v>0</v>
      </c>
      <c r="U683" s="70">
        <f>Q683-O683</f>
        <v>0</v>
      </c>
      <c r="V683" s="506">
        <f t="shared" si="540"/>
        <v>0</v>
      </c>
      <c r="W683" s="506">
        <f t="shared" si="541"/>
        <v>0</v>
      </c>
      <c r="X683" s="31"/>
      <c r="Y683" s="486"/>
      <c r="Z683" s="31"/>
      <c r="AA683" s="31"/>
      <c r="AB683" s="31"/>
    </row>
    <row r="684" spans="1:28" x14ac:dyDescent="0.3">
      <c r="A684" s="586">
        <v>329</v>
      </c>
      <c r="B684" s="558" t="s">
        <v>33</v>
      </c>
      <c r="C684" s="559">
        <f>SUM(C685)</f>
        <v>1000</v>
      </c>
      <c r="D684" s="79"/>
      <c r="E684" s="79">
        <f>SUM(E685)</f>
        <v>0</v>
      </c>
      <c r="F684" s="369">
        <f t="shared" ref="F684:U684" si="571">SUM(F685)</f>
        <v>1000</v>
      </c>
      <c r="G684" s="369">
        <f t="shared" si="571"/>
        <v>1000</v>
      </c>
      <c r="H684" s="369">
        <f t="shared" si="571"/>
        <v>1000</v>
      </c>
      <c r="I684" s="369">
        <f t="shared" si="571"/>
        <v>0</v>
      </c>
      <c r="J684" s="369">
        <f t="shared" si="571"/>
        <v>0</v>
      </c>
      <c r="K684" s="369">
        <f t="shared" si="571"/>
        <v>0</v>
      </c>
      <c r="L684" s="369">
        <f t="shared" si="571"/>
        <v>0</v>
      </c>
      <c r="M684" s="369">
        <f t="shared" si="571"/>
        <v>1000</v>
      </c>
      <c r="N684" s="369">
        <f t="shared" si="571"/>
        <v>1000</v>
      </c>
      <c r="O684" s="369">
        <f t="shared" si="571"/>
        <v>1000</v>
      </c>
      <c r="P684" s="369">
        <f t="shared" si="571"/>
        <v>3000</v>
      </c>
      <c r="Q684" s="369">
        <f t="shared" si="571"/>
        <v>1000</v>
      </c>
      <c r="R684" s="369">
        <f t="shared" si="571"/>
        <v>0</v>
      </c>
      <c r="S684" s="369">
        <f t="shared" si="571"/>
        <v>2000</v>
      </c>
      <c r="T684" s="369">
        <f t="shared" si="571"/>
        <v>2000</v>
      </c>
      <c r="U684" s="369">
        <f t="shared" si="571"/>
        <v>0</v>
      </c>
      <c r="V684" s="506">
        <f t="shared" si="540"/>
        <v>2000</v>
      </c>
      <c r="W684" s="506">
        <f t="shared" si="541"/>
        <v>0</v>
      </c>
      <c r="X684" s="31"/>
      <c r="Y684" s="486"/>
      <c r="Z684" s="31"/>
      <c r="AA684" s="31"/>
      <c r="AB684" s="31"/>
    </row>
    <row r="685" spans="1:28" x14ac:dyDescent="0.3">
      <c r="A685" s="130">
        <v>3292</v>
      </c>
      <c r="B685" s="107" t="s">
        <v>353</v>
      </c>
      <c r="C685" s="108">
        <v>1000</v>
      </c>
      <c r="D685" s="102"/>
      <c r="E685" s="102">
        <v>0</v>
      </c>
      <c r="F685" s="109">
        <v>1000</v>
      </c>
      <c r="G685" s="109">
        <v>1000</v>
      </c>
      <c r="H685" s="109">
        <v>1000</v>
      </c>
      <c r="I685" s="109"/>
      <c r="J685" s="109"/>
      <c r="K685" s="102"/>
      <c r="L685" s="102"/>
      <c r="M685" s="63">
        <f>H685-I685+J685-K685+L685</f>
        <v>1000</v>
      </c>
      <c r="N685" s="109">
        <v>1000</v>
      </c>
      <c r="O685" s="109">
        <v>1000</v>
      </c>
      <c r="P685" s="102">
        <v>3000</v>
      </c>
      <c r="Q685" s="102">
        <v>1000</v>
      </c>
      <c r="R685" s="102"/>
      <c r="S685" s="70">
        <f>P685-M685</f>
        <v>2000</v>
      </c>
      <c r="T685" s="70">
        <f>P685-N685</f>
        <v>2000</v>
      </c>
      <c r="U685" s="70">
        <f>Q685-O685</f>
        <v>0</v>
      </c>
      <c r="V685" s="506">
        <f t="shared" si="540"/>
        <v>2000</v>
      </c>
      <c r="W685" s="506">
        <f t="shared" si="541"/>
        <v>0</v>
      </c>
      <c r="X685" s="31"/>
      <c r="Y685" s="486"/>
      <c r="Z685" s="31"/>
      <c r="AA685" s="31"/>
      <c r="AB685" s="31"/>
    </row>
    <row r="686" spans="1:28" ht="20.25" hidden="1" customHeight="1" x14ac:dyDescent="0.3">
      <c r="A686" s="610" t="s">
        <v>323</v>
      </c>
      <c r="B686" s="611" t="s">
        <v>324</v>
      </c>
      <c r="C686" s="599">
        <f>SUM(C687)</f>
        <v>0</v>
      </c>
      <c r="D686" s="148"/>
      <c r="E686" s="148">
        <f t="shared" ref="E686:U686" si="572">SUM(E687)</f>
        <v>16600</v>
      </c>
      <c r="F686" s="381">
        <f t="shared" si="572"/>
        <v>0</v>
      </c>
      <c r="G686" s="381">
        <f t="shared" si="572"/>
        <v>0</v>
      </c>
      <c r="H686" s="381">
        <f t="shared" si="572"/>
        <v>16000</v>
      </c>
      <c r="I686" s="381">
        <f t="shared" si="572"/>
        <v>0</v>
      </c>
      <c r="J686" s="381">
        <f t="shared" si="572"/>
        <v>0</v>
      </c>
      <c r="K686" s="381">
        <f t="shared" si="572"/>
        <v>0</v>
      </c>
      <c r="L686" s="381">
        <f t="shared" si="572"/>
        <v>0</v>
      </c>
      <c r="M686" s="381">
        <f t="shared" si="572"/>
        <v>16000</v>
      </c>
      <c r="N686" s="381">
        <f t="shared" si="572"/>
        <v>0</v>
      </c>
      <c r="O686" s="381">
        <f t="shared" si="572"/>
        <v>0</v>
      </c>
      <c r="P686" s="381">
        <f t="shared" si="572"/>
        <v>0</v>
      </c>
      <c r="Q686" s="381">
        <f t="shared" si="572"/>
        <v>0</v>
      </c>
      <c r="R686" s="381">
        <f t="shared" si="572"/>
        <v>0</v>
      </c>
      <c r="S686" s="600">
        <f t="shared" si="572"/>
        <v>-16000</v>
      </c>
      <c r="T686" s="600">
        <f t="shared" si="572"/>
        <v>0</v>
      </c>
      <c r="U686" s="600">
        <f t="shared" si="572"/>
        <v>0</v>
      </c>
      <c r="V686" s="506">
        <f t="shared" si="540"/>
        <v>-16000</v>
      </c>
      <c r="W686" s="506">
        <f t="shared" si="541"/>
        <v>0</v>
      </c>
      <c r="X686" s="31"/>
      <c r="Y686" s="486"/>
      <c r="Z686" s="31"/>
      <c r="AA686" s="31"/>
      <c r="AB686" s="31"/>
    </row>
    <row r="687" spans="1:28" hidden="1" x14ac:dyDescent="0.3">
      <c r="A687" s="607">
        <v>422</v>
      </c>
      <c r="B687" s="119" t="s">
        <v>356</v>
      </c>
      <c r="C687" s="559">
        <f>SUM(C688:C689)</f>
        <v>0</v>
      </c>
      <c r="D687" s="79"/>
      <c r="E687" s="79">
        <f t="shared" ref="E687:U687" si="573">SUM(E688:E689)</f>
        <v>16600</v>
      </c>
      <c r="F687" s="369">
        <f t="shared" si="573"/>
        <v>0</v>
      </c>
      <c r="G687" s="369">
        <f t="shared" si="573"/>
        <v>0</v>
      </c>
      <c r="H687" s="369">
        <f t="shared" si="573"/>
        <v>16000</v>
      </c>
      <c r="I687" s="369">
        <f t="shared" si="573"/>
        <v>0</v>
      </c>
      <c r="J687" s="369">
        <f t="shared" si="573"/>
        <v>0</v>
      </c>
      <c r="K687" s="369">
        <f t="shared" si="573"/>
        <v>0</v>
      </c>
      <c r="L687" s="369">
        <f t="shared" si="573"/>
        <v>0</v>
      </c>
      <c r="M687" s="369">
        <f t="shared" si="573"/>
        <v>16000</v>
      </c>
      <c r="N687" s="369">
        <f t="shared" si="573"/>
        <v>0</v>
      </c>
      <c r="O687" s="369">
        <f t="shared" si="573"/>
        <v>0</v>
      </c>
      <c r="P687" s="369">
        <f t="shared" si="573"/>
        <v>0</v>
      </c>
      <c r="Q687" s="369">
        <f t="shared" si="573"/>
        <v>0</v>
      </c>
      <c r="R687" s="369">
        <f t="shared" si="573"/>
        <v>0</v>
      </c>
      <c r="S687" s="369">
        <f t="shared" si="573"/>
        <v>-16000</v>
      </c>
      <c r="T687" s="369">
        <f t="shared" si="573"/>
        <v>0</v>
      </c>
      <c r="U687" s="369">
        <f t="shared" si="573"/>
        <v>0</v>
      </c>
      <c r="V687" s="506">
        <f t="shared" si="540"/>
        <v>-16000</v>
      </c>
      <c r="W687" s="506">
        <f t="shared" si="541"/>
        <v>0</v>
      </c>
      <c r="X687" s="31"/>
      <c r="Y687" s="486"/>
      <c r="Z687" s="31"/>
      <c r="AA687" s="31"/>
      <c r="AB687" s="31"/>
    </row>
    <row r="688" spans="1:28" hidden="1" x14ac:dyDescent="0.3">
      <c r="A688" s="434">
        <v>4221</v>
      </c>
      <c r="B688" s="117" t="s">
        <v>54</v>
      </c>
      <c r="C688" s="108"/>
      <c r="D688" s="102"/>
      <c r="E688" s="102">
        <v>12400</v>
      </c>
      <c r="F688" s="109"/>
      <c r="G688" s="109"/>
      <c r="H688" s="109">
        <v>12000</v>
      </c>
      <c r="I688" s="109"/>
      <c r="J688" s="109"/>
      <c r="K688" s="102"/>
      <c r="L688" s="102"/>
      <c r="M688" s="63">
        <f>H688-I688+J688-K688+L688</f>
        <v>12000</v>
      </c>
      <c r="N688" s="109"/>
      <c r="O688" s="109"/>
      <c r="P688" s="102"/>
      <c r="Q688" s="102"/>
      <c r="R688" s="102"/>
      <c r="S688" s="70">
        <f>P688-M688</f>
        <v>-12000</v>
      </c>
      <c r="T688" s="70">
        <f>P688-N688</f>
        <v>0</v>
      </c>
      <c r="U688" s="70">
        <f>Q688-O688</f>
        <v>0</v>
      </c>
      <c r="V688" s="506">
        <f t="shared" si="540"/>
        <v>-12000</v>
      </c>
      <c r="W688" s="506">
        <f t="shared" si="541"/>
        <v>0</v>
      </c>
      <c r="X688" s="31"/>
      <c r="Y688" s="486"/>
      <c r="Z688" s="31"/>
      <c r="AA688" s="31"/>
      <c r="AB688" s="31"/>
    </row>
    <row r="689" spans="1:38" hidden="1" x14ac:dyDescent="0.3">
      <c r="A689" s="434">
        <v>4227</v>
      </c>
      <c r="B689" s="117" t="s">
        <v>60</v>
      </c>
      <c r="C689" s="108"/>
      <c r="D689" s="102"/>
      <c r="E689" s="102">
        <v>4200</v>
      </c>
      <c r="F689" s="109"/>
      <c r="G689" s="109"/>
      <c r="H689" s="109">
        <v>4000</v>
      </c>
      <c r="I689" s="109"/>
      <c r="J689" s="109"/>
      <c r="K689" s="102"/>
      <c r="L689" s="102"/>
      <c r="M689" s="63">
        <f>H689-I689+J689-K689+L689</f>
        <v>4000</v>
      </c>
      <c r="N689" s="109"/>
      <c r="O689" s="109"/>
      <c r="P689" s="102"/>
      <c r="Q689" s="102"/>
      <c r="R689" s="102"/>
      <c r="S689" s="70">
        <f>P689-M689</f>
        <v>-4000</v>
      </c>
      <c r="T689" s="70">
        <f>P689-N689</f>
        <v>0</v>
      </c>
      <c r="U689" s="70">
        <f>Q689-O689</f>
        <v>0</v>
      </c>
      <c r="V689" s="506">
        <f t="shared" si="540"/>
        <v>-4000</v>
      </c>
      <c r="W689" s="506">
        <f t="shared" si="541"/>
        <v>0</v>
      </c>
      <c r="X689" s="31"/>
      <c r="Y689" s="486"/>
      <c r="Z689" s="31"/>
      <c r="AA689" s="31"/>
      <c r="AB689" s="31"/>
    </row>
    <row r="690" spans="1:38" ht="26.4" x14ac:dyDescent="0.3">
      <c r="A690" s="144">
        <v>45</v>
      </c>
      <c r="B690" s="145" t="s">
        <v>329</v>
      </c>
      <c r="C690" s="599">
        <f>SUM(C691)</f>
        <v>236000</v>
      </c>
      <c r="D690" s="148"/>
      <c r="E690" s="148">
        <f t="shared" ref="E690:U690" si="574">SUM(E691)</f>
        <v>220000</v>
      </c>
      <c r="F690" s="381">
        <f t="shared" si="574"/>
        <v>0</v>
      </c>
      <c r="G690" s="381">
        <f t="shared" si="574"/>
        <v>0</v>
      </c>
      <c r="H690" s="381">
        <f t="shared" si="574"/>
        <v>67000</v>
      </c>
      <c r="I690" s="381">
        <f t="shared" si="574"/>
        <v>0</v>
      </c>
      <c r="J690" s="381">
        <f t="shared" si="574"/>
        <v>64000</v>
      </c>
      <c r="K690" s="381">
        <f t="shared" si="574"/>
        <v>0</v>
      </c>
      <c r="L690" s="381">
        <f t="shared" si="574"/>
        <v>0</v>
      </c>
      <c r="M690" s="381">
        <f t="shared" si="574"/>
        <v>131000</v>
      </c>
      <c r="N690" s="381">
        <f t="shared" si="574"/>
        <v>0</v>
      </c>
      <c r="O690" s="381">
        <f t="shared" si="574"/>
        <v>0</v>
      </c>
      <c r="P690" s="381">
        <f t="shared" si="574"/>
        <v>50000</v>
      </c>
      <c r="Q690" s="381">
        <f t="shared" si="574"/>
        <v>0</v>
      </c>
      <c r="R690" s="381">
        <f t="shared" si="574"/>
        <v>0</v>
      </c>
      <c r="S690" s="600">
        <f t="shared" si="574"/>
        <v>-81000</v>
      </c>
      <c r="T690" s="600">
        <f t="shared" si="574"/>
        <v>50000</v>
      </c>
      <c r="U690" s="600">
        <f t="shared" si="574"/>
        <v>0</v>
      </c>
      <c r="V690" s="506">
        <f t="shared" si="540"/>
        <v>-81000</v>
      </c>
      <c r="W690" s="506">
        <f t="shared" si="541"/>
        <v>0</v>
      </c>
      <c r="X690" s="31"/>
      <c r="Y690" s="486"/>
      <c r="Z690" s="31"/>
      <c r="AA690" s="31"/>
      <c r="AB690" s="31"/>
    </row>
    <row r="691" spans="1:38" x14ac:dyDescent="0.3">
      <c r="A691" s="586">
        <v>451</v>
      </c>
      <c r="B691" s="558" t="s">
        <v>55</v>
      </c>
      <c r="C691" s="559">
        <f>C692</f>
        <v>236000</v>
      </c>
      <c r="D691" s="79"/>
      <c r="E691" s="79">
        <f>E692</f>
        <v>220000</v>
      </c>
      <c r="F691" s="369">
        <f t="shared" ref="F691:U691" si="575">F692</f>
        <v>0</v>
      </c>
      <c r="G691" s="369">
        <f t="shared" si="575"/>
        <v>0</v>
      </c>
      <c r="H691" s="369">
        <f t="shared" si="575"/>
        <v>67000</v>
      </c>
      <c r="I691" s="369">
        <f t="shared" si="575"/>
        <v>0</v>
      </c>
      <c r="J691" s="369">
        <f t="shared" si="575"/>
        <v>64000</v>
      </c>
      <c r="K691" s="369">
        <f t="shared" si="575"/>
        <v>0</v>
      </c>
      <c r="L691" s="369">
        <f t="shared" si="575"/>
        <v>0</v>
      </c>
      <c r="M691" s="369">
        <f t="shared" si="575"/>
        <v>131000</v>
      </c>
      <c r="N691" s="369">
        <f t="shared" si="575"/>
        <v>0</v>
      </c>
      <c r="O691" s="369">
        <f t="shared" si="575"/>
        <v>0</v>
      </c>
      <c r="P691" s="369">
        <f t="shared" si="575"/>
        <v>50000</v>
      </c>
      <c r="Q691" s="369">
        <f t="shared" si="575"/>
        <v>0</v>
      </c>
      <c r="R691" s="369">
        <f t="shared" si="575"/>
        <v>0</v>
      </c>
      <c r="S691" s="369">
        <f t="shared" si="575"/>
        <v>-81000</v>
      </c>
      <c r="T691" s="369">
        <f t="shared" si="575"/>
        <v>50000</v>
      </c>
      <c r="U691" s="369">
        <f t="shared" si="575"/>
        <v>0</v>
      </c>
      <c r="V691" s="506">
        <f t="shared" si="540"/>
        <v>-81000</v>
      </c>
      <c r="W691" s="506">
        <f t="shared" si="541"/>
        <v>0</v>
      </c>
      <c r="X691" s="31"/>
      <c r="Y691" s="486"/>
      <c r="Z691" s="31"/>
      <c r="AA691" s="31"/>
      <c r="AB691" s="31"/>
    </row>
    <row r="692" spans="1:38" s="4" customFormat="1" x14ac:dyDescent="0.3">
      <c r="A692" s="130">
        <v>4511</v>
      </c>
      <c r="B692" s="107" t="s">
        <v>55</v>
      </c>
      <c r="C692" s="108">
        <v>236000</v>
      </c>
      <c r="D692" s="102"/>
      <c r="E692" s="102">
        <v>220000</v>
      </c>
      <c r="F692" s="109"/>
      <c r="G692" s="109"/>
      <c r="H692" s="109">
        <v>67000</v>
      </c>
      <c r="I692" s="378"/>
      <c r="J692" s="109">
        <v>64000</v>
      </c>
      <c r="K692" s="102"/>
      <c r="L692" s="102"/>
      <c r="M692" s="63">
        <f>H692-I692+J692-K692+L692</f>
        <v>131000</v>
      </c>
      <c r="N692" s="109"/>
      <c r="O692" s="109"/>
      <c r="P692" s="102">
        <v>50000</v>
      </c>
      <c r="Q692" s="102"/>
      <c r="R692" s="102"/>
      <c r="S692" s="70">
        <f>P692-M692</f>
        <v>-81000</v>
      </c>
      <c r="T692" s="70">
        <f>P692-N692</f>
        <v>50000</v>
      </c>
      <c r="U692" s="70">
        <f>Q692-O692</f>
        <v>0</v>
      </c>
      <c r="V692" s="506">
        <f t="shared" si="540"/>
        <v>-81000</v>
      </c>
      <c r="W692" s="506">
        <f t="shared" si="541"/>
        <v>0</v>
      </c>
      <c r="X692" s="31"/>
      <c r="Y692" s="486"/>
      <c r="Z692" s="31"/>
      <c r="AA692" s="31"/>
      <c r="AB692" s="31"/>
      <c r="AH692" s="457"/>
      <c r="AI692" s="457"/>
      <c r="AJ692" s="457"/>
      <c r="AK692" s="457"/>
      <c r="AL692" s="457"/>
    </row>
    <row r="693" spans="1:38" s="4" customFormat="1" ht="26.4" x14ac:dyDescent="0.3">
      <c r="A693" s="579" t="s">
        <v>350</v>
      </c>
      <c r="B693" s="580" t="s">
        <v>352</v>
      </c>
      <c r="C693" s="581">
        <f t="shared" ref="C693:U693" si="576">C694</f>
        <v>757000</v>
      </c>
      <c r="D693" s="99"/>
      <c r="E693" s="99">
        <f t="shared" si="576"/>
        <v>12000</v>
      </c>
      <c r="F693" s="373">
        <f t="shared" si="576"/>
        <v>896000</v>
      </c>
      <c r="G693" s="373">
        <f t="shared" si="576"/>
        <v>3299000</v>
      </c>
      <c r="H693" s="373">
        <f t="shared" si="576"/>
        <v>1900000</v>
      </c>
      <c r="I693" s="373">
        <f t="shared" si="576"/>
        <v>1204000</v>
      </c>
      <c r="J693" s="373">
        <f t="shared" si="576"/>
        <v>62000</v>
      </c>
      <c r="K693" s="373">
        <f t="shared" si="576"/>
        <v>200000</v>
      </c>
      <c r="L693" s="373">
        <f t="shared" si="576"/>
        <v>0</v>
      </c>
      <c r="M693" s="373">
        <f t="shared" si="576"/>
        <v>558000</v>
      </c>
      <c r="N693" s="373">
        <f t="shared" si="576"/>
        <v>2241000</v>
      </c>
      <c r="O693" s="373">
        <f t="shared" si="576"/>
        <v>45000</v>
      </c>
      <c r="P693" s="373">
        <f t="shared" si="576"/>
        <v>554500</v>
      </c>
      <c r="Q693" s="373">
        <f t="shared" si="576"/>
        <v>3127500</v>
      </c>
      <c r="R693" s="373">
        <f t="shared" si="576"/>
        <v>0</v>
      </c>
      <c r="S693" s="373">
        <f t="shared" si="576"/>
        <v>-3500</v>
      </c>
      <c r="T693" s="373">
        <f t="shared" si="576"/>
        <v>-1686500</v>
      </c>
      <c r="U693" s="373">
        <f t="shared" si="576"/>
        <v>3082500</v>
      </c>
      <c r="V693" s="506">
        <f t="shared" si="540"/>
        <v>-3500</v>
      </c>
      <c r="W693" s="506">
        <f t="shared" si="541"/>
        <v>0</v>
      </c>
      <c r="X693" s="31"/>
      <c r="Y693" s="486"/>
      <c r="Z693" s="31"/>
      <c r="AA693" s="31"/>
      <c r="AB693" s="31"/>
      <c r="AH693" s="457"/>
      <c r="AI693" s="457"/>
      <c r="AJ693" s="457"/>
      <c r="AK693" s="457"/>
      <c r="AL693" s="457"/>
    </row>
    <row r="694" spans="1:38" x14ac:dyDescent="0.3">
      <c r="A694" s="693" t="s">
        <v>77</v>
      </c>
      <c r="B694" s="694"/>
      <c r="C694" s="582">
        <f>SUM(C695,C708,C714)</f>
        <v>757000</v>
      </c>
      <c r="D694" s="100"/>
      <c r="E694" s="100">
        <f t="shared" ref="E694:U694" si="577">SUM(E695,E708,E714)</f>
        <v>12000</v>
      </c>
      <c r="F694" s="374">
        <f t="shared" si="577"/>
        <v>896000</v>
      </c>
      <c r="G694" s="374">
        <f t="shared" si="577"/>
        <v>3299000</v>
      </c>
      <c r="H694" s="374">
        <f t="shared" si="577"/>
        <v>1900000</v>
      </c>
      <c r="I694" s="374">
        <f t="shared" si="577"/>
        <v>1204000</v>
      </c>
      <c r="J694" s="374">
        <f t="shared" si="577"/>
        <v>62000</v>
      </c>
      <c r="K694" s="374">
        <f t="shared" si="577"/>
        <v>200000</v>
      </c>
      <c r="L694" s="374">
        <f t="shared" si="577"/>
        <v>0</v>
      </c>
      <c r="M694" s="374">
        <f t="shared" si="577"/>
        <v>558000</v>
      </c>
      <c r="N694" s="374">
        <f t="shared" si="577"/>
        <v>2241000</v>
      </c>
      <c r="O694" s="374">
        <f t="shared" si="577"/>
        <v>45000</v>
      </c>
      <c r="P694" s="374">
        <f t="shared" si="577"/>
        <v>554500</v>
      </c>
      <c r="Q694" s="374">
        <f t="shared" si="577"/>
        <v>3127500</v>
      </c>
      <c r="R694" s="374">
        <f t="shared" si="577"/>
        <v>0</v>
      </c>
      <c r="S694" s="587">
        <f t="shared" si="577"/>
        <v>-3500</v>
      </c>
      <c r="T694" s="587">
        <f t="shared" si="577"/>
        <v>-1686500</v>
      </c>
      <c r="U694" s="587">
        <f t="shared" si="577"/>
        <v>3082500</v>
      </c>
      <c r="V694" s="506">
        <f t="shared" si="540"/>
        <v>-3500</v>
      </c>
      <c r="W694" s="506">
        <f t="shared" si="541"/>
        <v>0</v>
      </c>
      <c r="X694" s="31"/>
      <c r="Y694" s="486"/>
      <c r="Z694" s="31"/>
      <c r="AA694" s="31"/>
      <c r="AB694" s="31"/>
    </row>
    <row r="695" spans="1:38" x14ac:dyDescent="0.3">
      <c r="A695" s="561">
        <v>32</v>
      </c>
      <c r="B695" s="562" t="s">
        <v>318</v>
      </c>
      <c r="C695" s="599">
        <f>SUM(C696,C701,C704,C706)</f>
        <v>135000</v>
      </c>
      <c r="D695" s="148"/>
      <c r="E695" s="148">
        <f t="shared" ref="E695:U695" si="578">SUM(E696,E701,E704,E706)</f>
        <v>1000</v>
      </c>
      <c r="F695" s="381">
        <f t="shared" si="578"/>
        <v>329000</v>
      </c>
      <c r="G695" s="381">
        <f t="shared" si="578"/>
        <v>14000</v>
      </c>
      <c r="H695" s="381">
        <f t="shared" si="578"/>
        <v>263000</v>
      </c>
      <c r="I695" s="381">
        <f t="shared" si="578"/>
        <v>205000</v>
      </c>
      <c r="J695" s="381">
        <f t="shared" si="578"/>
        <v>62000</v>
      </c>
      <c r="K695" s="381">
        <f t="shared" si="578"/>
        <v>0</v>
      </c>
      <c r="L695" s="381">
        <f t="shared" si="578"/>
        <v>0</v>
      </c>
      <c r="M695" s="381">
        <f t="shared" si="578"/>
        <v>120000</v>
      </c>
      <c r="N695" s="381">
        <f t="shared" si="578"/>
        <v>13000</v>
      </c>
      <c r="O695" s="381">
        <f t="shared" si="578"/>
        <v>45000</v>
      </c>
      <c r="P695" s="381">
        <f t="shared" si="578"/>
        <v>146000</v>
      </c>
      <c r="Q695" s="381">
        <f t="shared" si="578"/>
        <v>163500</v>
      </c>
      <c r="R695" s="381">
        <f t="shared" si="578"/>
        <v>0</v>
      </c>
      <c r="S695" s="600">
        <f t="shared" si="578"/>
        <v>26000</v>
      </c>
      <c r="T695" s="600">
        <f t="shared" si="578"/>
        <v>133000</v>
      </c>
      <c r="U695" s="600">
        <f t="shared" si="578"/>
        <v>118500</v>
      </c>
      <c r="V695" s="506">
        <f t="shared" si="540"/>
        <v>26000</v>
      </c>
      <c r="W695" s="506">
        <f t="shared" si="541"/>
        <v>0</v>
      </c>
      <c r="X695" s="31"/>
      <c r="Y695" s="486"/>
      <c r="Z695" s="31"/>
      <c r="AA695" s="31"/>
      <c r="AB695" s="31"/>
    </row>
    <row r="696" spans="1:38" x14ac:dyDescent="0.3">
      <c r="A696" s="557" t="s">
        <v>153</v>
      </c>
      <c r="B696" s="558" t="s">
        <v>16</v>
      </c>
      <c r="C696" s="612">
        <f t="shared" ref="C696:G696" si="579">SUM(C699:C700)</f>
        <v>125000</v>
      </c>
      <c r="D696" s="116"/>
      <c r="E696" s="116">
        <f t="shared" ref="E696" si="580">SUM(E699:E700)</f>
        <v>0</v>
      </c>
      <c r="F696" s="382">
        <f t="shared" si="579"/>
        <v>329000</v>
      </c>
      <c r="G696" s="382">
        <f t="shared" si="579"/>
        <v>0</v>
      </c>
      <c r="H696" s="382">
        <f>SUM(H697:H700)</f>
        <v>250000</v>
      </c>
      <c r="I696" s="382">
        <f t="shared" ref="I696:L696" si="581">SUM(I697:I700)</f>
        <v>200000</v>
      </c>
      <c r="J696" s="382">
        <f t="shared" si="581"/>
        <v>62000</v>
      </c>
      <c r="K696" s="382">
        <f t="shared" si="581"/>
        <v>0</v>
      </c>
      <c r="L696" s="382">
        <f t="shared" si="581"/>
        <v>0</v>
      </c>
      <c r="M696" s="382">
        <f>SUM(M697:M700)</f>
        <v>112000</v>
      </c>
      <c r="N696" s="382">
        <f t="shared" ref="N696:U696" si="582">SUM(N697:N700)</f>
        <v>0</v>
      </c>
      <c r="O696" s="382">
        <f t="shared" si="582"/>
        <v>0</v>
      </c>
      <c r="P696" s="382">
        <f t="shared" si="582"/>
        <v>126000</v>
      </c>
      <c r="Q696" s="382">
        <f t="shared" si="582"/>
        <v>126000</v>
      </c>
      <c r="R696" s="382">
        <f t="shared" si="582"/>
        <v>0</v>
      </c>
      <c r="S696" s="382">
        <f t="shared" si="582"/>
        <v>14000</v>
      </c>
      <c r="T696" s="382">
        <f t="shared" si="582"/>
        <v>126000</v>
      </c>
      <c r="U696" s="382">
        <f t="shared" si="582"/>
        <v>126000</v>
      </c>
      <c r="V696" s="506">
        <f t="shared" si="540"/>
        <v>14000</v>
      </c>
      <c r="W696" s="506">
        <f t="shared" si="541"/>
        <v>0</v>
      </c>
      <c r="X696" s="31"/>
      <c r="Y696" s="486"/>
      <c r="Z696" s="31"/>
      <c r="AA696" s="31"/>
      <c r="AB696" s="31"/>
    </row>
    <row r="697" spans="1:38" x14ac:dyDescent="0.3">
      <c r="A697" s="130">
        <v>3222</v>
      </c>
      <c r="B697" s="107" t="s">
        <v>354</v>
      </c>
      <c r="C697" s="596"/>
      <c r="D697" s="110"/>
      <c r="E697" s="110"/>
      <c r="F697" s="378"/>
      <c r="G697" s="378"/>
      <c r="H697" s="378">
        <v>250000</v>
      </c>
      <c r="I697" s="378">
        <v>200000</v>
      </c>
      <c r="J697" s="378"/>
      <c r="K697" s="110"/>
      <c r="L697" s="110"/>
      <c r="M697" s="63">
        <f>H697-I697+J697-K697+L697</f>
        <v>50000</v>
      </c>
      <c r="N697" s="378"/>
      <c r="O697" s="378"/>
      <c r="P697" s="110">
        <v>126000</v>
      </c>
      <c r="Q697" s="110">
        <v>126000</v>
      </c>
      <c r="R697" s="110"/>
      <c r="S697" s="70">
        <f>P697-M697</f>
        <v>76000</v>
      </c>
      <c r="T697" s="70">
        <f t="shared" ref="T697:U700" si="583">P697-N697</f>
        <v>126000</v>
      </c>
      <c r="U697" s="70">
        <f t="shared" si="583"/>
        <v>126000</v>
      </c>
      <c r="V697" s="506">
        <f t="shared" si="540"/>
        <v>76000</v>
      </c>
      <c r="W697" s="506">
        <f t="shared" si="541"/>
        <v>0</v>
      </c>
      <c r="X697" s="31"/>
      <c r="Y697" s="486"/>
      <c r="Z697" s="31"/>
      <c r="AA697" s="31"/>
      <c r="AB697" s="31"/>
    </row>
    <row r="698" spans="1:38" hidden="1" x14ac:dyDescent="0.3">
      <c r="A698" s="130">
        <v>3225</v>
      </c>
      <c r="B698" s="107" t="s">
        <v>21</v>
      </c>
      <c r="C698" s="560">
        <v>83000</v>
      </c>
      <c r="D698" s="81"/>
      <c r="E698" s="81">
        <v>10000</v>
      </c>
      <c r="F698" s="370"/>
      <c r="G698" s="370"/>
      <c r="H698" s="370"/>
      <c r="I698" s="370"/>
      <c r="J698" s="370">
        <v>12000</v>
      </c>
      <c r="K698" s="81"/>
      <c r="L698" s="81"/>
      <c r="M698" s="63">
        <f>H698-I698+J698-K698+L698</f>
        <v>12000</v>
      </c>
      <c r="N698" s="370"/>
      <c r="O698" s="370"/>
      <c r="P698" s="81"/>
      <c r="Q698" s="81"/>
      <c r="R698" s="81"/>
      <c r="S698" s="70">
        <f>P698-M698</f>
        <v>-12000</v>
      </c>
      <c r="T698" s="70">
        <f>P698-N698</f>
        <v>0</v>
      </c>
      <c r="U698" s="63">
        <f>N698-G698</f>
        <v>0</v>
      </c>
      <c r="V698" s="506">
        <f t="shared" si="540"/>
        <v>-12000</v>
      </c>
      <c r="W698" s="506">
        <f t="shared" si="541"/>
        <v>0</v>
      </c>
      <c r="X698" s="31"/>
      <c r="Y698" s="486"/>
      <c r="Z698" s="31"/>
      <c r="AA698" s="31"/>
      <c r="AB698" s="31"/>
      <c r="AD698" s="24"/>
    </row>
    <row r="699" spans="1:38" ht="14.55" hidden="1" customHeight="1" x14ac:dyDescent="0.3">
      <c r="A699" s="130">
        <v>3227</v>
      </c>
      <c r="B699" s="107" t="s">
        <v>22</v>
      </c>
      <c r="C699" s="596">
        <v>125000</v>
      </c>
      <c r="D699" s="110"/>
      <c r="E699" s="110">
        <v>0</v>
      </c>
      <c r="F699" s="378"/>
      <c r="G699" s="378"/>
      <c r="H699" s="378"/>
      <c r="I699" s="378"/>
      <c r="J699" s="378">
        <v>50000</v>
      </c>
      <c r="K699" s="110"/>
      <c r="L699" s="110"/>
      <c r="M699" s="63">
        <f>H699-I699+J699-K699+L699</f>
        <v>50000</v>
      </c>
      <c r="N699" s="378"/>
      <c r="O699" s="378"/>
      <c r="P699" s="110"/>
      <c r="Q699" s="110"/>
      <c r="R699" s="110"/>
      <c r="S699" s="70">
        <f>P699-M699</f>
        <v>-50000</v>
      </c>
      <c r="T699" s="70">
        <f t="shared" si="583"/>
        <v>0</v>
      </c>
      <c r="U699" s="70">
        <f t="shared" si="583"/>
        <v>0</v>
      </c>
      <c r="V699" s="506">
        <f t="shared" si="540"/>
        <v>-50000</v>
      </c>
      <c r="W699" s="506">
        <f t="shared" si="541"/>
        <v>0</v>
      </c>
      <c r="X699" s="31"/>
      <c r="Y699" s="486"/>
      <c r="Z699" s="31"/>
      <c r="AA699" s="31"/>
      <c r="AB699" s="31"/>
    </row>
    <row r="700" spans="1:38" ht="13.05" hidden="1" x14ac:dyDescent="0.3">
      <c r="A700" s="613">
        <v>3229</v>
      </c>
      <c r="B700" s="614" t="s">
        <v>354</v>
      </c>
      <c r="C700" s="596"/>
      <c r="D700" s="110"/>
      <c r="E700" s="110"/>
      <c r="F700" s="378">
        <v>329000</v>
      </c>
      <c r="G700" s="378"/>
      <c r="H700" s="378"/>
      <c r="I700" s="378"/>
      <c r="J700" s="378"/>
      <c r="K700" s="110"/>
      <c r="L700" s="110"/>
      <c r="M700" s="63"/>
      <c r="N700" s="378"/>
      <c r="O700" s="378"/>
      <c r="P700" s="110"/>
      <c r="Q700" s="110"/>
      <c r="R700" s="110"/>
      <c r="S700" s="70">
        <f>P700-M700</f>
        <v>0</v>
      </c>
      <c r="T700" s="70">
        <f t="shared" si="583"/>
        <v>0</v>
      </c>
      <c r="U700" s="70">
        <f t="shared" si="583"/>
        <v>0</v>
      </c>
      <c r="V700" s="506">
        <f t="shared" si="540"/>
        <v>0</v>
      </c>
      <c r="W700" s="506">
        <f t="shared" si="541"/>
        <v>0</v>
      </c>
      <c r="X700" s="31"/>
      <c r="Y700" s="486"/>
      <c r="Z700" s="31"/>
      <c r="AA700" s="31"/>
      <c r="AB700" s="31"/>
    </row>
    <row r="701" spans="1:38" x14ac:dyDescent="0.3">
      <c r="A701" s="615">
        <v>323</v>
      </c>
      <c r="B701" s="616" t="s">
        <v>123</v>
      </c>
      <c r="C701" s="612">
        <f>SUM(C702:C703)</f>
        <v>5000</v>
      </c>
      <c r="D701" s="116"/>
      <c r="E701" s="116">
        <f>SUM(E702:E703)</f>
        <v>1000</v>
      </c>
      <c r="F701" s="382">
        <f t="shared" ref="F701:U701" si="584">SUM(F702:F703)</f>
        <v>0</v>
      </c>
      <c r="G701" s="382">
        <f t="shared" si="584"/>
        <v>5000</v>
      </c>
      <c r="H701" s="382">
        <f t="shared" si="584"/>
        <v>8000</v>
      </c>
      <c r="I701" s="382">
        <f t="shared" si="584"/>
        <v>0</v>
      </c>
      <c r="J701" s="382">
        <f t="shared" si="584"/>
        <v>0</v>
      </c>
      <c r="K701" s="382">
        <f t="shared" si="584"/>
        <v>0</v>
      </c>
      <c r="L701" s="382">
        <f t="shared" si="584"/>
        <v>0</v>
      </c>
      <c r="M701" s="382">
        <f t="shared" si="584"/>
        <v>8000</v>
      </c>
      <c r="N701" s="382">
        <f t="shared" si="584"/>
        <v>13000</v>
      </c>
      <c r="O701" s="382">
        <f t="shared" si="584"/>
        <v>45000</v>
      </c>
      <c r="P701" s="382">
        <f t="shared" si="584"/>
        <v>20000</v>
      </c>
      <c r="Q701" s="382">
        <f t="shared" si="584"/>
        <v>37500</v>
      </c>
      <c r="R701" s="382">
        <f t="shared" si="584"/>
        <v>0</v>
      </c>
      <c r="S701" s="382">
        <f>SUM(S702:S703)</f>
        <v>12000</v>
      </c>
      <c r="T701" s="382">
        <f t="shared" si="584"/>
        <v>7000</v>
      </c>
      <c r="U701" s="382">
        <f t="shared" si="584"/>
        <v>-7500</v>
      </c>
      <c r="V701" s="506">
        <f t="shared" si="540"/>
        <v>12000</v>
      </c>
      <c r="W701" s="506">
        <f t="shared" si="541"/>
        <v>0</v>
      </c>
      <c r="X701" s="31"/>
      <c r="Y701" s="486"/>
      <c r="Z701" s="31"/>
      <c r="AA701" s="31"/>
      <c r="AB701" s="31"/>
    </row>
    <row r="702" spans="1:38" ht="13.05" hidden="1" x14ac:dyDescent="0.3">
      <c r="A702" s="613">
        <v>3233</v>
      </c>
      <c r="B702" s="614" t="s">
        <v>26</v>
      </c>
      <c r="C702" s="596">
        <v>2000</v>
      </c>
      <c r="D702" s="110"/>
      <c r="E702" s="110">
        <v>1000</v>
      </c>
      <c r="F702" s="378"/>
      <c r="G702" s="378"/>
      <c r="H702" s="378"/>
      <c r="I702" s="378"/>
      <c r="J702" s="378"/>
      <c r="K702" s="110"/>
      <c r="L702" s="110"/>
      <c r="M702" s="63"/>
      <c r="N702" s="378"/>
      <c r="O702" s="378">
        <v>10000</v>
      </c>
      <c r="P702" s="110"/>
      <c r="Q702" s="110"/>
      <c r="R702" s="110"/>
      <c r="S702" s="70">
        <f>P702-M702</f>
        <v>0</v>
      </c>
      <c r="T702" s="70">
        <f>P702-N702</f>
        <v>0</v>
      </c>
      <c r="U702" s="70">
        <f>Q702-O702</f>
        <v>-10000</v>
      </c>
      <c r="V702" s="506">
        <f t="shared" si="540"/>
        <v>0</v>
      </c>
      <c r="W702" s="506">
        <f t="shared" si="541"/>
        <v>0</v>
      </c>
      <c r="X702" s="31"/>
      <c r="Y702" s="486"/>
      <c r="Z702" s="31"/>
      <c r="AA702" s="31"/>
      <c r="AB702" s="31"/>
    </row>
    <row r="703" spans="1:38" ht="12.6" customHeight="1" x14ac:dyDescent="0.3">
      <c r="A703" s="613">
        <v>3239</v>
      </c>
      <c r="B703" s="614" t="s">
        <v>31</v>
      </c>
      <c r="C703" s="596">
        <v>3000</v>
      </c>
      <c r="D703" s="110"/>
      <c r="E703" s="110">
        <v>0</v>
      </c>
      <c r="F703" s="378"/>
      <c r="G703" s="378">
        <v>5000</v>
      </c>
      <c r="H703" s="378">
        <v>8000</v>
      </c>
      <c r="I703" s="378"/>
      <c r="J703" s="378"/>
      <c r="K703" s="110"/>
      <c r="L703" s="110"/>
      <c r="M703" s="63">
        <f>H703-I703+J703-K703+L703</f>
        <v>8000</v>
      </c>
      <c r="N703" s="378">
        <v>13000</v>
      </c>
      <c r="O703" s="378">
        <v>35000</v>
      </c>
      <c r="P703" s="110">
        <v>20000</v>
      </c>
      <c r="Q703" s="110">
        <v>37500</v>
      </c>
      <c r="R703" s="110"/>
      <c r="S703" s="70">
        <f>P703-M703</f>
        <v>12000</v>
      </c>
      <c r="T703" s="70">
        <f>P703-N703</f>
        <v>7000</v>
      </c>
      <c r="U703" s="70">
        <f>Q703-O703</f>
        <v>2500</v>
      </c>
      <c r="V703" s="506">
        <f t="shared" si="540"/>
        <v>12000</v>
      </c>
      <c r="W703" s="506">
        <f t="shared" si="541"/>
        <v>0</v>
      </c>
      <c r="X703" s="31"/>
      <c r="Y703" s="486"/>
      <c r="Z703" s="31"/>
      <c r="AA703" s="31"/>
      <c r="AB703" s="31"/>
    </row>
    <row r="704" spans="1:38" ht="13.05" hidden="1" x14ac:dyDescent="0.3">
      <c r="A704" s="615">
        <v>329</v>
      </c>
      <c r="B704" s="616" t="s">
        <v>33</v>
      </c>
      <c r="C704" s="612">
        <f>SUM(C705)</f>
        <v>1000</v>
      </c>
      <c r="D704" s="116"/>
      <c r="E704" s="116">
        <f>SUM(E705)</f>
        <v>0</v>
      </c>
      <c r="F704" s="382"/>
      <c r="G704" s="382"/>
      <c r="H704" s="382"/>
      <c r="I704" s="382"/>
      <c r="J704" s="382"/>
      <c r="K704" s="382"/>
      <c r="L704" s="382"/>
      <c r="M704" s="382"/>
      <c r="N704" s="382"/>
      <c r="O704" s="382"/>
      <c r="P704" s="116"/>
      <c r="Q704" s="116"/>
      <c r="R704" s="116"/>
      <c r="S704" s="318">
        <f>H704-E704</f>
        <v>0</v>
      </c>
      <c r="T704" s="318">
        <f>J704-F704</f>
        <v>0</v>
      </c>
      <c r="U704" s="63"/>
      <c r="V704" s="506">
        <f t="shared" si="540"/>
        <v>0</v>
      </c>
      <c r="W704" s="506">
        <f t="shared" si="541"/>
        <v>0</v>
      </c>
      <c r="X704" s="31"/>
      <c r="Y704" s="486"/>
      <c r="Z704" s="31"/>
      <c r="AA704" s="31"/>
      <c r="AB704" s="31"/>
    </row>
    <row r="705" spans="1:38" ht="13.05" hidden="1" x14ac:dyDescent="0.3">
      <c r="A705" s="613">
        <v>3293</v>
      </c>
      <c r="B705" s="614" t="s">
        <v>36</v>
      </c>
      <c r="C705" s="596">
        <v>1000</v>
      </c>
      <c r="D705" s="110"/>
      <c r="E705" s="110">
        <v>0</v>
      </c>
      <c r="F705" s="382"/>
      <c r="G705" s="382"/>
      <c r="H705" s="382"/>
      <c r="I705" s="382"/>
      <c r="J705" s="382"/>
      <c r="K705" s="116"/>
      <c r="L705" s="116"/>
      <c r="M705" s="63"/>
      <c r="N705" s="382"/>
      <c r="O705" s="382"/>
      <c r="P705" s="116"/>
      <c r="Q705" s="116"/>
      <c r="R705" s="116"/>
      <c r="S705" s="70">
        <f>P705-M705</f>
        <v>0</v>
      </c>
      <c r="T705" s="70">
        <f>P705-N705</f>
        <v>0</v>
      </c>
      <c r="U705" s="70">
        <f>Q705-O705</f>
        <v>0</v>
      </c>
      <c r="V705" s="506">
        <f t="shared" si="540"/>
        <v>0</v>
      </c>
      <c r="W705" s="506">
        <f t="shared" si="541"/>
        <v>0</v>
      </c>
      <c r="X705" s="31"/>
      <c r="Y705" s="486"/>
      <c r="Z705" s="31"/>
      <c r="AA705" s="31"/>
      <c r="AB705" s="31"/>
    </row>
    <row r="706" spans="1:38" ht="25.2" hidden="1" customHeight="1" x14ac:dyDescent="0.3">
      <c r="A706" s="615">
        <v>324</v>
      </c>
      <c r="B706" s="616" t="s">
        <v>355</v>
      </c>
      <c r="C706" s="612">
        <f>SUM(C707)</f>
        <v>4000</v>
      </c>
      <c r="D706" s="116"/>
      <c r="E706" s="116">
        <f>SUM(E707)</f>
        <v>0</v>
      </c>
      <c r="F706" s="382">
        <f t="shared" ref="F706:U706" si="585">SUM(F707)</f>
        <v>0</v>
      </c>
      <c r="G706" s="382">
        <f t="shared" si="585"/>
        <v>9000</v>
      </c>
      <c r="H706" s="382">
        <f t="shared" si="585"/>
        <v>5000</v>
      </c>
      <c r="I706" s="382">
        <f t="shared" si="585"/>
        <v>5000</v>
      </c>
      <c r="J706" s="382">
        <f t="shared" si="585"/>
        <v>0</v>
      </c>
      <c r="K706" s="382">
        <f t="shared" si="585"/>
        <v>0</v>
      </c>
      <c r="L706" s="382">
        <f t="shared" si="585"/>
        <v>0</v>
      </c>
      <c r="M706" s="382">
        <f t="shared" si="585"/>
        <v>0</v>
      </c>
      <c r="N706" s="382">
        <f t="shared" si="585"/>
        <v>0</v>
      </c>
      <c r="O706" s="382">
        <f t="shared" si="585"/>
        <v>0</v>
      </c>
      <c r="P706" s="382">
        <f t="shared" si="585"/>
        <v>0</v>
      </c>
      <c r="Q706" s="382">
        <f t="shared" si="585"/>
        <v>0</v>
      </c>
      <c r="R706" s="382">
        <f t="shared" si="585"/>
        <v>0</v>
      </c>
      <c r="S706" s="382">
        <f t="shared" si="585"/>
        <v>0</v>
      </c>
      <c r="T706" s="382">
        <f t="shared" si="585"/>
        <v>0</v>
      </c>
      <c r="U706" s="382">
        <f t="shared" si="585"/>
        <v>0</v>
      </c>
      <c r="V706" s="506">
        <f t="shared" si="540"/>
        <v>0</v>
      </c>
      <c r="W706" s="506">
        <f t="shared" si="541"/>
        <v>0</v>
      </c>
      <c r="X706" s="31"/>
      <c r="Y706" s="486"/>
      <c r="Z706" s="31"/>
      <c r="AA706" s="31"/>
      <c r="AB706" s="31"/>
    </row>
    <row r="707" spans="1:38" hidden="1" x14ac:dyDescent="0.3">
      <c r="A707" s="613">
        <v>3241</v>
      </c>
      <c r="B707" s="614" t="s">
        <v>355</v>
      </c>
      <c r="C707" s="596">
        <v>4000</v>
      </c>
      <c r="D707" s="110"/>
      <c r="E707" s="110">
        <v>0</v>
      </c>
      <c r="F707" s="378"/>
      <c r="G707" s="378">
        <v>9000</v>
      </c>
      <c r="H707" s="378">
        <v>5000</v>
      </c>
      <c r="I707" s="378">
        <v>5000</v>
      </c>
      <c r="J707" s="378"/>
      <c r="K707" s="110"/>
      <c r="L707" s="110"/>
      <c r="M707" s="63">
        <f>H707-I707+J707-K707+L707</f>
        <v>0</v>
      </c>
      <c r="N707" s="378"/>
      <c r="O707" s="378"/>
      <c r="P707" s="110"/>
      <c r="Q707" s="110"/>
      <c r="R707" s="110"/>
      <c r="S707" s="70">
        <f>P707-M707</f>
        <v>0</v>
      </c>
      <c r="T707" s="70">
        <f>P707-N707</f>
        <v>0</v>
      </c>
      <c r="U707" s="70">
        <f>Q707-O707</f>
        <v>0</v>
      </c>
      <c r="V707" s="506">
        <f t="shared" si="540"/>
        <v>0</v>
      </c>
      <c r="W707" s="506">
        <f t="shared" si="541"/>
        <v>0</v>
      </c>
      <c r="X707" s="31"/>
      <c r="Y707" s="486"/>
      <c r="Z707" s="31"/>
      <c r="AA707" s="31"/>
      <c r="AB707" s="31"/>
    </row>
    <row r="708" spans="1:38" ht="28.2" customHeight="1" x14ac:dyDescent="0.3">
      <c r="A708" s="610" t="s">
        <v>323</v>
      </c>
      <c r="B708" s="611" t="s">
        <v>324</v>
      </c>
      <c r="C708" s="599">
        <f>SUM(C709,C712)</f>
        <v>232000</v>
      </c>
      <c r="D708" s="148"/>
      <c r="E708" s="148">
        <f t="shared" ref="E708:U708" si="586">SUM(E709,E712)</f>
        <v>11000</v>
      </c>
      <c r="F708" s="381">
        <f t="shared" si="586"/>
        <v>567000</v>
      </c>
      <c r="G708" s="381">
        <f t="shared" si="586"/>
        <v>3285000</v>
      </c>
      <c r="H708" s="381">
        <f t="shared" si="586"/>
        <v>1250000</v>
      </c>
      <c r="I708" s="381">
        <f t="shared" si="586"/>
        <v>612000</v>
      </c>
      <c r="J708" s="381">
        <f t="shared" si="586"/>
        <v>0</v>
      </c>
      <c r="K708" s="381">
        <f t="shared" si="586"/>
        <v>200000</v>
      </c>
      <c r="L708" s="381">
        <f t="shared" si="586"/>
        <v>0</v>
      </c>
      <c r="M708" s="381">
        <f t="shared" si="586"/>
        <v>438000</v>
      </c>
      <c r="N708" s="381">
        <f t="shared" si="586"/>
        <v>2228000</v>
      </c>
      <c r="O708" s="381">
        <f t="shared" si="586"/>
        <v>0</v>
      </c>
      <c r="P708" s="381">
        <f t="shared" si="586"/>
        <v>408500</v>
      </c>
      <c r="Q708" s="381">
        <f t="shared" si="586"/>
        <v>2964000</v>
      </c>
      <c r="R708" s="381">
        <f t="shared" si="586"/>
        <v>0</v>
      </c>
      <c r="S708" s="600">
        <f t="shared" si="586"/>
        <v>-29500</v>
      </c>
      <c r="T708" s="600">
        <f t="shared" si="586"/>
        <v>-1819500</v>
      </c>
      <c r="U708" s="600">
        <f t="shared" si="586"/>
        <v>2964000</v>
      </c>
      <c r="V708" s="506">
        <f t="shared" si="540"/>
        <v>-29500</v>
      </c>
      <c r="W708" s="506">
        <f t="shared" si="541"/>
        <v>0</v>
      </c>
      <c r="X708" s="31"/>
      <c r="Y708" s="486"/>
      <c r="Z708" s="31"/>
      <c r="AA708" s="31"/>
      <c r="AB708" s="31"/>
    </row>
    <row r="709" spans="1:38" x14ac:dyDescent="0.3">
      <c r="A709" s="615">
        <v>422</v>
      </c>
      <c r="B709" s="616" t="s">
        <v>356</v>
      </c>
      <c r="C709" s="612">
        <f>SUM(C710:C711)</f>
        <v>134000</v>
      </c>
      <c r="D709" s="116"/>
      <c r="E709" s="116">
        <f>SUM(E710:E711)</f>
        <v>11000</v>
      </c>
      <c r="F709" s="382">
        <f t="shared" ref="F709:U709" si="587">SUM(F710:F711)</f>
        <v>0</v>
      </c>
      <c r="G709" s="382">
        <f t="shared" si="587"/>
        <v>2665000</v>
      </c>
      <c r="H709" s="382">
        <f t="shared" si="587"/>
        <v>590000</v>
      </c>
      <c r="I709" s="382">
        <f t="shared" si="587"/>
        <v>100000</v>
      </c>
      <c r="J709" s="382">
        <f t="shared" si="587"/>
        <v>0</v>
      </c>
      <c r="K709" s="382">
        <f t="shared" si="587"/>
        <v>200000</v>
      </c>
      <c r="L709" s="382">
        <f t="shared" si="587"/>
        <v>0</v>
      </c>
      <c r="M709" s="382">
        <f t="shared" si="587"/>
        <v>290000</v>
      </c>
      <c r="N709" s="382">
        <f t="shared" si="587"/>
        <v>1613000</v>
      </c>
      <c r="O709" s="382">
        <f t="shared" si="587"/>
        <v>0</v>
      </c>
      <c r="P709" s="382">
        <f t="shared" si="587"/>
        <v>348500</v>
      </c>
      <c r="Q709" s="382">
        <f t="shared" si="587"/>
        <v>2750000</v>
      </c>
      <c r="R709" s="382">
        <f t="shared" si="587"/>
        <v>0</v>
      </c>
      <c r="S709" s="382">
        <f t="shared" si="587"/>
        <v>58500</v>
      </c>
      <c r="T709" s="382">
        <f t="shared" si="587"/>
        <v>-1264500</v>
      </c>
      <c r="U709" s="382">
        <f t="shared" si="587"/>
        <v>2750000</v>
      </c>
      <c r="V709" s="506">
        <f t="shared" si="540"/>
        <v>58500</v>
      </c>
      <c r="W709" s="506">
        <f t="shared" si="541"/>
        <v>0</v>
      </c>
      <c r="X709" s="31"/>
      <c r="Y709" s="486"/>
      <c r="Z709" s="31"/>
      <c r="AA709" s="31"/>
      <c r="AB709" s="31"/>
    </row>
    <row r="710" spans="1:38" x14ac:dyDescent="0.3">
      <c r="A710" s="613">
        <v>4223</v>
      </c>
      <c r="B710" s="614" t="s">
        <v>59</v>
      </c>
      <c r="C710" s="596">
        <v>48000</v>
      </c>
      <c r="D710" s="110"/>
      <c r="E710" s="110">
        <v>11000</v>
      </c>
      <c r="F710" s="378"/>
      <c r="G710" s="378"/>
      <c r="H710" s="378">
        <v>100000</v>
      </c>
      <c r="I710" s="378"/>
      <c r="J710" s="378"/>
      <c r="K710" s="110"/>
      <c r="L710" s="110"/>
      <c r="M710" s="63">
        <f>H710-I710+J710-K710+L710</f>
        <v>100000</v>
      </c>
      <c r="N710" s="378"/>
      <c r="O710" s="378"/>
      <c r="P710" s="110">
        <v>106500</v>
      </c>
      <c r="Q710" s="110"/>
      <c r="R710" s="110"/>
      <c r="S710" s="70">
        <f>P710-M710</f>
        <v>6500</v>
      </c>
      <c r="T710" s="70">
        <f>P710-N710</f>
        <v>106500</v>
      </c>
      <c r="U710" s="70">
        <f>Q710-O710</f>
        <v>0</v>
      </c>
      <c r="V710" s="506">
        <f t="shared" si="540"/>
        <v>6500</v>
      </c>
      <c r="W710" s="506">
        <f t="shared" si="541"/>
        <v>0</v>
      </c>
      <c r="X710" s="31"/>
      <c r="Y710" s="486"/>
      <c r="Z710" s="31"/>
      <c r="AA710" s="31"/>
      <c r="AB710" s="31"/>
    </row>
    <row r="711" spans="1:38" x14ac:dyDescent="0.3">
      <c r="A711" s="613">
        <v>4227</v>
      </c>
      <c r="B711" s="614" t="s">
        <v>60</v>
      </c>
      <c r="C711" s="596">
        <v>86000</v>
      </c>
      <c r="D711" s="110"/>
      <c r="E711" s="110">
        <v>0</v>
      </c>
      <c r="F711" s="378"/>
      <c r="G711" s="378">
        <v>2665000</v>
      </c>
      <c r="H711" s="378">
        <v>490000</v>
      </c>
      <c r="I711" s="378">
        <v>100000</v>
      </c>
      <c r="J711" s="378"/>
      <c r="K711" s="378">
        <v>200000</v>
      </c>
      <c r="L711" s="110"/>
      <c r="M711" s="63">
        <f>H711-I711+J711-K711+L711</f>
        <v>190000</v>
      </c>
      <c r="N711" s="378">
        <f>2613000-1000000</f>
        <v>1613000</v>
      </c>
      <c r="O711" s="378"/>
      <c r="P711" s="110">
        <v>242000</v>
      </c>
      <c r="Q711" s="110">
        <v>2750000</v>
      </c>
      <c r="R711" s="110"/>
      <c r="S711" s="70">
        <f>P711-M711</f>
        <v>52000</v>
      </c>
      <c r="T711" s="70">
        <f>P711-N711</f>
        <v>-1371000</v>
      </c>
      <c r="U711" s="70">
        <f>Q711-O711</f>
        <v>2750000</v>
      </c>
      <c r="V711" s="506">
        <f t="shared" si="540"/>
        <v>52000</v>
      </c>
      <c r="W711" s="506">
        <f t="shared" si="541"/>
        <v>0</v>
      </c>
      <c r="X711" s="31"/>
      <c r="Y711" s="486"/>
      <c r="Z711" s="31"/>
      <c r="AA711" s="31"/>
      <c r="AB711" s="31"/>
    </row>
    <row r="712" spans="1:38" s="4" customFormat="1" x14ac:dyDescent="0.3">
      <c r="A712" s="615">
        <v>423</v>
      </c>
      <c r="B712" s="616" t="s">
        <v>61</v>
      </c>
      <c r="C712" s="612">
        <f>SUM(C713)</f>
        <v>98000</v>
      </c>
      <c r="D712" s="116"/>
      <c r="E712" s="116">
        <f>SUM(E713)</f>
        <v>0</v>
      </c>
      <c r="F712" s="382">
        <f t="shared" ref="F712:U712" si="588">SUM(F713)</f>
        <v>567000</v>
      </c>
      <c r="G712" s="382">
        <f t="shared" si="588"/>
        <v>620000</v>
      </c>
      <c r="H712" s="382">
        <f t="shared" si="588"/>
        <v>660000</v>
      </c>
      <c r="I712" s="382">
        <f t="shared" si="588"/>
        <v>512000</v>
      </c>
      <c r="J712" s="382">
        <f t="shared" si="588"/>
        <v>0</v>
      </c>
      <c r="K712" s="382">
        <f t="shared" si="588"/>
        <v>0</v>
      </c>
      <c r="L712" s="382">
        <f t="shared" si="588"/>
        <v>0</v>
      </c>
      <c r="M712" s="382">
        <f t="shared" si="588"/>
        <v>148000</v>
      </c>
      <c r="N712" s="382">
        <f t="shared" si="588"/>
        <v>615000</v>
      </c>
      <c r="O712" s="382">
        <f t="shared" si="588"/>
        <v>0</v>
      </c>
      <c r="P712" s="382">
        <f t="shared" si="588"/>
        <v>60000</v>
      </c>
      <c r="Q712" s="382">
        <f t="shared" si="588"/>
        <v>214000</v>
      </c>
      <c r="R712" s="382">
        <f t="shared" si="588"/>
        <v>0</v>
      </c>
      <c r="S712" s="382">
        <f t="shared" si="588"/>
        <v>-88000</v>
      </c>
      <c r="T712" s="382">
        <f t="shared" si="588"/>
        <v>-555000</v>
      </c>
      <c r="U712" s="382">
        <f t="shared" si="588"/>
        <v>214000</v>
      </c>
      <c r="V712" s="506">
        <f t="shared" si="540"/>
        <v>-88000</v>
      </c>
      <c r="W712" s="506">
        <f t="shared" si="541"/>
        <v>0</v>
      </c>
      <c r="X712" s="31"/>
      <c r="Y712" s="486"/>
      <c r="Z712" s="31"/>
      <c r="AA712" s="31"/>
      <c r="AB712" s="31"/>
      <c r="AH712" s="457"/>
      <c r="AI712" s="457"/>
      <c r="AJ712" s="457"/>
      <c r="AK712" s="457"/>
      <c r="AL712" s="457"/>
    </row>
    <row r="713" spans="1:38" s="4" customFormat="1" x14ac:dyDescent="0.3">
      <c r="A713" s="613">
        <v>4231</v>
      </c>
      <c r="B713" s="614" t="s">
        <v>62</v>
      </c>
      <c r="C713" s="596">
        <v>98000</v>
      </c>
      <c r="D713" s="110"/>
      <c r="E713" s="110">
        <v>0</v>
      </c>
      <c r="F713" s="378">
        <v>567000</v>
      </c>
      <c r="G713" s="378">
        <v>620000</v>
      </c>
      <c r="H713" s="378">
        <v>660000</v>
      </c>
      <c r="I713" s="378">
        <v>512000</v>
      </c>
      <c r="J713" s="378"/>
      <c r="K713" s="378"/>
      <c r="L713" s="110"/>
      <c r="M713" s="63">
        <f>H713-I713+J713-K713+L713</f>
        <v>148000</v>
      </c>
      <c r="N713" s="378">
        <v>615000</v>
      </c>
      <c r="O713" s="378"/>
      <c r="P713" s="110">
        <v>60000</v>
      </c>
      <c r="Q713" s="110">
        <v>214000</v>
      </c>
      <c r="R713" s="110"/>
      <c r="S713" s="70">
        <f>P713-M713</f>
        <v>-88000</v>
      </c>
      <c r="T713" s="70">
        <f>P713-N713</f>
        <v>-555000</v>
      </c>
      <c r="U713" s="70">
        <f>Q713-O713</f>
        <v>214000</v>
      </c>
      <c r="V713" s="506">
        <f t="shared" si="540"/>
        <v>-88000</v>
      </c>
      <c r="W713" s="506">
        <f t="shared" si="541"/>
        <v>0</v>
      </c>
      <c r="X713" s="31"/>
      <c r="Y713" s="486"/>
      <c r="Z713" s="31"/>
      <c r="AA713" s="31"/>
      <c r="AB713" s="31"/>
      <c r="AH713" s="457"/>
      <c r="AI713" s="457"/>
      <c r="AJ713" s="457"/>
      <c r="AK713" s="457"/>
      <c r="AL713" s="457"/>
    </row>
    <row r="714" spans="1:38" ht="26.4" hidden="1" x14ac:dyDescent="0.3">
      <c r="A714" s="144">
        <v>45</v>
      </c>
      <c r="B714" s="145" t="s">
        <v>329</v>
      </c>
      <c r="C714" s="599">
        <f>SUM(C715)</f>
        <v>390000</v>
      </c>
      <c r="D714" s="148"/>
      <c r="E714" s="148">
        <f t="shared" ref="E714:U715" si="589">SUM(E715)</f>
        <v>0</v>
      </c>
      <c r="F714" s="381">
        <f t="shared" si="589"/>
        <v>0</v>
      </c>
      <c r="G714" s="381">
        <f t="shared" si="589"/>
        <v>0</v>
      </c>
      <c r="H714" s="381">
        <f t="shared" si="589"/>
        <v>387000</v>
      </c>
      <c r="I714" s="381">
        <f t="shared" si="589"/>
        <v>387000</v>
      </c>
      <c r="J714" s="381">
        <f t="shared" si="589"/>
        <v>0</v>
      </c>
      <c r="K714" s="381">
        <f t="shared" si="589"/>
        <v>0</v>
      </c>
      <c r="L714" s="381">
        <f t="shared" si="589"/>
        <v>0</v>
      </c>
      <c r="M714" s="381">
        <f t="shared" si="589"/>
        <v>0</v>
      </c>
      <c r="N714" s="381">
        <f t="shared" si="589"/>
        <v>0</v>
      </c>
      <c r="O714" s="381">
        <f t="shared" si="589"/>
        <v>0</v>
      </c>
      <c r="P714" s="381">
        <f t="shared" si="589"/>
        <v>0</v>
      </c>
      <c r="Q714" s="381">
        <f t="shared" si="589"/>
        <v>0</v>
      </c>
      <c r="R714" s="381">
        <f t="shared" si="589"/>
        <v>0</v>
      </c>
      <c r="S714" s="600">
        <f t="shared" si="589"/>
        <v>0</v>
      </c>
      <c r="T714" s="600">
        <f t="shared" si="589"/>
        <v>0</v>
      </c>
      <c r="U714" s="600">
        <f t="shared" si="589"/>
        <v>0</v>
      </c>
      <c r="V714" s="506">
        <f t="shared" si="540"/>
        <v>0</v>
      </c>
      <c r="W714" s="506">
        <f t="shared" si="541"/>
        <v>0</v>
      </c>
      <c r="X714" s="31"/>
      <c r="Y714" s="486"/>
      <c r="Z714" s="31"/>
      <c r="AA714" s="31"/>
      <c r="AB714" s="31"/>
    </row>
    <row r="715" spans="1:38" s="4" customFormat="1" hidden="1" x14ac:dyDescent="0.3">
      <c r="A715" s="586">
        <v>453</v>
      </c>
      <c r="B715" s="558" t="s">
        <v>287</v>
      </c>
      <c r="C715" s="559">
        <f>SUM(C716)</f>
        <v>390000</v>
      </c>
      <c r="D715" s="79"/>
      <c r="E715" s="79">
        <f>SUM(E716)</f>
        <v>0</v>
      </c>
      <c r="F715" s="369">
        <f t="shared" si="589"/>
        <v>0</v>
      </c>
      <c r="G715" s="369">
        <f t="shared" si="589"/>
        <v>0</v>
      </c>
      <c r="H715" s="369">
        <f t="shared" si="589"/>
        <v>387000</v>
      </c>
      <c r="I715" s="369">
        <f t="shared" si="589"/>
        <v>387000</v>
      </c>
      <c r="J715" s="369">
        <f t="shared" si="589"/>
        <v>0</v>
      </c>
      <c r="K715" s="369">
        <f t="shared" si="589"/>
        <v>0</v>
      </c>
      <c r="L715" s="369">
        <f t="shared" si="589"/>
        <v>0</v>
      </c>
      <c r="M715" s="369">
        <f t="shared" si="589"/>
        <v>0</v>
      </c>
      <c r="N715" s="369">
        <f t="shared" si="589"/>
        <v>0</v>
      </c>
      <c r="O715" s="369">
        <f t="shared" si="589"/>
        <v>0</v>
      </c>
      <c r="P715" s="369">
        <f t="shared" si="589"/>
        <v>0</v>
      </c>
      <c r="Q715" s="369">
        <f t="shared" si="589"/>
        <v>0</v>
      </c>
      <c r="R715" s="369">
        <f t="shared" si="589"/>
        <v>0</v>
      </c>
      <c r="S715" s="369">
        <f t="shared" si="589"/>
        <v>0</v>
      </c>
      <c r="T715" s="369">
        <f t="shared" si="589"/>
        <v>0</v>
      </c>
      <c r="U715" s="369">
        <f t="shared" si="589"/>
        <v>0</v>
      </c>
      <c r="V715" s="506">
        <f t="shared" ref="V715:V779" si="590">P715-M715</f>
        <v>0</v>
      </c>
      <c r="W715" s="506">
        <f t="shared" ref="W715:W779" si="591">S715-V715</f>
        <v>0</v>
      </c>
      <c r="X715" s="31"/>
      <c r="Y715" s="486"/>
      <c r="Z715" s="31"/>
      <c r="AA715" s="31"/>
      <c r="AB715" s="31"/>
      <c r="AH715" s="457"/>
      <c r="AI715" s="457"/>
      <c r="AJ715" s="457"/>
      <c r="AK715" s="457"/>
      <c r="AL715" s="457"/>
    </row>
    <row r="716" spans="1:38" hidden="1" x14ac:dyDescent="0.3">
      <c r="A716" s="130">
        <v>4531</v>
      </c>
      <c r="B716" s="107" t="s">
        <v>287</v>
      </c>
      <c r="C716" s="108">
        <v>390000</v>
      </c>
      <c r="D716" s="102"/>
      <c r="E716" s="102">
        <v>0</v>
      </c>
      <c r="F716" s="109"/>
      <c r="G716" s="109"/>
      <c r="H716" s="109">
        <v>387000</v>
      </c>
      <c r="I716" s="378">
        <v>387000</v>
      </c>
      <c r="J716" s="109"/>
      <c r="K716" s="102"/>
      <c r="L716" s="102"/>
      <c r="M716" s="63">
        <f>H716-I716+J716-K716+L716</f>
        <v>0</v>
      </c>
      <c r="N716" s="109"/>
      <c r="O716" s="109"/>
      <c r="P716" s="102"/>
      <c r="Q716" s="102"/>
      <c r="R716" s="102"/>
      <c r="S716" s="70">
        <f>P716-M716</f>
        <v>0</v>
      </c>
      <c r="T716" s="70">
        <f>P716-N716</f>
        <v>0</v>
      </c>
      <c r="U716" s="63">
        <f>N716-G716</f>
        <v>0</v>
      </c>
      <c r="V716" s="506">
        <f t="shared" si="590"/>
        <v>0</v>
      </c>
      <c r="W716" s="506">
        <f t="shared" si="591"/>
        <v>0</v>
      </c>
      <c r="X716" s="31"/>
      <c r="Y716" s="486"/>
      <c r="Z716" s="31"/>
      <c r="AA716" s="31"/>
      <c r="AB716" s="31"/>
      <c r="AD716" s="458" t="s">
        <v>454</v>
      </c>
    </row>
    <row r="717" spans="1:38" s="4" customFormat="1" ht="13.5" customHeight="1" x14ac:dyDescent="0.3">
      <c r="A717" s="579" t="s">
        <v>338</v>
      </c>
      <c r="B717" s="580" t="s">
        <v>339</v>
      </c>
      <c r="C717" s="581">
        <f t="shared" ref="C717:U717" si="592">C718</f>
        <v>1728000</v>
      </c>
      <c r="D717" s="99"/>
      <c r="E717" s="99">
        <f t="shared" si="592"/>
        <v>233000</v>
      </c>
      <c r="F717" s="373">
        <f t="shared" si="592"/>
        <v>2401000</v>
      </c>
      <c r="G717" s="373">
        <f t="shared" si="592"/>
        <v>2734000</v>
      </c>
      <c r="H717" s="373">
        <f t="shared" si="592"/>
        <v>2018000</v>
      </c>
      <c r="I717" s="373">
        <f t="shared" si="592"/>
        <v>1400000</v>
      </c>
      <c r="J717" s="373">
        <f t="shared" si="592"/>
        <v>60000</v>
      </c>
      <c r="K717" s="373">
        <f t="shared" si="592"/>
        <v>0</v>
      </c>
      <c r="L717" s="373">
        <f t="shared" si="592"/>
        <v>0</v>
      </c>
      <c r="M717" s="373">
        <f t="shared" si="592"/>
        <v>678000</v>
      </c>
      <c r="N717" s="373">
        <f t="shared" si="592"/>
        <v>2000000</v>
      </c>
      <c r="O717" s="373">
        <f t="shared" si="592"/>
        <v>2700000</v>
      </c>
      <c r="P717" s="373">
        <f t="shared" si="592"/>
        <v>3995000</v>
      </c>
      <c r="Q717" s="373">
        <f t="shared" si="592"/>
        <v>2820000</v>
      </c>
      <c r="R717" s="373">
        <f t="shared" si="592"/>
        <v>1367000</v>
      </c>
      <c r="S717" s="373">
        <f t="shared" si="592"/>
        <v>3317000</v>
      </c>
      <c r="T717" s="373">
        <f t="shared" si="592"/>
        <v>1995000</v>
      </c>
      <c r="U717" s="373">
        <f t="shared" si="592"/>
        <v>120000</v>
      </c>
      <c r="V717" s="506">
        <f t="shared" si="590"/>
        <v>3317000</v>
      </c>
      <c r="W717" s="506">
        <f t="shared" si="591"/>
        <v>0</v>
      </c>
      <c r="X717" s="31"/>
      <c r="Y717" s="500" t="s">
        <v>462</v>
      </c>
      <c r="Z717" s="31"/>
      <c r="AA717" s="31"/>
      <c r="AB717" s="31"/>
      <c r="AD717" s="436"/>
      <c r="AH717" s="457"/>
      <c r="AI717" s="457"/>
      <c r="AJ717" s="457"/>
      <c r="AK717" s="457"/>
      <c r="AL717" s="457"/>
    </row>
    <row r="718" spans="1:38" s="4" customFormat="1" x14ac:dyDescent="0.3">
      <c r="A718" s="693" t="s">
        <v>77</v>
      </c>
      <c r="B718" s="694"/>
      <c r="C718" s="582">
        <f t="shared" ref="C718:U718" si="593">SUM(C719,C734,C737,C750)</f>
        <v>1728000</v>
      </c>
      <c r="D718" s="100"/>
      <c r="E718" s="100">
        <f t="shared" ref="E718" si="594">SUM(E719,E734,E737,E750)</f>
        <v>233000</v>
      </c>
      <c r="F718" s="374">
        <f t="shared" si="593"/>
        <v>2401000</v>
      </c>
      <c r="G718" s="374">
        <f t="shared" si="593"/>
        <v>2734000</v>
      </c>
      <c r="H718" s="374">
        <f t="shared" si="593"/>
        <v>2018000</v>
      </c>
      <c r="I718" s="374">
        <f t="shared" si="593"/>
        <v>1400000</v>
      </c>
      <c r="J718" s="374">
        <f t="shared" si="593"/>
        <v>60000</v>
      </c>
      <c r="K718" s="374">
        <f t="shared" si="593"/>
        <v>0</v>
      </c>
      <c r="L718" s="374">
        <f t="shared" si="593"/>
        <v>0</v>
      </c>
      <c r="M718" s="374">
        <f t="shared" si="593"/>
        <v>678000</v>
      </c>
      <c r="N718" s="374">
        <f t="shared" si="593"/>
        <v>2000000</v>
      </c>
      <c r="O718" s="374">
        <f t="shared" si="593"/>
        <v>2700000</v>
      </c>
      <c r="P718" s="374">
        <f t="shared" si="593"/>
        <v>3995000</v>
      </c>
      <c r="Q718" s="374">
        <f t="shared" si="593"/>
        <v>2820000</v>
      </c>
      <c r="R718" s="374">
        <f t="shared" si="593"/>
        <v>1367000</v>
      </c>
      <c r="S718" s="587">
        <f t="shared" si="593"/>
        <v>3317000</v>
      </c>
      <c r="T718" s="587">
        <f t="shared" si="593"/>
        <v>1995000</v>
      </c>
      <c r="U718" s="587">
        <f t="shared" si="593"/>
        <v>120000</v>
      </c>
      <c r="V718" s="506">
        <f t="shared" si="590"/>
        <v>3317000</v>
      </c>
      <c r="W718" s="506">
        <f t="shared" si="591"/>
        <v>0</v>
      </c>
      <c r="X718" s="31"/>
      <c r="Y718" s="486"/>
      <c r="Z718" s="31"/>
      <c r="AA718" s="31"/>
      <c r="AB718" s="31"/>
      <c r="AD718" s="25"/>
      <c r="AH718" s="457"/>
      <c r="AI718" s="457"/>
      <c r="AJ718" s="457"/>
      <c r="AK718" s="457"/>
      <c r="AL718" s="457"/>
    </row>
    <row r="719" spans="1:38" s="4" customFormat="1" x14ac:dyDescent="0.3">
      <c r="A719" s="610">
        <v>32</v>
      </c>
      <c r="B719" s="611" t="s">
        <v>363</v>
      </c>
      <c r="C719" s="599">
        <f t="shared" ref="C719:U719" si="595">SUM(C720,C723,C725)</f>
        <v>677000</v>
      </c>
      <c r="D719" s="148"/>
      <c r="E719" s="148">
        <f t="shared" ref="E719" si="596">SUM(E720,E723,E725)</f>
        <v>26000</v>
      </c>
      <c r="F719" s="381">
        <f t="shared" si="595"/>
        <v>945000</v>
      </c>
      <c r="G719" s="381">
        <f t="shared" si="595"/>
        <v>1104000</v>
      </c>
      <c r="H719" s="381">
        <f t="shared" si="595"/>
        <v>230000</v>
      </c>
      <c r="I719" s="381">
        <f t="shared" si="595"/>
        <v>0</v>
      </c>
      <c r="J719" s="381">
        <f t="shared" si="595"/>
        <v>0</v>
      </c>
      <c r="K719" s="381">
        <f t="shared" si="595"/>
        <v>0</v>
      </c>
      <c r="L719" s="381">
        <f t="shared" si="595"/>
        <v>0</v>
      </c>
      <c r="M719" s="381">
        <f t="shared" si="595"/>
        <v>230000</v>
      </c>
      <c r="N719" s="381">
        <f t="shared" si="595"/>
        <v>500000</v>
      </c>
      <c r="O719" s="381">
        <f t="shared" si="595"/>
        <v>700000</v>
      </c>
      <c r="P719" s="381">
        <f t="shared" si="595"/>
        <v>2948000</v>
      </c>
      <c r="Q719" s="381">
        <f t="shared" si="595"/>
        <v>2252000</v>
      </c>
      <c r="R719" s="381">
        <f t="shared" si="595"/>
        <v>900000</v>
      </c>
      <c r="S719" s="600">
        <f t="shared" si="595"/>
        <v>2718000</v>
      </c>
      <c r="T719" s="600">
        <f t="shared" si="595"/>
        <v>2448000</v>
      </c>
      <c r="U719" s="600">
        <f t="shared" si="595"/>
        <v>1552000</v>
      </c>
      <c r="V719" s="506">
        <f t="shared" si="590"/>
        <v>2718000</v>
      </c>
      <c r="W719" s="506">
        <f t="shared" si="591"/>
        <v>0</v>
      </c>
      <c r="X719" s="31"/>
      <c r="Y719" s="486"/>
      <c r="Z719" s="31"/>
      <c r="AA719" s="31"/>
      <c r="AB719" s="31"/>
      <c r="AH719" s="457"/>
      <c r="AI719" s="457"/>
      <c r="AJ719" s="457"/>
      <c r="AK719" s="457"/>
      <c r="AL719" s="457"/>
    </row>
    <row r="720" spans="1:38" s="4" customFormat="1" x14ac:dyDescent="0.3">
      <c r="A720" s="607">
        <v>321</v>
      </c>
      <c r="B720" s="119" t="s">
        <v>12</v>
      </c>
      <c r="C720" s="559">
        <f t="shared" ref="C720:U720" si="597">SUM(C721:C722)</f>
        <v>24000</v>
      </c>
      <c r="D720" s="79"/>
      <c r="E720" s="79">
        <f t="shared" ref="E720" si="598">SUM(E721:E722)</f>
        <v>0</v>
      </c>
      <c r="F720" s="369">
        <f t="shared" si="597"/>
        <v>24000</v>
      </c>
      <c r="G720" s="369">
        <f t="shared" si="597"/>
        <v>24000</v>
      </c>
      <c r="H720" s="369">
        <f t="shared" si="597"/>
        <v>20000</v>
      </c>
      <c r="I720" s="369">
        <f t="shared" si="597"/>
        <v>0</v>
      </c>
      <c r="J720" s="369">
        <f t="shared" si="597"/>
        <v>0</v>
      </c>
      <c r="K720" s="369">
        <f t="shared" si="597"/>
        <v>0</v>
      </c>
      <c r="L720" s="369">
        <f t="shared" si="597"/>
        <v>0</v>
      </c>
      <c r="M720" s="369">
        <f t="shared" si="597"/>
        <v>20000</v>
      </c>
      <c r="N720" s="369">
        <f t="shared" si="597"/>
        <v>60000</v>
      </c>
      <c r="O720" s="369">
        <f t="shared" si="597"/>
        <v>80000</v>
      </c>
      <c r="P720" s="369">
        <f t="shared" si="597"/>
        <v>9000</v>
      </c>
      <c r="Q720" s="369">
        <f t="shared" si="597"/>
        <v>9000</v>
      </c>
      <c r="R720" s="369">
        <f t="shared" si="597"/>
        <v>9000</v>
      </c>
      <c r="S720" s="369">
        <f t="shared" si="597"/>
        <v>-11000</v>
      </c>
      <c r="T720" s="369">
        <f t="shared" si="597"/>
        <v>-51000</v>
      </c>
      <c r="U720" s="369">
        <f t="shared" si="597"/>
        <v>-71000</v>
      </c>
      <c r="V720" s="506">
        <f t="shared" si="590"/>
        <v>-11000</v>
      </c>
      <c r="W720" s="506">
        <f t="shared" si="591"/>
        <v>0</v>
      </c>
      <c r="X720" s="31"/>
      <c r="Y720" s="486"/>
      <c r="Z720" s="31"/>
      <c r="AA720" s="31"/>
      <c r="AB720" s="31"/>
      <c r="AH720" s="457"/>
      <c r="AI720" s="457"/>
      <c r="AJ720" s="457"/>
      <c r="AK720" s="457"/>
      <c r="AL720" s="457"/>
    </row>
    <row r="721" spans="1:38" s="4" customFormat="1" hidden="1" x14ac:dyDescent="0.3">
      <c r="A721" s="434">
        <v>3211</v>
      </c>
      <c r="B721" s="117" t="s">
        <v>13</v>
      </c>
      <c r="C721" s="108">
        <v>5000</v>
      </c>
      <c r="D721" s="102"/>
      <c r="E721" s="102">
        <v>0</v>
      </c>
      <c r="F721" s="109">
        <v>5000</v>
      </c>
      <c r="G721" s="109">
        <v>5000</v>
      </c>
      <c r="H721" s="109">
        <v>20000</v>
      </c>
      <c r="I721" s="109"/>
      <c r="J721" s="109"/>
      <c r="K721" s="102"/>
      <c r="L721" s="102"/>
      <c r="M721" s="63">
        <f>H721-I721+J721-K721+L721</f>
        <v>20000</v>
      </c>
      <c r="N721" s="109">
        <v>60000</v>
      </c>
      <c r="O721" s="109">
        <v>80000</v>
      </c>
      <c r="P721" s="102"/>
      <c r="Q721" s="102"/>
      <c r="R721" s="102"/>
      <c r="S721" s="70">
        <f>P721-M721</f>
        <v>-20000</v>
      </c>
      <c r="T721" s="70">
        <f>P721-N721</f>
        <v>-60000</v>
      </c>
      <c r="U721" s="70">
        <f>Q721-O721</f>
        <v>-80000</v>
      </c>
      <c r="V721" s="506">
        <f t="shared" si="590"/>
        <v>-20000</v>
      </c>
      <c r="W721" s="506">
        <f t="shared" si="591"/>
        <v>0</v>
      </c>
      <c r="X721" s="31"/>
      <c r="Y721" s="486"/>
      <c r="Z721" s="31"/>
      <c r="AA721" s="31"/>
      <c r="AB721" s="31"/>
      <c r="AH721" s="457"/>
      <c r="AI721" s="457"/>
      <c r="AJ721" s="457"/>
      <c r="AK721" s="457"/>
      <c r="AL721" s="457"/>
    </row>
    <row r="722" spans="1:38" s="4" customFormat="1" x14ac:dyDescent="0.3">
      <c r="A722" s="617">
        <v>3212</v>
      </c>
      <c r="B722" s="618" t="s">
        <v>14</v>
      </c>
      <c r="C722" s="108">
        <v>19000</v>
      </c>
      <c r="D722" s="102"/>
      <c r="E722" s="102">
        <v>0</v>
      </c>
      <c r="F722" s="109">
        <v>19000</v>
      </c>
      <c r="G722" s="109">
        <v>19000</v>
      </c>
      <c r="H722" s="109"/>
      <c r="I722" s="109"/>
      <c r="J722" s="109"/>
      <c r="K722" s="102"/>
      <c r="L722" s="102"/>
      <c r="M722" s="63"/>
      <c r="N722" s="109"/>
      <c r="O722" s="109"/>
      <c r="P722" s="102">
        <v>9000</v>
      </c>
      <c r="Q722" s="102">
        <v>9000</v>
      </c>
      <c r="R722" s="102">
        <v>9000</v>
      </c>
      <c r="S722" s="70">
        <f>P722-M722</f>
        <v>9000</v>
      </c>
      <c r="T722" s="70">
        <f>P722-N722</f>
        <v>9000</v>
      </c>
      <c r="U722" s="70">
        <f>Q722-O722</f>
        <v>9000</v>
      </c>
      <c r="V722" s="506">
        <f t="shared" si="590"/>
        <v>9000</v>
      </c>
      <c r="W722" s="506">
        <f t="shared" si="591"/>
        <v>0</v>
      </c>
      <c r="X722" s="31"/>
      <c r="Y722" s="486"/>
      <c r="Z722" s="31"/>
      <c r="AA722" s="31"/>
      <c r="AB722" s="31"/>
      <c r="AH722" s="457"/>
      <c r="AI722" s="457"/>
      <c r="AJ722" s="457"/>
      <c r="AK722" s="457"/>
      <c r="AL722" s="457"/>
    </row>
    <row r="723" spans="1:38" s="4" customFormat="1" x14ac:dyDescent="0.3">
      <c r="A723" s="607">
        <v>322</v>
      </c>
      <c r="B723" s="119" t="s">
        <v>16</v>
      </c>
      <c r="C723" s="559">
        <f t="shared" ref="C723:U723" si="599">SUM(C724)</f>
        <v>32000</v>
      </c>
      <c r="D723" s="79"/>
      <c r="E723" s="79">
        <f t="shared" si="599"/>
        <v>0</v>
      </c>
      <c r="F723" s="369">
        <f t="shared" si="599"/>
        <v>32000</v>
      </c>
      <c r="G723" s="369">
        <f t="shared" si="599"/>
        <v>32000</v>
      </c>
      <c r="H723" s="369">
        <f t="shared" si="599"/>
        <v>20000</v>
      </c>
      <c r="I723" s="369">
        <f t="shared" si="599"/>
        <v>0</v>
      </c>
      <c r="J723" s="369">
        <f t="shared" si="599"/>
        <v>0</v>
      </c>
      <c r="K723" s="369">
        <f t="shared" si="599"/>
        <v>0</v>
      </c>
      <c r="L723" s="369">
        <f t="shared" si="599"/>
        <v>0</v>
      </c>
      <c r="M723" s="369">
        <f t="shared" si="599"/>
        <v>20000</v>
      </c>
      <c r="N723" s="369">
        <f t="shared" si="599"/>
        <v>30000</v>
      </c>
      <c r="O723" s="369">
        <f t="shared" si="599"/>
        <v>40000</v>
      </c>
      <c r="P723" s="369">
        <f t="shared" si="599"/>
        <v>3000</v>
      </c>
      <c r="Q723" s="369">
        <f t="shared" si="599"/>
        <v>3000</v>
      </c>
      <c r="R723" s="369">
        <f t="shared" si="599"/>
        <v>3000</v>
      </c>
      <c r="S723" s="369">
        <f t="shared" si="599"/>
        <v>-17000</v>
      </c>
      <c r="T723" s="369">
        <f t="shared" si="599"/>
        <v>-27000</v>
      </c>
      <c r="U723" s="369">
        <f t="shared" si="599"/>
        <v>-37000</v>
      </c>
      <c r="V723" s="506">
        <f t="shared" si="590"/>
        <v>-17000</v>
      </c>
      <c r="W723" s="506">
        <f t="shared" si="591"/>
        <v>0</v>
      </c>
      <c r="X723" s="31"/>
      <c r="Y723" s="486"/>
      <c r="Z723" s="31"/>
      <c r="AA723" s="31"/>
      <c r="AB723" s="31"/>
      <c r="AH723" s="457"/>
      <c r="AI723" s="457"/>
      <c r="AJ723" s="457"/>
      <c r="AK723" s="457"/>
      <c r="AL723" s="457"/>
    </row>
    <row r="724" spans="1:38" x14ac:dyDescent="0.3">
      <c r="A724" s="434">
        <v>3223</v>
      </c>
      <c r="B724" s="117" t="s">
        <v>19</v>
      </c>
      <c r="C724" s="108">
        <v>32000</v>
      </c>
      <c r="D724" s="102"/>
      <c r="E724" s="102">
        <v>0</v>
      </c>
      <c r="F724" s="109">
        <v>32000</v>
      </c>
      <c r="G724" s="109">
        <v>32000</v>
      </c>
      <c r="H724" s="109">
        <v>20000</v>
      </c>
      <c r="I724" s="109"/>
      <c r="J724" s="109"/>
      <c r="K724" s="102"/>
      <c r="L724" s="102"/>
      <c r="M724" s="63">
        <f>H724-I724+J724-K724+L724</f>
        <v>20000</v>
      </c>
      <c r="N724" s="109">
        <v>30000</v>
      </c>
      <c r="O724" s="109">
        <v>40000</v>
      </c>
      <c r="P724" s="102">
        <v>3000</v>
      </c>
      <c r="Q724" s="102">
        <v>3000</v>
      </c>
      <c r="R724" s="102">
        <v>3000</v>
      </c>
      <c r="S724" s="70">
        <f>P724-M724</f>
        <v>-17000</v>
      </c>
      <c r="T724" s="70">
        <f>P724-N724</f>
        <v>-27000</v>
      </c>
      <c r="U724" s="70">
        <f>Q724-O724</f>
        <v>-37000</v>
      </c>
      <c r="V724" s="506">
        <f t="shared" si="590"/>
        <v>-17000</v>
      </c>
      <c r="W724" s="506">
        <f t="shared" si="591"/>
        <v>0</v>
      </c>
      <c r="X724" s="31"/>
      <c r="Y724" s="486"/>
      <c r="Z724" s="31"/>
      <c r="AA724" s="31"/>
      <c r="AB724" s="31"/>
    </row>
    <row r="725" spans="1:38" ht="12.6" customHeight="1" x14ac:dyDescent="0.3">
      <c r="A725" s="607">
        <v>323</v>
      </c>
      <c r="B725" s="119" t="s">
        <v>23</v>
      </c>
      <c r="C725" s="559">
        <f t="shared" ref="C725:G725" si="600">SUM(C726:C732)</f>
        <v>621000</v>
      </c>
      <c r="D725" s="79"/>
      <c r="E725" s="79">
        <f t="shared" ref="E725" si="601">SUM(E726:E732)</f>
        <v>26000</v>
      </c>
      <c r="F725" s="369">
        <f t="shared" si="600"/>
        <v>889000</v>
      </c>
      <c r="G725" s="369">
        <f t="shared" si="600"/>
        <v>1048000</v>
      </c>
      <c r="H725" s="369">
        <f t="shared" ref="H725:O725" si="602">SUM(H726:H732)</f>
        <v>190000</v>
      </c>
      <c r="I725" s="369">
        <f t="shared" si="602"/>
        <v>0</v>
      </c>
      <c r="J725" s="369">
        <f t="shared" si="602"/>
        <v>0</v>
      </c>
      <c r="K725" s="369">
        <f t="shared" si="602"/>
        <v>0</v>
      </c>
      <c r="L725" s="369">
        <f t="shared" si="602"/>
        <v>0</v>
      </c>
      <c r="M725" s="369">
        <f t="shared" si="602"/>
        <v>190000</v>
      </c>
      <c r="N725" s="369">
        <f t="shared" si="602"/>
        <v>410000</v>
      </c>
      <c r="O725" s="369">
        <f t="shared" si="602"/>
        <v>580000</v>
      </c>
      <c r="P725" s="369">
        <f>SUM(P726:P733)</f>
        <v>2936000</v>
      </c>
      <c r="Q725" s="369">
        <f t="shared" ref="Q725:R725" si="603">SUM(Q726:Q733)</f>
        <v>2240000</v>
      </c>
      <c r="R725" s="369">
        <f t="shared" si="603"/>
        <v>888000</v>
      </c>
      <c r="S725" s="369">
        <f>SUM(S726:S733)</f>
        <v>2746000</v>
      </c>
      <c r="T725" s="369">
        <f>SUM(T726:T733)</f>
        <v>2526000</v>
      </c>
      <c r="U725" s="369">
        <f>SUM(U726:U733)</f>
        <v>1660000</v>
      </c>
      <c r="V725" s="506">
        <f t="shared" si="590"/>
        <v>2746000</v>
      </c>
      <c r="W725" s="506">
        <f t="shared" si="591"/>
        <v>0</v>
      </c>
      <c r="X725" s="31"/>
      <c r="Y725" s="486"/>
      <c r="Z725" s="31"/>
      <c r="AA725" s="31"/>
      <c r="AB725" s="31"/>
    </row>
    <row r="726" spans="1:38" s="4" customFormat="1" x14ac:dyDescent="0.3">
      <c r="A726" s="434">
        <v>3231</v>
      </c>
      <c r="B726" s="117" t="s">
        <v>24</v>
      </c>
      <c r="C726" s="108">
        <v>24000</v>
      </c>
      <c r="D726" s="102"/>
      <c r="E726" s="102">
        <v>0</v>
      </c>
      <c r="F726" s="109">
        <v>33000</v>
      </c>
      <c r="G726" s="109">
        <v>40000</v>
      </c>
      <c r="H726" s="109"/>
      <c r="I726" s="109"/>
      <c r="J726" s="109"/>
      <c r="K726" s="102"/>
      <c r="L726" s="102"/>
      <c r="M726" s="63"/>
      <c r="N726" s="109">
        <v>5000</v>
      </c>
      <c r="O726" s="109">
        <v>5000</v>
      </c>
      <c r="P726" s="102">
        <v>885000</v>
      </c>
      <c r="Q726" s="102">
        <v>810000</v>
      </c>
      <c r="R726" s="102">
        <v>58000</v>
      </c>
      <c r="S726" s="70">
        <f t="shared" ref="S726:S732" si="604">P726-M726</f>
        <v>885000</v>
      </c>
      <c r="T726" s="70">
        <f t="shared" ref="T726:U732" si="605">P726-N726</f>
        <v>880000</v>
      </c>
      <c r="U726" s="70">
        <f t="shared" si="605"/>
        <v>805000</v>
      </c>
      <c r="V726" s="506">
        <f t="shared" si="590"/>
        <v>885000</v>
      </c>
      <c r="W726" s="506">
        <f t="shared" si="591"/>
        <v>0</v>
      </c>
      <c r="X726" s="31"/>
      <c r="Y726" s="486"/>
      <c r="Z726" s="31"/>
      <c r="AA726" s="31"/>
      <c r="AB726" s="31"/>
      <c r="AH726" s="457"/>
      <c r="AI726" s="457"/>
      <c r="AJ726" s="457"/>
      <c r="AK726" s="457"/>
      <c r="AL726" s="457"/>
    </row>
    <row r="727" spans="1:38" x14ac:dyDescent="0.3">
      <c r="A727" s="434">
        <v>3232</v>
      </c>
      <c r="B727" s="117" t="s">
        <v>25</v>
      </c>
      <c r="C727" s="108">
        <v>38000</v>
      </c>
      <c r="D727" s="102"/>
      <c r="E727" s="102">
        <v>0</v>
      </c>
      <c r="F727" s="109">
        <v>38000</v>
      </c>
      <c r="G727" s="109">
        <v>38000</v>
      </c>
      <c r="H727" s="109">
        <v>5000</v>
      </c>
      <c r="I727" s="109"/>
      <c r="J727" s="109"/>
      <c r="K727" s="102"/>
      <c r="L727" s="102"/>
      <c r="M727" s="63">
        <f>H727-I727+J727-K727+L727</f>
        <v>5000</v>
      </c>
      <c r="N727" s="109">
        <v>35000</v>
      </c>
      <c r="O727" s="109">
        <v>50000</v>
      </c>
      <c r="P727" s="102">
        <v>600000</v>
      </c>
      <c r="Q727" s="102">
        <v>650000</v>
      </c>
      <c r="R727" s="102">
        <v>700000</v>
      </c>
      <c r="S727" s="70">
        <f t="shared" si="604"/>
        <v>595000</v>
      </c>
      <c r="T727" s="70">
        <f t="shared" si="605"/>
        <v>565000</v>
      </c>
      <c r="U727" s="70">
        <f t="shared" si="605"/>
        <v>600000</v>
      </c>
      <c r="V727" s="506">
        <f t="shared" si="590"/>
        <v>595000</v>
      </c>
      <c r="W727" s="506">
        <f t="shared" si="591"/>
        <v>0</v>
      </c>
      <c r="X727" s="31"/>
      <c r="Y727" s="486"/>
      <c r="Z727" s="31"/>
      <c r="AA727" s="31"/>
      <c r="AB727" s="31"/>
    </row>
    <row r="728" spans="1:38" hidden="1" x14ac:dyDescent="0.3">
      <c r="A728" s="434">
        <v>3233</v>
      </c>
      <c r="B728" s="117" t="s">
        <v>26</v>
      </c>
      <c r="C728" s="108">
        <v>4000</v>
      </c>
      <c r="D728" s="102"/>
      <c r="E728" s="102">
        <v>0</v>
      </c>
      <c r="F728" s="109">
        <v>4000</v>
      </c>
      <c r="G728" s="109">
        <v>4000</v>
      </c>
      <c r="H728" s="109">
        <v>5000</v>
      </c>
      <c r="I728" s="109"/>
      <c r="J728" s="109"/>
      <c r="K728" s="102"/>
      <c r="L728" s="102"/>
      <c r="M728" s="63">
        <f>H728-I728+J728-K728+L728</f>
        <v>5000</v>
      </c>
      <c r="N728" s="109">
        <v>30000</v>
      </c>
      <c r="O728" s="109">
        <v>50000</v>
      </c>
      <c r="P728" s="102"/>
      <c r="Q728" s="102"/>
      <c r="R728" s="102"/>
      <c r="S728" s="70">
        <f t="shared" si="604"/>
        <v>-5000</v>
      </c>
      <c r="T728" s="70">
        <f t="shared" si="605"/>
        <v>-30000</v>
      </c>
      <c r="U728" s="70">
        <f t="shared" si="605"/>
        <v>-50000</v>
      </c>
      <c r="V728" s="506">
        <f t="shared" si="590"/>
        <v>-5000</v>
      </c>
      <c r="W728" s="506">
        <f t="shared" si="591"/>
        <v>0</v>
      </c>
      <c r="X728" s="31"/>
      <c r="Y728" s="486"/>
      <c r="Z728" s="31"/>
      <c r="AA728" s="31"/>
      <c r="AB728" s="31"/>
    </row>
    <row r="729" spans="1:38" s="4" customFormat="1" ht="13.05" hidden="1" x14ac:dyDescent="0.3">
      <c r="A729" s="434">
        <v>3234</v>
      </c>
      <c r="B729" s="117" t="s">
        <v>27</v>
      </c>
      <c r="C729" s="108">
        <v>8000</v>
      </c>
      <c r="D729" s="102"/>
      <c r="E729" s="102">
        <v>0</v>
      </c>
      <c r="F729" s="109">
        <v>8000</v>
      </c>
      <c r="G729" s="109">
        <v>8000</v>
      </c>
      <c r="H729" s="109"/>
      <c r="I729" s="109"/>
      <c r="J729" s="109"/>
      <c r="K729" s="102"/>
      <c r="L729" s="102"/>
      <c r="M729" s="63"/>
      <c r="N729" s="109"/>
      <c r="O729" s="109"/>
      <c r="P729" s="102"/>
      <c r="Q729" s="102"/>
      <c r="R729" s="102"/>
      <c r="S729" s="70">
        <f t="shared" si="604"/>
        <v>0</v>
      </c>
      <c r="T729" s="70">
        <f t="shared" si="605"/>
        <v>0</v>
      </c>
      <c r="U729" s="70">
        <f t="shared" si="605"/>
        <v>0</v>
      </c>
      <c r="V729" s="506">
        <f t="shared" si="590"/>
        <v>0</v>
      </c>
      <c r="W729" s="506">
        <f t="shared" si="591"/>
        <v>0</v>
      </c>
      <c r="X729" s="31"/>
      <c r="Y729" s="486"/>
      <c r="Z729" s="31"/>
      <c r="AA729" s="31"/>
      <c r="AB729" s="31"/>
      <c r="AH729" s="457"/>
      <c r="AI729" s="457"/>
      <c r="AJ729" s="457"/>
      <c r="AK729" s="457"/>
      <c r="AL729" s="457"/>
    </row>
    <row r="730" spans="1:38" x14ac:dyDescent="0.3">
      <c r="A730" s="434">
        <v>3236</v>
      </c>
      <c r="B730" s="117" t="s">
        <v>29</v>
      </c>
      <c r="C730" s="108">
        <v>3000</v>
      </c>
      <c r="D730" s="102"/>
      <c r="E730" s="102">
        <v>0</v>
      </c>
      <c r="F730" s="109">
        <v>3000</v>
      </c>
      <c r="G730" s="109">
        <v>3000</v>
      </c>
      <c r="H730" s="109"/>
      <c r="I730" s="109"/>
      <c r="J730" s="109"/>
      <c r="K730" s="102"/>
      <c r="L730" s="102"/>
      <c r="M730" s="63"/>
      <c r="N730" s="109"/>
      <c r="O730" s="109"/>
      <c r="P730" s="102">
        <v>1000</v>
      </c>
      <c r="Q730" s="102">
        <v>1000</v>
      </c>
      <c r="R730" s="102">
        <v>1000</v>
      </c>
      <c r="S730" s="70">
        <f t="shared" si="604"/>
        <v>1000</v>
      </c>
      <c r="T730" s="70">
        <f t="shared" si="605"/>
        <v>1000</v>
      </c>
      <c r="U730" s="70">
        <f t="shared" si="605"/>
        <v>1000</v>
      </c>
      <c r="V730" s="506">
        <f t="shared" si="590"/>
        <v>1000</v>
      </c>
      <c r="W730" s="506">
        <f t="shared" si="591"/>
        <v>0</v>
      </c>
      <c r="X730" s="31"/>
      <c r="Y730" s="486"/>
      <c r="Z730" s="31"/>
      <c r="AA730" s="31"/>
      <c r="AB730" s="31"/>
    </row>
    <row r="731" spans="1:38" s="4" customFormat="1" x14ac:dyDescent="0.3">
      <c r="A731" s="434">
        <v>3237</v>
      </c>
      <c r="B731" s="117" t="s">
        <v>30</v>
      </c>
      <c r="C731" s="108">
        <v>491000</v>
      </c>
      <c r="D731" s="102"/>
      <c r="E731" s="102">
        <v>0</v>
      </c>
      <c r="F731" s="109">
        <v>723000</v>
      </c>
      <c r="G731" s="109">
        <v>862000</v>
      </c>
      <c r="H731" s="109">
        <v>100000</v>
      </c>
      <c r="I731" s="109"/>
      <c r="J731" s="109"/>
      <c r="K731" s="102"/>
      <c r="L731" s="102"/>
      <c r="M731" s="63">
        <f>H731-I731+J731-K731+L731</f>
        <v>100000</v>
      </c>
      <c r="N731" s="109">
        <v>170000</v>
      </c>
      <c r="O731" s="109">
        <v>250000</v>
      </c>
      <c r="P731" s="102">
        <v>96000</v>
      </c>
      <c r="Q731" s="102">
        <v>92000</v>
      </c>
      <c r="R731" s="102">
        <v>108000</v>
      </c>
      <c r="S731" s="70">
        <f t="shared" si="604"/>
        <v>-4000</v>
      </c>
      <c r="T731" s="70">
        <f t="shared" si="605"/>
        <v>-74000</v>
      </c>
      <c r="U731" s="70">
        <f t="shared" si="605"/>
        <v>-158000</v>
      </c>
      <c r="V731" s="506">
        <f t="shared" si="590"/>
        <v>-4000</v>
      </c>
      <c r="W731" s="506">
        <f t="shared" si="591"/>
        <v>0</v>
      </c>
      <c r="X731" s="31"/>
      <c r="Y731" s="486"/>
      <c r="Z731" s="31"/>
      <c r="AA731" s="31"/>
      <c r="AB731" s="31"/>
      <c r="AH731" s="457"/>
      <c r="AI731" s="457"/>
      <c r="AJ731" s="457"/>
      <c r="AK731" s="457"/>
      <c r="AL731" s="457"/>
    </row>
    <row r="732" spans="1:38" s="4" customFormat="1" x14ac:dyDescent="0.3">
      <c r="A732" s="434">
        <v>3238</v>
      </c>
      <c r="B732" s="117" t="s">
        <v>70</v>
      </c>
      <c r="C732" s="108">
        <v>53000</v>
      </c>
      <c r="D732" s="102"/>
      <c r="E732" s="102">
        <v>26000</v>
      </c>
      <c r="F732" s="109">
        <v>80000</v>
      </c>
      <c r="G732" s="109">
        <v>93000</v>
      </c>
      <c r="H732" s="109">
        <v>80000</v>
      </c>
      <c r="I732" s="109"/>
      <c r="J732" s="109"/>
      <c r="K732" s="102"/>
      <c r="L732" s="102"/>
      <c r="M732" s="63">
        <f>H732-I732+J732-K732+L732</f>
        <v>80000</v>
      </c>
      <c r="N732" s="109">
        <v>170000</v>
      </c>
      <c r="O732" s="109">
        <v>225000</v>
      </c>
      <c r="P732" s="102">
        <v>20000</v>
      </c>
      <c r="Q732" s="102">
        <v>20000</v>
      </c>
      <c r="R732" s="102">
        <v>20000</v>
      </c>
      <c r="S732" s="70">
        <f t="shared" si="604"/>
        <v>-60000</v>
      </c>
      <c r="T732" s="70">
        <f t="shared" si="605"/>
        <v>-150000</v>
      </c>
      <c r="U732" s="70">
        <f t="shared" si="605"/>
        <v>-205000</v>
      </c>
      <c r="V732" s="506">
        <f t="shared" si="590"/>
        <v>-60000</v>
      </c>
      <c r="W732" s="506">
        <f t="shared" si="591"/>
        <v>0</v>
      </c>
      <c r="X732" s="31"/>
      <c r="Y732" s="486"/>
      <c r="Z732" s="31"/>
      <c r="AA732" s="31"/>
      <c r="AB732" s="31"/>
      <c r="AH732" s="457"/>
      <c r="AI732" s="457"/>
      <c r="AJ732" s="457"/>
      <c r="AK732" s="457"/>
      <c r="AL732" s="457"/>
    </row>
    <row r="733" spans="1:38" x14ac:dyDescent="0.3">
      <c r="A733" s="613">
        <v>3239</v>
      </c>
      <c r="B733" s="614" t="s">
        <v>31</v>
      </c>
      <c r="C733" s="596">
        <v>3000</v>
      </c>
      <c r="D733" s="110"/>
      <c r="E733" s="110">
        <v>0</v>
      </c>
      <c r="F733" s="378"/>
      <c r="G733" s="378">
        <v>5000</v>
      </c>
      <c r="H733" s="378"/>
      <c r="I733" s="378"/>
      <c r="J733" s="378"/>
      <c r="K733" s="110"/>
      <c r="L733" s="110"/>
      <c r="M733" s="63"/>
      <c r="N733" s="378"/>
      <c r="O733" s="378"/>
      <c r="P733" s="110">
        <v>1334000</v>
      </c>
      <c r="Q733" s="110">
        <v>667000</v>
      </c>
      <c r="R733" s="110">
        <v>1000</v>
      </c>
      <c r="S733" s="70">
        <f>P733-M733</f>
        <v>1334000</v>
      </c>
      <c r="T733" s="70">
        <f>P733-N733</f>
        <v>1334000</v>
      </c>
      <c r="U733" s="70">
        <f>Q733-O733</f>
        <v>667000</v>
      </c>
      <c r="V733" s="506">
        <f t="shared" si="590"/>
        <v>1334000</v>
      </c>
      <c r="W733" s="506">
        <f t="shared" si="591"/>
        <v>0</v>
      </c>
      <c r="X733" s="31"/>
      <c r="Y733" s="486"/>
      <c r="Z733" s="31"/>
      <c r="AA733" s="31"/>
      <c r="AB733" s="31"/>
    </row>
    <row r="734" spans="1:38" s="4" customFormat="1" x14ac:dyDescent="0.3">
      <c r="A734" s="610">
        <v>38</v>
      </c>
      <c r="B734" s="611" t="s">
        <v>364</v>
      </c>
      <c r="C734" s="599">
        <f t="shared" ref="C734:U735" si="606">SUM(C735)</f>
        <v>398000</v>
      </c>
      <c r="D734" s="148"/>
      <c r="E734" s="148">
        <f t="shared" si="606"/>
        <v>207000</v>
      </c>
      <c r="F734" s="381">
        <f t="shared" si="606"/>
        <v>464000</v>
      </c>
      <c r="G734" s="381">
        <f t="shared" si="606"/>
        <v>464000</v>
      </c>
      <c r="H734" s="381">
        <f t="shared" si="606"/>
        <v>500000</v>
      </c>
      <c r="I734" s="381">
        <f t="shared" si="606"/>
        <v>200000</v>
      </c>
      <c r="J734" s="381">
        <f t="shared" si="606"/>
        <v>0</v>
      </c>
      <c r="K734" s="381">
        <f t="shared" si="606"/>
        <v>0</v>
      </c>
      <c r="L734" s="381">
        <f t="shared" si="606"/>
        <v>0</v>
      </c>
      <c r="M734" s="381">
        <f t="shared" si="606"/>
        <v>300000</v>
      </c>
      <c r="N734" s="381">
        <f t="shared" si="606"/>
        <v>700000</v>
      </c>
      <c r="O734" s="381">
        <f t="shared" si="606"/>
        <v>700000</v>
      </c>
      <c r="P734" s="381">
        <f t="shared" si="606"/>
        <v>270000</v>
      </c>
      <c r="Q734" s="381">
        <f t="shared" si="606"/>
        <v>133000</v>
      </c>
      <c r="R734" s="381">
        <f t="shared" si="606"/>
        <v>32000</v>
      </c>
      <c r="S734" s="600">
        <f t="shared" si="606"/>
        <v>-30000</v>
      </c>
      <c r="T734" s="600">
        <f t="shared" si="606"/>
        <v>-430000</v>
      </c>
      <c r="U734" s="600">
        <f t="shared" si="606"/>
        <v>-567000</v>
      </c>
      <c r="V734" s="506">
        <f t="shared" si="590"/>
        <v>-30000</v>
      </c>
      <c r="W734" s="506">
        <f t="shared" si="591"/>
        <v>0</v>
      </c>
      <c r="X734" s="31"/>
      <c r="Y734" s="486"/>
      <c r="Z734" s="31"/>
      <c r="AA734" s="31"/>
      <c r="AB734" s="31"/>
      <c r="AH734" s="457"/>
      <c r="AI734" s="457"/>
      <c r="AJ734" s="457"/>
      <c r="AK734" s="457"/>
      <c r="AL734" s="457"/>
    </row>
    <row r="735" spans="1:38" s="4" customFormat="1" x14ac:dyDescent="0.3">
      <c r="A735" s="607">
        <v>381</v>
      </c>
      <c r="B735" s="119" t="s">
        <v>46</v>
      </c>
      <c r="C735" s="559">
        <f t="shared" si="606"/>
        <v>398000</v>
      </c>
      <c r="D735" s="79"/>
      <c r="E735" s="79">
        <f t="shared" si="606"/>
        <v>207000</v>
      </c>
      <c r="F735" s="369">
        <f t="shared" si="606"/>
        <v>464000</v>
      </c>
      <c r="G735" s="369">
        <f t="shared" si="606"/>
        <v>464000</v>
      </c>
      <c r="H735" s="369">
        <f t="shared" si="606"/>
        <v>500000</v>
      </c>
      <c r="I735" s="369">
        <f t="shared" si="606"/>
        <v>200000</v>
      </c>
      <c r="J735" s="369">
        <f t="shared" si="606"/>
        <v>0</v>
      </c>
      <c r="K735" s="369">
        <f t="shared" si="606"/>
        <v>0</v>
      </c>
      <c r="L735" s="369">
        <f t="shared" si="606"/>
        <v>0</v>
      </c>
      <c r="M735" s="369">
        <f t="shared" si="606"/>
        <v>300000</v>
      </c>
      <c r="N735" s="369">
        <f t="shared" si="606"/>
        <v>700000</v>
      </c>
      <c r="O735" s="369">
        <f t="shared" si="606"/>
        <v>700000</v>
      </c>
      <c r="P735" s="369">
        <f t="shared" si="606"/>
        <v>270000</v>
      </c>
      <c r="Q735" s="369">
        <f t="shared" si="606"/>
        <v>133000</v>
      </c>
      <c r="R735" s="369">
        <f t="shared" si="606"/>
        <v>32000</v>
      </c>
      <c r="S735" s="369">
        <f t="shared" si="606"/>
        <v>-30000</v>
      </c>
      <c r="T735" s="369">
        <f t="shared" si="606"/>
        <v>-430000</v>
      </c>
      <c r="U735" s="369">
        <f t="shared" si="606"/>
        <v>-567000</v>
      </c>
      <c r="V735" s="506">
        <f t="shared" si="590"/>
        <v>-30000</v>
      </c>
      <c r="W735" s="506">
        <f t="shared" si="591"/>
        <v>0</v>
      </c>
      <c r="X735" s="31"/>
      <c r="Y735" s="486"/>
      <c r="Z735" s="31"/>
      <c r="AA735" s="31"/>
      <c r="AB735" s="31"/>
      <c r="AH735" s="457"/>
      <c r="AI735" s="457"/>
      <c r="AJ735" s="457"/>
      <c r="AK735" s="457"/>
      <c r="AL735" s="457"/>
    </row>
    <row r="736" spans="1:38" s="4" customFormat="1" x14ac:dyDescent="0.3">
      <c r="A736" s="434" t="s">
        <v>140</v>
      </c>
      <c r="B736" s="117" t="s">
        <v>46</v>
      </c>
      <c r="C736" s="108">
        <v>398000</v>
      </c>
      <c r="D736" s="102"/>
      <c r="E736" s="102">
        <v>207000</v>
      </c>
      <c r="F736" s="109">
        <v>464000</v>
      </c>
      <c r="G736" s="109">
        <v>464000</v>
      </c>
      <c r="H736" s="109">
        <v>500000</v>
      </c>
      <c r="I736" s="109">
        <v>200000</v>
      </c>
      <c r="J736" s="109"/>
      <c r="K736" s="102"/>
      <c r="L736" s="102"/>
      <c r="M736" s="63">
        <f>H736-I736+J736-K736+L736</f>
        <v>300000</v>
      </c>
      <c r="N736" s="109">
        <v>700000</v>
      </c>
      <c r="O736" s="109">
        <v>700000</v>
      </c>
      <c r="P736" s="102">
        <v>270000</v>
      </c>
      <c r="Q736" s="102">
        <v>133000</v>
      </c>
      <c r="R736" s="102">
        <v>32000</v>
      </c>
      <c r="S736" s="70">
        <f>P736-M736</f>
        <v>-30000</v>
      </c>
      <c r="T736" s="70">
        <f>P736-N736</f>
        <v>-430000</v>
      </c>
      <c r="U736" s="70">
        <f>Q736-O736</f>
        <v>-567000</v>
      </c>
      <c r="V736" s="506">
        <f t="shared" si="590"/>
        <v>-30000</v>
      </c>
      <c r="W736" s="506">
        <f t="shared" si="591"/>
        <v>0</v>
      </c>
      <c r="X736" s="31"/>
      <c r="Y736" s="486"/>
      <c r="Z736" s="31"/>
      <c r="AA736" s="31"/>
      <c r="AB736" s="31"/>
      <c r="AH736" s="457"/>
      <c r="AI736" s="457"/>
      <c r="AJ736" s="457"/>
      <c r="AK736" s="457"/>
      <c r="AL736" s="457"/>
    </row>
    <row r="737" spans="1:38" ht="26.4" x14ac:dyDescent="0.3">
      <c r="A737" s="610">
        <v>42</v>
      </c>
      <c r="B737" s="611" t="s">
        <v>362</v>
      </c>
      <c r="C737" s="599">
        <f t="shared" ref="C737:G737" si="607">SUM(C738,C740)</f>
        <v>123000</v>
      </c>
      <c r="D737" s="148"/>
      <c r="E737" s="148">
        <f t="shared" ref="E737" si="608">SUM(E738,E740)</f>
        <v>0</v>
      </c>
      <c r="F737" s="381">
        <f t="shared" si="607"/>
        <v>196000</v>
      </c>
      <c r="G737" s="381">
        <f t="shared" si="607"/>
        <v>237000</v>
      </c>
      <c r="H737" s="381">
        <f>SUM(H738,H740,H746,H748)</f>
        <v>88000</v>
      </c>
      <c r="I737" s="381">
        <f t="shared" ref="I737:AC737" si="609">SUM(I738,I740,I746,I748)</f>
        <v>0</v>
      </c>
      <c r="J737" s="381">
        <f t="shared" si="609"/>
        <v>60000</v>
      </c>
      <c r="K737" s="381">
        <f t="shared" si="609"/>
        <v>0</v>
      </c>
      <c r="L737" s="381">
        <f t="shared" si="609"/>
        <v>0</v>
      </c>
      <c r="M737" s="381">
        <f t="shared" si="609"/>
        <v>148000</v>
      </c>
      <c r="N737" s="381">
        <f t="shared" si="609"/>
        <v>100000</v>
      </c>
      <c r="O737" s="381">
        <f t="shared" si="609"/>
        <v>100000</v>
      </c>
      <c r="P737" s="381">
        <f t="shared" si="609"/>
        <v>777000</v>
      </c>
      <c r="Q737" s="381">
        <f t="shared" si="609"/>
        <v>435000</v>
      </c>
      <c r="R737" s="381">
        <f t="shared" si="609"/>
        <v>435000</v>
      </c>
      <c r="S737" s="381">
        <f t="shared" si="609"/>
        <v>629000</v>
      </c>
      <c r="T737" s="381">
        <f t="shared" si="609"/>
        <v>677000</v>
      </c>
      <c r="U737" s="381">
        <f t="shared" si="609"/>
        <v>335000</v>
      </c>
      <c r="V737" s="506">
        <f t="shared" si="590"/>
        <v>629000</v>
      </c>
      <c r="W737" s="506">
        <f t="shared" si="591"/>
        <v>0</v>
      </c>
      <c r="X737" s="381">
        <f t="shared" si="609"/>
        <v>0</v>
      </c>
      <c r="Y737" s="501"/>
      <c r="Z737" s="381">
        <f t="shared" si="609"/>
        <v>0</v>
      </c>
      <c r="AA737" s="381">
        <f t="shared" si="609"/>
        <v>0</v>
      </c>
      <c r="AB737" s="381">
        <f t="shared" si="609"/>
        <v>0</v>
      </c>
      <c r="AC737" s="381">
        <f t="shared" si="609"/>
        <v>0</v>
      </c>
    </row>
    <row r="738" spans="1:38" hidden="1" x14ac:dyDescent="0.3">
      <c r="A738" s="607">
        <v>421</v>
      </c>
      <c r="B738" s="119" t="s">
        <v>51</v>
      </c>
      <c r="C738" s="559">
        <f t="shared" ref="C738:U738" si="610">SUM(C739)</f>
        <v>20000</v>
      </c>
      <c r="D738" s="79"/>
      <c r="E738" s="79">
        <f t="shared" si="610"/>
        <v>0</v>
      </c>
      <c r="F738" s="369">
        <f t="shared" si="610"/>
        <v>40000</v>
      </c>
      <c r="G738" s="369">
        <f t="shared" si="610"/>
        <v>67000</v>
      </c>
      <c r="H738" s="369">
        <f t="shared" si="610"/>
        <v>30000</v>
      </c>
      <c r="I738" s="369">
        <f t="shared" si="610"/>
        <v>0</v>
      </c>
      <c r="J738" s="369">
        <f t="shared" si="610"/>
        <v>0</v>
      </c>
      <c r="K738" s="369">
        <f t="shared" si="610"/>
        <v>0</v>
      </c>
      <c r="L738" s="369">
        <f t="shared" si="610"/>
        <v>0</v>
      </c>
      <c r="M738" s="369">
        <f t="shared" si="610"/>
        <v>30000</v>
      </c>
      <c r="N738" s="369">
        <f t="shared" si="610"/>
        <v>30000</v>
      </c>
      <c r="O738" s="369">
        <f t="shared" si="610"/>
        <v>30000</v>
      </c>
      <c r="P738" s="369">
        <f t="shared" si="610"/>
        <v>0</v>
      </c>
      <c r="Q738" s="369">
        <f t="shared" si="610"/>
        <v>0</v>
      </c>
      <c r="R738" s="369">
        <f t="shared" si="610"/>
        <v>0</v>
      </c>
      <c r="S738" s="369">
        <f t="shared" si="610"/>
        <v>-30000</v>
      </c>
      <c r="T738" s="369">
        <f t="shared" si="610"/>
        <v>-30000</v>
      </c>
      <c r="U738" s="369">
        <f t="shared" si="610"/>
        <v>-30000</v>
      </c>
      <c r="V738" s="506">
        <f t="shared" si="590"/>
        <v>-30000</v>
      </c>
      <c r="W738" s="506">
        <f t="shared" si="591"/>
        <v>0</v>
      </c>
      <c r="X738" s="31"/>
      <c r="Y738" s="486"/>
      <c r="Z738" s="31"/>
      <c r="AA738" s="31"/>
      <c r="AB738" s="31"/>
    </row>
    <row r="739" spans="1:38" s="4" customFormat="1" hidden="1" x14ac:dyDescent="0.3">
      <c r="A739" s="434">
        <v>4212</v>
      </c>
      <c r="B739" s="117" t="s">
        <v>52</v>
      </c>
      <c r="C739" s="108">
        <v>20000</v>
      </c>
      <c r="D739" s="102"/>
      <c r="E739" s="102">
        <v>0</v>
      </c>
      <c r="F739" s="109">
        <v>40000</v>
      </c>
      <c r="G739" s="109">
        <v>67000</v>
      </c>
      <c r="H739" s="109">
        <v>30000</v>
      </c>
      <c r="I739" s="109"/>
      <c r="J739" s="109"/>
      <c r="K739" s="102"/>
      <c r="L739" s="102"/>
      <c r="M739" s="63">
        <f>H739-I739+J739-K739+L739</f>
        <v>30000</v>
      </c>
      <c r="N739" s="109">
        <v>30000</v>
      </c>
      <c r="O739" s="109">
        <v>30000</v>
      </c>
      <c r="P739" s="102"/>
      <c r="Q739" s="102"/>
      <c r="R739" s="102"/>
      <c r="S739" s="70">
        <f>P739-M739</f>
        <v>-30000</v>
      </c>
      <c r="T739" s="70">
        <f>P739-N739</f>
        <v>-30000</v>
      </c>
      <c r="U739" s="70">
        <f>Q739-O739</f>
        <v>-30000</v>
      </c>
      <c r="V739" s="506">
        <f t="shared" si="590"/>
        <v>-30000</v>
      </c>
      <c r="W739" s="506">
        <f t="shared" si="591"/>
        <v>0</v>
      </c>
      <c r="X739" s="31"/>
      <c r="Y739" s="486"/>
      <c r="Z739" s="31"/>
      <c r="AA739" s="31"/>
      <c r="AB739" s="31"/>
      <c r="AH739" s="457"/>
      <c r="AI739" s="457"/>
      <c r="AJ739" s="457"/>
      <c r="AK739" s="457"/>
      <c r="AL739" s="457"/>
    </row>
    <row r="740" spans="1:38" x14ac:dyDescent="0.3">
      <c r="A740" s="607">
        <v>422</v>
      </c>
      <c r="B740" s="119" t="s">
        <v>53</v>
      </c>
      <c r="C740" s="559">
        <f t="shared" ref="C740:G740" si="611">SUM(C741:C745)</f>
        <v>103000</v>
      </c>
      <c r="D740" s="79"/>
      <c r="E740" s="79">
        <f t="shared" ref="E740" si="612">SUM(E741:E745)</f>
        <v>0</v>
      </c>
      <c r="F740" s="369">
        <f t="shared" si="611"/>
        <v>156000</v>
      </c>
      <c r="G740" s="369">
        <f t="shared" si="611"/>
        <v>170000</v>
      </c>
      <c r="H740" s="369">
        <f t="shared" ref="H740:U740" si="613">SUM(H741:H745)</f>
        <v>58000</v>
      </c>
      <c r="I740" s="369">
        <f t="shared" si="613"/>
        <v>0</v>
      </c>
      <c r="J740" s="369">
        <f t="shared" si="613"/>
        <v>0</v>
      </c>
      <c r="K740" s="369">
        <f t="shared" si="613"/>
        <v>0</v>
      </c>
      <c r="L740" s="369">
        <f t="shared" si="613"/>
        <v>0</v>
      </c>
      <c r="M740" s="369">
        <f t="shared" si="613"/>
        <v>58000</v>
      </c>
      <c r="N740" s="369">
        <f t="shared" si="613"/>
        <v>70000</v>
      </c>
      <c r="O740" s="369">
        <f t="shared" si="613"/>
        <v>70000</v>
      </c>
      <c r="P740" s="369">
        <f t="shared" si="613"/>
        <v>32000</v>
      </c>
      <c r="Q740" s="369">
        <f t="shared" si="613"/>
        <v>23000</v>
      </c>
      <c r="R740" s="369">
        <f t="shared" si="613"/>
        <v>23000</v>
      </c>
      <c r="S740" s="369">
        <f t="shared" si="613"/>
        <v>-26000</v>
      </c>
      <c r="T740" s="369">
        <f t="shared" si="613"/>
        <v>-38000</v>
      </c>
      <c r="U740" s="369">
        <f t="shared" si="613"/>
        <v>-47000</v>
      </c>
      <c r="V740" s="506">
        <f t="shared" si="590"/>
        <v>-26000</v>
      </c>
      <c r="W740" s="506">
        <f t="shared" si="591"/>
        <v>0</v>
      </c>
      <c r="X740" s="31"/>
      <c r="Y740" s="486"/>
      <c r="Z740" s="31"/>
      <c r="AA740" s="31"/>
      <c r="AB740" s="31"/>
    </row>
    <row r="741" spans="1:38" ht="18" customHeight="1" x14ac:dyDescent="0.3">
      <c r="A741" s="434">
        <v>4221</v>
      </c>
      <c r="B741" s="117" t="s">
        <v>54</v>
      </c>
      <c r="C741" s="108">
        <v>14000</v>
      </c>
      <c r="D741" s="102"/>
      <c r="E741" s="102">
        <v>0</v>
      </c>
      <c r="F741" s="109">
        <v>14000</v>
      </c>
      <c r="G741" s="109">
        <v>14000</v>
      </c>
      <c r="H741" s="109">
        <v>40000</v>
      </c>
      <c r="I741" s="109"/>
      <c r="J741" s="109"/>
      <c r="K741" s="102"/>
      <c r="L741" s="102"/>
      <c r="M741" s="63">
        <f>H741-I741+J741-K741+L741</f>
        <v>40000</v>
      </c>
      <c r="N741" s="109">
        <v>50000</v>
      </c>
      <c r="O741" s="109">
        <v>50000</v>
      </c>
      <c r="P741" s="102">
        <v>9000</v>
      </c>
      <c r="Q741" s="102"/>
      <c r="R741" s="102"/>
      <c r="S741" s="70">
        <f>P741-M741</f>
        <v>-31000</v>
      </c>
      <c r="T741" s="70">
        <f t="shared" ref="T741:U745" si="614">P741-N741</f>
        <v>-41000</v>
      </c>
      <c r="U741" s="70">
        <f t="shared" si="614"/>
        <v>-50000</v>
      </c>
      <c r="V741" s="506">
        <f t="shared" si="590"/>
        <v>-31000</v>
      </c>
      <c r="W741" s="506">
        <f t="shared" si="591"/>
        <v>0</v>
      </c>
      <c r="X741" s="31"/>
      <c r="Y741" s="486"/>
      <c r="Z741" s="31"/>
      <c r="AA741" s="31"/>
      <c r="AB741" s="31"/>
    </row>
    <row r="742" spans="1:38" hidden="1" x14ac:dyDescent="0.3">
      <c r="A742" s="434">
        <v>4222</v>
      </c>
      <c r="B742" s="117" t="s">
        <v>58</v>
      </c>
      <c r="C742" s="108">
        <v>15000</v>
      </c>
      <c r="D742" s="102"/>
      <c r="E742" s="102">
        <v>0</v>
      </c>
      <c r="F742" s="109">
        <v>15000</v>
      </c>
      <c r="G742" s="109">
        <v>15000</v>
      </c>
      <c r="H742" s="109">
        <v>4000</v>
      </c>
      <c r="I742" s="109"/>
      <c r="J742" s="109"/>
      <c r="K742" s="102"/>
      <c r="L742" s="102"/>
      <c r="M742" s="63">
        <f>H742-I742+J742-K742+L742</f>
        <v>4000</v>
      </c>
      <c r="N742" s="109">
        <v>4000</v>
      </c>
      <c r="O742" s="109">
        <v>4000</v>
      </c>
      <c r="P742" s="102"/>
      <c r="Q742" s="102"/>
      <c r="R742" s="102"/>
      <c r="S742" s="70">
        <f>P742-M742</f>
        <v>-4000</v>
      </c>
      <c r="T742" s="70">
        <f t="shared" si="614"/>
        <v>-4000</v>
      </c>
      <c r="U742" s="70">
        <f t="shared" si="614"/>
        <v>-4000</v>
      </c>
      <c r="V742" s="506">
        <f t="shared" si="590"/>
        <v>-4000</v>
      </c>
      <c r="W742" s="506">
        <f t="shared" si="591"/>
        <v>0</v>
      </c>
      <c r="X742" s="31"/>
      <c r="Y742" s="486"/>
      <c r="Z742" s="31"/>
      <c r="AA742" s="31"/>
      <c r="AB742" s="31"/>
    </row>
    <row r="743" spans="1:38" hidden="1" x14ac:dyDescent="0.3">
      <c r="A743" s="434">
        <v>4223</v>
      </c>
      <c r="B743" s="117" t="s">
        <v>59</v>
      </c>
      <c r="C743" s="108">
        <v>66000</v>
      </c>
      <c r="D743" s="102"/>
      <c r="E743" s="102">
        <v>0</v>
      </c>
      <c r="F743" s="109">
        <v>119000</v>
      </c>
      <c r="G743" s="109">
        <v>133000</v>
      </c>
      <c r="H743" s="109">
        <v>4000</v>
      </c>
      <c r="I743" s="109"/>
      <c r="J743" s="109"/>
      <c r="K743" s="102"/>
      <c r="L743" s="102"/>
      <c r="M743" s="63">
        <f>H743-I743+J743-K743+L743</f>
        <v>4000</v>
      </c>
      <c r="N743" s="109">
        <v>4000</v>
      </c>
      <c r="O743" s="109">
        <v>4000</v>
      </c>
      <c r="P743" s="102"/>
      <c r="Q743" s="102"/>
      <c r="R743" s="102"/>
      <c r="S743" s="70">
        <f>P743-M743</f>
        <v>-4000</v>
      </c>
      <c r="T743" s="70">
        <f t="shared" si="614"/>
        <v>-4000</v>
      </c>
      <c r="U743" s="70">
        <f t="shared" si="614"/>
        <v>-4000</v>
      </c>
      <c r="V743" s="506">
        <f t="shared" si="590"/>
        <v>-4000</v>
      </c>
      <c r="W743" s="506">
        <f t="shared" si="591"/>
        <v>0</v>
      </c>
      <c r="X743" s="31"/>
      <c r="Y743" s="486"/>
      <c r="Z743" s="31"/>
      <c r="AA743" s="31"/>
      <c r="AB743" s="31"/>
    </row>
    <row r="744" spans="1:38" s="4" customFormat="1" ht="13.05" hidden="1" x14ac:dyDescent="0.3">
      <c r="A744" s="434">
        <v>4224</v>
      </c>
      <c r="B744" s="117" t="s">
        <v>283</v>
      </c>
      <c r="C744" s="108">
        <v>1000</v>
      </c>
      <c r="D744" s="102"/>
      <c r="E744" s="102">
        <v>0</v>
      </c>
      <c r="F744" s="109">
        <v>1000</v>
      </c>
      <c r="G744" s="109">
        <v>1000</v>
      </c>
      <c r="H744" s="109"/>
      <c r="I744" s="109"/>
      <c r="J744" s="109"/>
      <c r="K744" s="102"/>
      <c r="L744" s="102"/>
      <c r="M744" s="63"/>
      <c r="N744" s="109"/>
      <c r="O744" s="109"/>
      <c r="P744" s="102"/>
      <c r="Q744" s="102"/>
      <c r="R744" s="102"/>
      <c r="S744" s="70">
        <f>P744-M744</f>
        <v>0</v>
      </c>
      <c r="T744" s="70">
        <f t="shared" si="614"/>
        <v>0</v>
      </c>
      <c r="U744" s="70">
        <f t="shared" si="614"/>
        <v>0</v>
      </c>
      <c r="V744" s="506">
        <f t="shared" si="590"/>
        <v>0</v>
      </c>
      <c r="W744" s="506">
        <f t="shared" si="591"/>
        <v>0</v>
      </c>
      <c r="X744" s="31"/>
      <c r="Y744" s="486"/>
      <c r="Z744" s="31"/>
      <c r="AA744" s="31"/>
      <c r="AB744" s="31"/>
      <c r="AH744" s="457"/>
      <c r="AI744" s="457"/>
      <c r="AJ744" s="457"/>
      <c r="AK744" s="457"/>
      <c r="AL744" s="457"/>
    </row>
    <row r="745" spans="1:38" s="4" customFormat="1" x14ac:dyDescent="0.3">
      <c r="A745" s="434">
        <v>4225</v>
      </c>
      <c r="B745" s="117" t="s">
        <v>105</v>
      </c>
      <c r="C745" s="108">
        <v>7000</v>
      </c>
      <c r="D745" s="102"/>
      <c r="E745" s="102">
        <v>0</v>
      </c>
      <c r="F745" s="109">
        <v>7000</v>
      </c>
      <c r="G745" s="109">
        <v>7000</v>
      </c>
      <c r="H745" s="109">
        <v>10000</v>
      </c>
      <c r="I745" s="109"/>
      <c r="J745" s="109"/>
      <c r="K745" s="102"/>
      <c r="L745" s="102"/>
      <c r="M745" s="63">
        <f>H745-I745+J745-K745+L745</f>
        <v>10000</v>
      </c>
      <c r="N745" s="109">
        <v>12000</v>
      </c>
      <c r="O745" s="109">
        <v>12000</v>
      </c>
      <c r="P745" s="102">
        <v>23000</v>
      </c>
      <c r="Q745" s="102">
        <v>23000</v>
      </c>
      <c r="R745" s="102">
        <v>23000</v>
      </c>
      <c r="S745" s="70">
        <f>P745-M745</f>
        <v>13000</v>
      </c>
      <c r="T745" s="70">
        <f t="shared" si="614"/>
        <v>11000</v>
      </c>
      <c r="U745" s="70">
        <f t="shared" si="614"/>
        <v>11000</v>
      </c>
      <c r="V745" s="506">
        <f t="shared" si="590"/>
        <v>13000</v>
      </c>
      <c r="W745" s="506">
        <f t="shared" si="591"/>
        <v>0</v>
      </c>
      <c r="X745" s="31"/>
      <c r="Y745" s="486"/>
      <c r="Z745" s="31"/>
      <c r="AA745" s="31"/>
      <c r="AB745" s="31"/>
      <c r="AH745" s="457"/>
      <c r="AI745" s="457"/>
      <c r="AJ745" s="457"/>
      <c r="AK745" s="457"/>
      <c r="AL745" s="457"/>
    </row>
    <row r="746" spans="1:38" s="4" customFormat="1" x14ac:dyDescent="0.3">
      <c r="A746" s="615">
        <v>423</v>
      </c>
      <c r="B746" s="616" t="s">
        <v>61</v>
      </c>
      <c r="C746" s="612">
        <f>SUM(C747)</f>
        <v>98000</v>
      </c>
      <c r="D746" s="116"/>
      <c r="E746" s="116">
        <f>SUM(E747)</f>
        <v>0</v>
      </c>
      <c r="F746" s="382">
        <f t="shared" ref="F746:U746" si="615">SUM(F747)</f>
        <v>567000</v>
      </c>
      <c r="G746" s="382">
        <f t="shared" si="615"/>
        <v>620000</v>
      </c>
      <c r="H746" s="382">
        <f t="shared" si="615"/>
        <v>0</v>
      </c>
      <c r="I746" s="382">
        <f t="shared" si="615"/>
        <v>0</v>
      </c>
      <c r="J746" s="382">
        <f t="shared" si="615"/>
        <v>0</v>
      </c>
      <c r="K746" s="382">
        <f t="shared" si="615"/>
        <v>0</v>
      </c>
      <c r="L746" s="382">
        <f t="shared" si="615"/>
        <v>0</v>
      </c>
      <c r="M746" s="382">
        <f t="shared" si="615"/>
        <v>0</v>
      </c>
      <c r="N746" s="382">
        <f t="shared" si="615"/>
        <v>0</v>
      </c>
      <c r="O746" s="382">
        <f t="shared" si="615"/>
        <v>0</v>
      </c>
      <c r="P746" s="382">
        <f t="shared" si="615"/>
        <v>263000</v>
      </c>
      <c r="Q746" s="382">
        <f t="shared" si="615"/>
        <v>0</v>
      </c>
      <c r="R746" s="382">
        <f t="shared" si="615"/>
        <v>0</v>
      </c>
      <c r="S746" s="382">
        <f t="shared" si="615"/>
        <v>263000</v>
      </c>
      <c r="T746" s="382">
        <f t="shared" si="615"/>
        <v>263000</v>
      </c>
      <c r="U746" s="382">
        <f t="shared" si="615"/>
        <v>0</v>
      </c>
      <c r="V746" s="506">
        <f t="shared" si="590"/>
        <v>263000</v>
      </c>
      <c r="W746" s="506">
        <f t="shared" si="591"/>
        <v>0</v>
      </c>
      <c r="X746" s="31"/>
      <c r="Y746" s="486"/>
      <c r="Z746" s="31"/>
      <c r="AA746" s="31"/>
      <c r="AB746" s="31"/>
      <c r="AH746" s="457"/>
      <c r="AI746" s="457"/>
      <c r="AJ746" s="457"/>
      <c r="AK746" s="457"/>
      <c r="AL746" s="457"/>
    </row>
    <row r="747" spans="1:38" s="4" customFormat="1" x14ac:dyDescent="0.3">
      <c r="A747" s="613">
        <v>4231</v>
      </c>
      <c r="B747" s="614" t="s">
        <v>62</v>
      </c>
      <c r="C747" s="596">
        <v>98000</v>
      </c>
      <c r="D747" s="110"/>
      <c r="E747" s="110">
        <v>0</v>
      </c>
      <c r="F747" s="378">
        <v>567000</v>
      </c>
      <c r="G747" s="378">
        <v>620000</v>
      </c>
      <c r="H747" s="378"/>
      <c r="I747" s="378"/>
      <c r="J747" s="378"/>
      <c r="K747" s="110"/>
      <c r="L747" s="110"/>
      <c r="M747" s="63">
        <f>H747-I747+J747</f>
        <v>0</v>
      </c>
      <c r="N747" s="378"/>
      <c r="O747" s="378"/>
      <c r="P747" s="110">
        <v>263000</v>
      </c>
      <c r="Q747" s="110"/>
      <c r="R747" s="110"/>
      <c r="S747" s="70">
        <f>P747-M747</f>
        <v>263000</v>
      </c>
      <c r="T747" s="70">
        <f>P747-N747</f>
        <v>263000</v>
      </c>
      <c r="U747" s="70">
        <f>Q747-O747</f>
        <v>0</v>
      </c>
      <c r="V747" s="506">
        <f t="shared" si="590"/>
        <v>263000</v>
      </c>
      <c r="W747" s="506">
        <f t="shared" si="591"/>
        <v>0</v>
      </c>
      <c r="X747" s="31"/>
      <c r="Y747" s="486"/>
      <c r="Z747" s="31"/>
      <c r="AA747" s="31"/>
      <c r="AB747" s="31"/>
      <c r="AH747" s="457"/>
      <c r="AI747" s="457"/>
      <c r="AJ747" s="457"/>
      <c r="AK747" s="457"/>
      <c r="AL747" s="457"/>
    </row>
    <row r="748" spans="1:38" x14ac:dyDescent="0.3">
      <c r="A748" s="607">
        <v>426</v>
      </c>
      <c r="B748" s="119" t="s">
        <v>73</v>
      </c>
      <c r="C748" s="559">
        <f t="shared" ref="C748:U748" si="616">SUM(C749)</f>
        <v>299000</v>
      </c>
      <c r="D748" s="79"/>
      <c r="E748" s="79">
        <f t="shared" si="616"/>
        <v>0</v>
      </c>
      <c r="F748" s="369">
        <f t="shared" si="616"/>
        <v>299000</v>
      </c>
      <c r="G748" s="369">
        <f t="shared" si="616"/>
        <v>299000</v>
      </c>
      <c r="H748" s="369">
        <f t="shared" si="616"/>
        <v>0</v>
      </c>
      <c r="I748" s="369">
        <f t="shared" si="616"/>
        <v>0</v>
      </c>
      <c r="J748" s="369">
        <f t="shared" si="616"/>
        <v>60000</v>
      </c>
      <c r="K748" s="369">
        <f t="shared" si="616"/>
        <v>0</v>
      </c>
      <c r="L748" s="369">
        <f t="shared" si="616"/>
        <v>0</v>
      </c>
      <c r="M748" s="369">
        <f t="shared" si="616"/>
        <v>60000</v>
      </c>
      <c r="N748" s="369">
        <f t="shared" si="616"/>
        <v>0</v>
      </c>
      <c r="O748" s="369">
        <f t="shared" si="616"/>
        <v>0</v>
      </c>
      <c r="P748" s="369">
        <f t="shared" si="616"/>
        <v>482000</v>
      </c>
      <c r="Q748" s="369">
        <f t="shared" si="616"/>
        <v>412000</v>
      </c>
      <c r="R748" s="369">
        <f t="shared" si="616"/>
        <v>412000</v>
      </c>
      <c r="S748" s="369">
        <f t="shared" si="616"/>
        <v>422000</v>
      </c>
      <c r="T748" s="369">
        <f t="shared" si="616"/>
        <v>482000</v>
      </c>
      <c r="U748" s="369">
        <f t="shared" si="616"/>
        <v>412000</v>
      </c>
      <c r="V748" s="506">
        <f t="shared" si="590"/>
        <v>422000</v>
      </c>
      <c r="W748" s="506">
        <f t="shared" si="591"/>
        <v>0</v>
      </c>
      <c r="X748" s="31"/>
      <c r="Y748" s="486"/>
      <c r="Z748" s="31"/>
      <c r="AA748" s="31"/>
      <c r="AB748" s="31"/>
    </row>
    <row r="749" spans="1:38" s="4" customFormat="1" x14ac:dyDescent="0.3">
      <c r="A749" s="434">
        <v>4262</v>
      </c>
      <c r="B749" s="117" t="s">
        <v>88</v>
      </c>
      <c r="C749" s="108">
        <v>299000</v>
      </c>
      <c r="D749" s="102"/>
      <c r="E749" s="102">
        <v>0</v>
      </c>
      <c r="F749" s="102">
        <v>299000</v>
      </c>
      <c r="G749" s="102">
        <v>299000</v>
      </c>
      <c r="H749" s="102"/>
      <c r="I749" s="102"/>
      <c r="J749" s="102">
        <v>60000</v>
      </c>
      <c r="K749" s="102"/>
      <c r="L749" s="102"/>
      <c r="M749" s="63">
        <f>H749-I749+J749</f>
        <v>60000</v>
      </c>
      <c r="N749" s="102"/>
      <c r="O749" s="102"/>
      <c r="P749" s="102">
        <v>482000</v>
      </c>
      <c r="Q749" s="102">
        <v>412000</v>
      </c>
      <c r="R749" s="102">
        <v>412000</v>
      </c>
      <c r="S749" s="70">
        <f>P749-M749</f>
        <v>422000</v>
      </c>
      <c r="T749" s="70">
        <f>P749-N749</f>
        <v>482000</v>
      </c>
      <c r="U749" s="70">
        <f>Q749-O749</f>
        <v>412000</v>
      </c>
      <c r="V749" s="506">
        <f t="shared" si="590"/>
        <v>422000</v>
      </c>
      <c r="W749" s="506">
        <f t="shared" si="591"/>
        <v>0</v>
      </c>
      <c r="X749" s="31"/>
      <c r="Y749" s="486"/>
      <c r="Z749" s="31"/>
      <c r="AA749" s="31"/>
      <c r="AB749" s="31"/>
      <c r="AH749" s="457"/>
      <c r="AI749" s="457"/>
      <c r="AJ749" s="457"/>
      <c r="AK749" s="457"/>
      <c r="AL749" s="457"/>
    </row>
    <row r="750" spans="1:38" ht="26.4" hidden="1" x14ac:dyDescent="0.3">
      <c r="A750" s="610">
        <v>45</v>
      </c>
      <c r="B750" s="611" t="s">
        <v>329</v>
      </c>
      <c r="C750" s="599">
        <f t="shared" ref="C750:U751" si="617">SUM(C751)</f>
        <v>530000</v>
      </c>
      <c r="D750" s="148"/>
      <c r="E750" s="148">
        <f t="shared" si="617"/>
        <v>0</v>
      </c>
      <c r="F750" s="381">
        <f t="shared" si="617"/>
        <v>796000</v>
      </c>
      <c r="G750" s="381">
        <f t="shared" si="617"/>
        <v>929000</v>
      </c>
      <c r="H750" s="381">
        <f t="shared" si="617"/>
        <v>1200000</v>
      </c>
      <c r="I750" s="381">
        <f t="shared" si="617"/>
        <v>1200000</v>
      </c>
      <c r="J750" s="381">
        <f t="shared" si="617"/>
        <v>0</v>
      </c>
      <c r="K750" s="381">
        <f t="shared" si="617"/>
        <v>0</v>
      </c>
      <c r="L750" s="381">
        <f t="shared" si="617"/>
        <v>0</v>
      </c>
      <c r="M750" s="381">
        <f t="shared" si="617"/>
        <v>0</v>
      </c>
      <c r="N750" s="381">
        <f t="shared" si="617"/>
        <v>700000</v>
      </c>
      <c r="O750" s="381">
        <f t="shared" si="617"/>
        <v>1200000</v>
      </c>
      <c r="P750" s="381">
        <f t="shared" si="617"/>
        <v>0</v>
      </c>
      <c r="Q750" s="381">
        <f t="shared" si="617"/>
        <v>0</v>
      </c>
      <c r="R750" s="381">
        <f t="shared" si="617"/>
        <v>0</v>
      </c>
      <c r="S750" s="600">
        <f t="shared" si="617"/>
        <v>0</v>
      </c>
      <c r="T750" s="600">
        <f t="shared" si="617"/>
        <v>-700000</v>
      </c>
      <c r="U750" s="600">
        <f t="shared" si="617"/>
        <v>-1200000</v>
      </c>
      <c r="V750" s="506">
        <f t="shared" si="590"/>
        <v>0</v>
      </c>
      <c r="W750" s="506">
        <f t="shared" si="591"/>
        <v>0</v>
      </c>
      <c r="X750" s="31"/>
      <c r="Y750" s="486"/>
      <c r="Z750" s="31"/>
      <c r="AA750" s="31"/>
      <c r="AB750" s="31"/>
    </row>
    <row r="751" spans="1:38" s="4" customFormat="1" hidden="1" x14ac:dyDescent="0.3">
      <c r="A751" s="607">
        <v>451</v>
      </c>
      <c r="B751" s="119" t="s">
        <v>55</v>
      </c>
      <c r="C751" s="559">
        <f t="shared" si="617"/>
        <v>530000</v>
      </c>
      <c r="D751" s="79"/>
      <c r="E751" s="79">
        <f t="shared" si="617"/>
        <v>0</v>
      </c>
      <c r="F751" s="369">
        <f t="shared" si="617"/>
        <v>796000</v>
      </c>
      <c r="G751" s="369">
        <f t="shared" si="617"/>
        <v>929000</v>
      </c>
      <c r="H751" s="369">
        <f t="shared" si="617"/>
        <v>1200000</v>
      </c>
      <c r="I751" s="369">
        <f t="shared" si="617"/>
        <v>1200000</v>
      </c>
      <c r="J751" s="369">
        <f t="shared" si="617"/>
        <v>0</v>
      </c>
      <c r="K751" s="369">
        <f t="shared" si="617"/>
        <v>0</v>
      </c>
      <c r="L751" s="369">
        <f t="shared" si="617"/>
        <v>0</v>
      </c>
      <c r="M751" s="369">
        <f t="shared" si="617"/>
        <v>0</v>
      </c>
      <c r="N751" s="369">
        <f t="shared" si="617"/>
        <v>700000</v>
      </c>
      <c r="O751" s="369">
        <f t="shared" si="617"/>
        <v>1200000</v>
      </c>
      <c r="P751" s="369">
        <f t="shared" si="617"/>
        <v>0</v>
      </c>
      <c r="Q751" s="369">
        <f t="shared" si="617"/>
        <v>0</v>
      </c>
      <c r="R751" s="369">
        <f t="shared" si="617"/>
        <v>0</v>
      </c>
      <c r="S751" s="369">
        <f t="shared" si="617"/>
        <v>0</v>
      </c>
      <c r="T751" s="369">
        <f t="shared" si="617"/>
        <v>-700000</v>
      </c>
      <c r="U751" s="369">
        <f t="shared" si="617"/>
        <v>-1200000</v>
      </c>
      <c r="V751" s="506">
        <f t="shared" si="590"/>
        <v>0</v>
      </c>
      <c r="W751" s="506">
        <f t="shared" si="591"/>
        <v>0</v>
      </c>
      <c r="X751" s="31"/>
      <c r="Y751" s="486"/>
      <c r="Z751" s="31"/>
      <c r="AA751" s="31"/>
      <c r="AB751" s="31"/>
      <c r="AH751" s="457"/>
      <c r="AI751" s="457"/>
      <c r="AJ751" s="457"/>
      <c r="AK751" s="457"/>
      <c r="AL751" s="457"/>
    </row>
    <row r="752" spans="1:38" hidden="1" x14ac:dyDescent="0.3">
      <c r="A752" s="434">
        <v>4511</v>
      </c>
      <c r="B752" s="117" t="s">
        <v>55</v>
      </c>
      <c r="C752" s="108">
        <v>530000</v>
      </c>
      <c r="D752" s="102"/>
      <c r="E752" s="102">
        <v>0</v>
      </c>
      <c r="F752" s="109">
        <v>796000</v>
      </c>
      <c r="G752" s="109">
        <v>929000</v>
      </c>
      <c r="H752" s="109">
        <v>1200000</v>
      </c>
      <c r="I752" s="109">
        <v>1200000</v>
      </c>
      <c r="J752" s="109"/>
      <c r="K752" s="102"/>
      <c r="L752" s="102"/>
      <c r="M752" s="63">
        <f>H752-I752+J752-K752+L752</f>
        <v>0</v>
      </c>
      <c r="N752" s="109">
        <f>1200000-500000</f>
        <v>700000</v>
      </c>
      <c r="O752" s="109">
        <v>1200000</v>
      </c>
      <c r="P752" s="102"/>
      <c r="Q752" s="102"/>
      <c r="R752" s="102"/>
      <c r="S752" s="70">
        <f>P752-M752</f>
        <v>0</v>
      </c>
      <c r="T752" s="70">
        <f>P752-N752</f>
        <v>-700000</v>
      </c>
      <c r="U752" s="70">
        <f>Q752-O752</f>
        <v>-1200000</v>
      </c>
      <c r="V752" s="506">
        <f t="shared" si="590"/>
        <v>0</v>
      </c>
      <c r="W752" s="506">
        <f t="shared" si="591"/>
        <v>0</v>
      </c>
      <c r="X752" s="31"/>
      <c r="Y752" s="486"/>
      <c r="Z752" s="31"/>
      <c r="AA752" s="31"/>
      <c r="AB752" s="31"/>
    </row>
    <row r="753" spans="1:38" s="4" customFormat="1" ht="49.95" customHeight="1" x14ac:dyDescent="0.3">
      <c r="A753" s="579" t="s">
        <v>348</v>
      </c>
      <c r="B753" s="580" t="s">
        <v>340</v>
      </c>
      <c r="C753" s="581">
        <f t="shared" ref="C753:U753" si="618">C754</f>
        <v>5110000</v>
      </c>
      <c r="D753" s="99"/>
      <c r="E753" s="99">
        <f t="shared" si="618"/>
        <v>863000</v>
      </c>
      <c r="F753" s="373">
        <f t="shared" si="618"/>
        <v>6183000</v>
      </c>
      <c r="G753" s="373">
        <f t="shared" si="618"/>
        <v>6339000</v>
      </c>
      <c r="H753" s="373">
        <f t="shared" si="618"/>
        <v>5475000</v>
      </c>
      <c r="I753" s="373">
        <f t="shared" si="618"/>
        <v>1700000</v>
      </c>
      <c r="J753" s="373">
        <f t="shared" si="618"/>
        <v>700000</v>
      </c>
      <c r="K753" s="373">
        <f t="shared" si="618"/>
        <v>0</v>
      </c>
      <c r="L753" s="373">
        <f t="shared" si="618"/>
        <v>0</v>
      </c>
      <c r="M753" s="373">
        <f t="shared" si="618"/>
        <v>4475000</v>
      </c>
      <c r="N753" s="373">
        <f t="shared" si="618"/>
        <v>4230000</v>
      </c>
      <c r="O753" s="373">
        <f t="shared" si="618"/>
        <v>5890000</v>
      </c>
      <c r="P753" s="373">
        <f t="shared" si="618"/>
        <v>15768000</v>
      </c>
      <c r="Q753" s="373">
        <f t="shared" si="618"/>
        <v>6817000</v>
      </c>
      <c r="R753" s="373">
        <f t="shared" si="618"/>
        <v>2698000</v>
      </c>
      <c r="S753" s="373">
        <f t="shared" si="618"/>
        <v>11283000</v>
      </c>
      <c r="T753" s="373">
        <f t="shared" si="618"/>
        <v>11528000</v>
      </c>
      <c r="U753" s="373">
        <f t="shared" si="618"/>
        <v>917000</v>
      </c>
      <c r="V753" s="506">
        <f t="shared" si="590"/>
        <v>11293000</v>
      </c>
      <c r="W753" s="506">
        <f t="shared" si="591"/>
        <v>-10000</v>
      </c>
      <c r="X753" s="31"/>
      <c r="Y753" s="486"/>
      <c r="Z753" s="31"/>
      <c r="AA753" s="31"/>
      <c r="AB753" s="31"/>
      <c r="AD753" s="25"/>
      <c r="AH753" s="457"/>
      <c r="AI753" s="457"/>
      <c r="AJ753" s="457"/>
      <c r="AK753" s="457"/>
      <c r="AL753" s="457"/>
    </row>
    <row r="754" spans="1:38" s="4" customFormat="1" x14ac:dyDescent="0.3">
      <c r="A754" s="693" t="s">
        <v>77</v>
      </c>
      <c r="B754" s="694"/>
      <c r="C754" s="582">
        <f>SUM(C755,C772,C769)</f>
        <v>5110000</v>
      </c>
      <c r="D754" s="100"/>
      <c r="E754" s="100">
        <f>SUM(E755,E772,E769)</f>
        <v>863000</v>
      </c>
      <c r="F754" s="374">
        <f>SUM(F755,F772,F769)</f>
        <v>6183000</v>
      </c>
      <c r="G754" s="374">
        <f>SUM(G755,G772,G769)</f>
        <v>6339000</v>
      </c>
      <c r="H754" s="374">
        <f>SUM(H755,H772,H769)</f>
        <v>5475000</v>
      </c>
      <c r="I754" s="374">
        <f t="shared" ref="I754:U754" si="619">SUM(I755,I772,I769)</f>
        <v>1700000</v>
      </c>
      <c r="J754" s="374">
        <f t="shared" si="619"/>
        <v>700000</v>
      </c>
      <c r="K754" s="374">
        <f t="shared" si="619"/>
        <v>0</v>
      </c>
      <c r="L754" s="374">
        <f t="shared" si="619"/>
        <v>0</v>
      </c>
      <c r="M754" s="374">
        <f t="shared" si="619"/>
        <v>4475000</v>
      </c>
      <c r="N754" s="374">
        <f t="shared" si="619"/>
        <v>4230000</v>
      </c>
      <c r="O754" s="374">
        <f t="shared" si="619"/>
        <v>5890000</v>
      </c>
      <c r="P754" s="374">
        <f t="shared" si="619"/>
        <v>15768000</v>
      </c>
      <c r="Q754" s="374">
        <f t="shared" si="619"/>
        <v>6817000</v>
      </c>
      <c r="R754" s="374">
        <f t="shared" si="619"/>
        <v>2698000</v>
      </c>
      <c r="S754" s="587">
        <f t="shared" si="619"/>
        <v>11283000</v>
      </c>
      <c r="T754" s="587">
        <f t="shared" si="619"/>
        <v>11528000</v>
      </c>
      <c r="U754" s="587">
        <f t="shared" si="619"/>
        <v>917000</v>
      </c>
      <c r="V754" s="506">
        <f t="shared" si="590"/>
        <v>11293000</v>
      </c>
      <c r="W754" s="506">
        <f t="shared" si="591"/>
        <v>-10000</v>
      </c>
      <c r="X754" s="31"/>
      <c r="Y754" s="486"/>
      <c r="Z754" s="31"/>
      <c r="AA754" s="31"/>
      <c r="AB754" s="31"/>
      <c r="AH754" s="457"/>
      <c r="AI754" s="457"/>
      <c r="AJ754" s="457"/>
      <c r="AK754" s="457"/>
      <c r="AL754" s="457"/>
    </row>
    <row r="755" spans="1:38" s="4" customFormat="1" x14ac:dyDescent="0.3">
      <c r="A755" s="610">
        <v>32</v>
      </c>
      <c r="B755" s="611" t="s">
        <v>363</v>
      </c>
      <c r="C755" s="599">
        <f>SUM(C756,C760,C764)</f>
        <v>1167000</v>
      </c>
      <c r="D755" s="148"/>
      <c r="E755" s="148">
        <f>SUM(E756,E760,E764)</f>
        <v>62000</v>
      </c>
      <c r="F755" s="381">
        <f>SUM(F756,F760,F764)</f>
        <v>1406000</v>
      </c>
      <c r="G755" s="381">
        <f>SUM(G756,G760,G764)</f>
        <v>1412000</v>
      </c>
      <c r="H755" s="381">
        <f>SUM(H756,H760,H764)</f>
        <v>395000</v>
      </c>
      <c r="I755" s="381">
        <f t="shared" ref="I755:U755" si="620">SUM(I756,I760,I764)</f>
        <v>0</v>
      </c>
      <c r="J755" s="381">
        <f t="shared" si="620"/>
        <v>50000</v>
      </c>
      <c r="K755" s="381">
        <f t="shared" si="620"/>
        <v>0</v>
      </c>
      <c r="L755" s="381">
        <f t="shared" si="620"/>
        <v>0</v>
      </c>
      <c r="M755" s="381">
        <f t="shared" si="620"/>
        <v>445000</v>
      </c>
      <c r="N755" s="381">
        <f t="shared" si="620"/>
        <v>655000</v>
      </c>
      <c r="O755" s="381">
        <f t="shared" si="620"/>
        <v>840000</v>
      </c>
      <c r="P755" s="381">
        <f t="shared" si="620"/>
        <v>2045000</v>
      </c>
      <c r="Q755" s="381">
        <f t="shared" si="620"/>
        <v>1017000</v>
      </c>
      <c r="R755" s="381">
        <f t="shared" si="620"/>
        <v>1017000</v>
      </c>
      <c r="S755" s="619">
        <f t="shared" si="620"/>
        <v>1590000</v>
      </c>
      <c r="T755" s="619">
        <f t="shared" si="620"/>
        <v>1380000</v>
      </c>
      <c r="U755" s="619">
        <f t="shared" si="620"/>
        <v>167000</v>
      </c>
      <c r="V755" s="506">
        <f t="shared" si="590"/>
        <v>1600000</v>
      </c>
      <c r="W755" s="506">
        <f t="shared" si="591"/>
        <v>-10000</v>
      </c>
      <c r="X755" s="31"/>
      <c r="Y755" s="486"/>
      <c r="Z755" s="31"/>
      <c r="AA755" s="31"/>
      <c r="AB755" s="31"/>
      <c r="AH755" s="457"/>
      <c r="AI755" s="457"/>
      <c r="AJ755" s="457"/>
      <c r="AK755" s="457"/>
      <c r="AL755" s="457"/>
    </row>
    <row r="756" spans="1:38" s="4" customFormat="1" x14ac:dyDescent="0.3">
      <c r="A756" s="607">
        <v>321</v>
      </c>
      <c r="B756" s="119" t="s">
        <v>12</v>
      </c>
      <c r="C756" s="559">
        <f t="shared" ref="C756:U756" si="621">SUM(C757:C758)</f>
        <v>62000</v>
      </c>
      <c r="D756" s="79"/>
      <c r="E756" s="79">
        <f t="shared" ref="E756" si="622">SUM(E757:E758)</f>
        <v>2000</v>
      </c>
      <c r="F756" s="369">
        <f t="shared" si="621"/>
        <v>62000</v>
      </c>
      <c r="G756" s="369">
        <f t="shared" si="621"/>
        <v>62000</v>
      </c>
      <c r="H756" s="369">
        <f t="shared" si="621"/>
        <v>50000</v>
      </c>
      <c r="I756" s="369">
        <f t="shared" si="621"/>
        <v>0</v>
      </c>
      <c r="J756" s="369">
        <f t="shared" si="621"/>
        <v>0</v>
      </c>
      <c r="K756" s="369">
        <f t="shared" si="621"/>
        <v>0</v>
      </c>
      <c r="L756" s="369">
        <f t="shared" si="621"/>
        <v>0</v>
      </c>
      <c r="M756" s="369">
        <f>SUM(M757:M759)</f>
        <v>50000</v>
      </c>
      <c r="N756" s="369">
        <f t="shared" ref="N756:S756" si="623">SUM(N757:N759)</f>
        <v>60000</v>
      </c>
      <c r="O756" s="369">
        <f t="shared" si="623"/>
        <v>70000</v>
      </c>
      <c r="P756" s="369">
        <f t="shared" si="623"/>
        <v>25000</v>
      </c>
      <c r="Q756" s="369">
        <f t="shared" si="623"/>
        <v>25000</v>
      </c>
      <c r="R756" s="369">
        <f t="shared" si="623"/>
        <v>25000</v>
      </c>
      <c r="S756" s="369">
        <f t="shared" si="623"/>
        <v>-35000</v>
      </c>
      <c r="T756" s="369">
        <f t="shared" si="621"/>
        <v>-45000</v>
      </c>
      <c r="U756" s="369">
        <f t="shared" si="621"/>
        <v>-55000</v>
      </c>
      <c r="V756" s="506">
        <f t="shared" si="590"/>
        <v>-25000</v>
      </c>
      <c r="W756" s="506">
        <f t="shared" si="591"/>
        <v>-10000</v>
      </c>
      <c r="X756" s="31"/>
      <c r="Y756" s="486"/>
      <c r="Z756" s="31"/>
      <c r="AA756" s="31"/>
      <c r="AB756" s="31"/>
      <c r="AH756" s="457"/>
      <c r="AI756" s="457"/>
      <c r="AJ756" s="457"/>
      <c r="AK756" s="457"/>
      <c r="AL756" s="457"/>
    </row>
    <row r="757" spans="1:38" s="4" customFormat="1" x14ac:dyDescent="0.3">
      <c r="A757" s="434">
        <v>3211</v>
      </c>
      <c r="B757" s="117" t="s">
        <v>13</v>
      </c>
      <c r="C757" s="108">
        <v>12000</v>
      </c>
      <c r="D757" s="102"/>
      <c r="E757" s="102">
        <v>2000</v>
      </c>
      <c r="F757" s="109">
        <v>12000</v>
      </c>
      <c r="G757" s="109">
        <v>12000</v>
      </c>
      <c r="H757" s="109">
        <v>20000</v>
      </c>
      <c r="I757" s="109"/>
      <c r="J757" s="109"/>
      <c r="K757" s="102"/>
      <c r="L757" s="102"/>
      <c r="M757" s="63">
        <f>H757-I757+J757-K757+L757</f>
        <v>20000</v>
      </c>
      <c r="N757" s="109">
        <v>20000</v>
      </c>
      <c r="O757" s="109">
        <v>20000</v>
      </c>
      <c r="P757" s="102">
        <v>5000</v>
      </c>
      <c r="Q757" s="102">
        <v>5000</v>
      </c>
      <c r="R757" s="102">
        <v>5000</v>
      </c>
      <c r="S757" s="70">
        <f>P757-M757</f>
        <v>-15000</v>
      </c>
      <c r="T757" s="70">
        <f>P757-N757</f>
        <v>-15000</v>
      </c>
      <c r="U757" s="70">
        <f>Q757-O757</f>
        <v>-15000</v>
      </c>
      <c r="V757" s="506">
        <f t="shared" si="590"/>
        <v>-15000</v>
      </c>
      <c r="W757" s="506">
        <f t="shared" si="591"/>
        <v>0</v>
      </c>
      <c r="X757" s="31"/>
      <c r="Y757" s="486"/>
      <c r="Z757" s="31"/>
      <c r="AA757" s="31"/>
      <c r="AB757" s="31"/>
      <c r="AH757" s="457"/>
      <c r="AI757" s="457"/>
      <c r="AJ757" s="457"/>
      <c r="AK757" s="457"/>
      <c r="AL757" s="457"/>
    </row>
    <row r="758" spans="1:38" s="4" customFormat="1" x14ac:dyDescent="0.3">
      <c r="A758" s="434">
        <v>3213</v>
      </c>
      <c r="B758" s="117" t="s">
        <v>15</v>
      </c>
      <c r="C758" s="108">
        <v>50000</v>
      </c>
      <c r="D758" s="102"/>
      <c r="E758" s="102">
        <v>0</v>
      </c>
      <c r="F758" s="109">
        <v>50000</v>
      </c>
      <c r="G758" s="109">
        <v>50000</v>
      </c>
      <c r="H758" s="109">
        <v>30000</v>
      </c>
      <c r="I758" s="109"/>
      <c r="J758" s="109"/>
      <c r="K758" s="102"/>
      <c r="L758" s="102"/>
      <c r="M758" s="63">
        <f>H758-I758+J758-K758+L758</f>
        <v>30000</v>
      </c>
      <c r="N758" s="109">
        <v>40000</v>
      </c>
      <c r="O758" s="109">
        <v>50000</v>
      </c>
      <c r="P758" s="102">
        <v>10000</v>
      </c>
      <c r="Q758" s="102">
        <v>10000</v>
      </c>
      <c r="R758" s="102">
        <v>10000</v>
      </c>
      <c r="S758" s="70">
        <f>P758-M758</f>
        <v>-20000</v>
      </c>
      <c r="T758" s="70">
        <f>P758-N758</f>
        <v>-30000</v>
      </c>
      <c r="U758" s="70">
        <f>Q758-O758</f>
        <v>-40000</v>
      </c>
      <c r="V758" s="506">
        <f t="shared" si="590"/>
        <v>-20000</v>
      </c>
      <c r="W758" s="506">
        <f t="shared" si="591"/>
        <v>0</v>
      </c>
      <c r="X758" s="31"/>
      <c r="Y758" s="486"/>
      <c r="Z758" s="31"/>
      <c r="AA758" s="31"/>
      <c r="AB758" s="31"/>
      <c r="AH758" s="457"/>
      <c r="AI758" s="457"/>
      <c r="AJ758" s="457"/>
      <c r="AK758" s="457"/>
      <c r="AL758" s="457"/>
    </row>
    <row r="759" spans="1:38" s="4" customFormat="1" x14ac:dyDescent="0.3">
      <c r="A759" s="434">
        <v>3214</v>
      </c>
      <c r="B759" s="535" t="s">
        <v>121</v>
      </c>
      <c r="C759" s="108"/>
      <c r="D759" s="102"/>
      <c r="E759" s="102"/>
      <c r="F759" s="109"/>
      <c r="G759" s="109"/>
      <c r="H759" s="109"/>
      <c r="I759" s="109"/>
      <c r="J759" s="109"/>
      <c r="K759" s="102"/>
      <c r="L759" s="102"/>
      <c r="M759" s="63"/>
      <c r="N759" s="109"/>
      <c r="O759" s="109"/>
      <c r="P759" s="102">
        <v>10000</v>
      </c>
      <c r="Q759" s="102">
        <v>10000</v>
      </c>
      <c r="R759" s="102">
        <v>10000</v>
      </c>
      <c r="S759" s="70"/>
      <c r="T759" s="70"/>
      <c r="U759" s="70"/>
      <c r="V759" s="506"/>
      <c r="W759" s="506"/>
      <c r="X759" s="31"/>
      <c r="Y759" s="486"/>
      <c r="Z759" s="31"/>
      <c r="AA759" s="31"/>
      <c r="AB759" s="31"/>
      <c r="AH759" s="457"/>
      <c r="AI759" s="457"/>
      <c r="AJ759" s="457"/>
      <c r="AK759" s="457"/>
      <c r="AL759" s="457"/>
    </row>
    <row r="760" spans="1:38" s="4" customFormat="1" x14ac:dyDescent="0.3">
      <c r="A760" s="607">
        <v>322</v>
      </c>
      <c r="B760" s="119" t="s">
        <v>16</v>
      </c>
      <c r="C760" s="559">
        <f t="shared" ref="C760:G760" si="624">SUM(C762)</f>
        <v>20000</v>
      </c>
      <c r="D760" s="79"/>
      <c r="E760" s="79">
        <f t="shared" si="624"/>
        <v>10000</v>
      </c>
      <c r="F760" s="369">
        <f t="shared" si="624"/>
        <v>20000</v>
      </c>
      <c r="G760" s="369">
        <f t="shared" si="624"/>
        <v>20000</v>
      </c>
      <c r="H760" s="369">
        <f>SUM(H761,H762,H763)</f>
        <v>20000</v>
      </c>
      <c r="I760" s="369">
        <f t="shared" ref="I760:U760" si="625">SUM(I761,I762,I763)</f>
        <v>0</v>
      </c>
      <c r="J760" s="369">
        <f t="shared" si="625"/>
        <v>50000</v>
      </c>
      <c r="K760" s="369">
        <f t="shared" si="625"/>
        <v>0</v>
      </c>
      <c r="L760" s="369">
        <f t="shared" si="625"/>
        <v>0</v>
      </c>
      <c r="M760" s="369">
        <f t="shared" si="625"/>
        <v>70000</v>
      </c>
      <c r="N760" s="369">
        <f t="shared" si="625"/>
        <v>20000</v>
      </c>
      <c r="O760" s="369">
        <f t="shared" si="625"/>
        <v>20000</v>
      </c>
      <c r="P760" s="369">
        <f t="shared" si="625"/>
        <v>5000</v>
      </c>
      <c r="Q760" s="369">
        <f t="shared" si="625"/>
        <v>2000</v>
      </c>
      <c r="R760" s="369">
        <f t="shared" si="625"/>
        <v>2000</v>
      </c>
      <c r="S760" s="369">
        <f t="shared" si="625"/>
        <v>-65000</v>
      </c>
      <c r="T760" s="369">
        <f t="shared" si="625"/>
        <v>-15000</v>
      </c>
      <c r="U760" s="369">
        <f t="shared" si="625"/>
        <v>-18000</v>
      </c>
      <c r="V760" s="506">
        <f t="shared" si="590"/>
        <v>-65000</v>
      </c>
      <c r="W760" s="506">
        <f t="shared" si="591"/>
        <v>0</v>
      </c>
      <c r="X760" s="31"/>
      <c r="Y760" s="486"/>
      <c r="Z760" s="31"/>
      <c r="AA760" s="31"/>
      <c r="AB760" s="31"/>
      <c r="AH760" s="457"/>
      <c r="AI760" s="457"/>
      <c r="AJ760" s="457"/>
      <c r="AK760" s="457"/>
      <c r="AL760" s="457"/>
    </row>
    <row r="761" spans="1:38" x14ac:dyDescent="0.3">
      <c r="A761" s="130">
        <v>3221</v>
      </c>
      <c r="B761" s="107" t="s">
        <v>17</v>
      </c>
      <c r="C761" s="108">
        <v>1735000</v>
      </c>
      <c r="D761" s="102"/>
      <c r="E761" s="102">
        <v>0</v>
      </c>
      <c r="F761" s="109"/>
      <c r="G761" s="109"/>
      <c r="H761" s="109"/>
      <c r="I761" s="109"/>
      <c r="J761" s="109"/>
      <c r="K761" s="102"/>
      <c r="L761" s="102"/>
      <c r="M761" s="63">
        <f>H761-I761+J761-K761+L761</f>
        <v>0</v>
      </c>
      <c r="N761" s="109"/>
      <c r="O761" s="109"/>
      <c r="P761" s="102">
        <v>5000</v>
      </c>
      <c r="Q761" s="102">
        <v>2000</v>
      </c>
      <c r="R761" s="102">
        <v>2000</v>
      </c>
      <c r="S761" s="70">
        <f>P761-M761</f>
        <v>5000</v>
      </c>
      <c r="T761" s="70">
        <f t="shared" ref="T761:U763" si="626">P761-N761</f>
        <v>5000</v>
      </c>
      <c r="U761" s="70">
        <f t="shared" si="626"/>
        <v>2000</v>
      </c>
      <c r="V761" s="506">
        <f t="shared" si="590"/>
        <v>5000</v>
      </c>
      <c r="W761" s="506">
        <f t="shared" si="591"/>
        <v>0</v>
      </c>
      <c r="X761" s="31"/>
      <c r="Y761" s="486"/>
      <c r="Z761" s="31"/>
      <c r="AA761" s="31"/>
      <c r="AB761" s="31"/>
    </row>
    <row r="762" spans="1:38" hidden="1" x14ac:dyDescent="0.3">
      <c r="A762" s="434">
        <v>3223</v>
      </c>
      <c r="B762" s="117" t="s">
        <v>19</v>
      </c>
      <c r="C762" s="108">
        <v>20000</v>
      </c>
      <c r="D762" s="102"/>
      <c r="E762" s="102">
        <v>10000</v>
      </c>
      <c r="F762" s="109">
        <v>20000</v>
      </c>
      <c r="G762" s="109">
        <v>20000</v>
      </c>
      <c r="H762" s="109">
        <v>20000</v>
      </c>
      <c r="I762" s="109"/>
      <c r="J762" s="109"/>
      <c r="K762" s="102"/>
      <c r="L762" s="102"/>
      <c r="M762" s="63">
        <f>H762-I762+J762-K762+L762</f>
        <v>20000</v>
      </c>
      <c r="N762" s="109">
        <v>20000</v>
      </c>
      <c r="O762" s="109">
        <v>20000</v>
      </c>
      <c r="P762" s="102"/>
      <c r="Q762" s="102"/>
      <c r="R762" s="102"/>
      <c r="S762" s="70">
        <f>P762-M762</f>
        <v>-20000</v>
      </c>
      <c r="T762" s="70">
        <f t="shared" si="626"/>
        <v>-20000</v>
      </c>
      <c r="U762" s="70">
        <f t="shared" si="626"/>
        <v>-20000</v>
      </c>
      <c r="V762" s="506">
        <f t="shared" si="590"/>
        <v>-20000</v>
      </c>
      <c r="W762" s="506">
        <f t="shared" si="591"/>
        <v>0</v>
      </c>
      <c r="X762" s="31"/>
      <c r="Y762" s="486"/>
      <c r="Z762" s="31"/>
      <c r="AA762" s="31"/>
      <c r="AB762" s="31"/>
    </row>
    <row r="763" spans="1:38" hidden="1" x14ac:dyDescent="0.3">
      <c r="A763" s="434">
        <v>3225</v>
      </c>
      <c r="B763" s="117" t="s">
        <v>21</v>
      </c>
      <c r="C763" s="108"/>
      <c r="D763" s="102"/>
      <c r="E763" s="102"/>
      <c r="F763" s="109"/>
      <c r="G763" s="109"/>
      <c r="H763" s="109"/>
      <c r="I763" s="109"/>
      <c r="J763" s="109">
        <v>50000</v>
      </c>
      <c r="K763" s="102"/>
      <c r="L763" s="102"/>
      <c r="M763" s="63">
        <f>H763-I763+J763-K763+L763</f>
        <v>50000</v>
      </c>
      <c r="N763" s="109"/>
      <c r="O763" s="109"/>
      <c r="P763" s="102"/>
      <c r="Q763" s="102"/>
      <c r="R763" s="102"/>
      <c r="S763" s="70">
        <f>P763-M763</f>
        <v>-50000</v>
      </c>
      <c r="T763" s="70">
        <f t="shared" si="626"/>
        <v>0</v>
      </c>
      <c r="U763" s="70">
        <f t="shared" si="626"/>
        <v>0</v>
      </c>
      <c r="V763" s="506">
        <f t="shared" si="590"/>
        <v>-50000</v>
      </c>
      <c r="W763" s="506">
        <f t="shared" si="591"/>
        <v>0</v>
      </c>
      <c r="X763" s="31"/>
      <c r="Y763" s="486"/>
      <c r="Z763" s="31"/>
      <c r="AA763" s="31"/>
      <c r="AB763" s="31"/>
    </row>
    <row r="764" spans="1:38" x14ac:dyDescent="0.3">
      <c r="A764" s="607">
        <v>323</v>
      </c>
      <c r="B764" s="119" t="s">
        <v>23</v>
      </c>
      <c r="C764" s="559">
        <f t="shared" ref="C764:G764" si="627">SUM(C765:C768)</f>
        <v>1085000</v>
      </c>
      <c r="D764" s="79"/>
      <c r="E764" s="79">
        <f t="shared" ref="E764" si="628">SUM(E765:E768)</f>
        <v>50000</v>
      </c>
      <c r="F764" s="369">
        <f t="shared" si="627"/>
        <v>1324000</v>
      </c>
      <c r="G764" s="369">
        <f t="shared" si="627"/>
        <v>1330000</v>
      </c>
      <c r="H764" s="369">
        <f t="shared" ref="H764:U764" si="629">SUM(H765:H768)</f>
        <v>325000</v>
      </c>
      <c r="I764" s="369">
        <f t="shared" si="629"/>
        <v>0</v>
      </c>
      <c r="J764" s="369">
        <f t="shared" si="629"/>
        <v>0</v>
      </c>
      <c r="K764" s="369">
        <f t="shared" si="629"/>
        <v>0</v>
      </c>
      <c r="L764" s="369">
        <f t="shared" si="629"/>
        <v>0</v>
      </c>
      <c r="M764" s="369">
        <f t="shared" si="629"/>
        <v>325000</v>
      </c>
      <c r="N764" s="369">
        <f t="shared" si="629"/>
        <v>575000</v>
      </c>
      <c r="O764" s="369">
        <f t="shared" si="629"/>
        <v>750000</v>
      </c>
      <c r="P764" s="369">
        <f t="shared" si="629"/>
        <v>2015000</v>
      </c>
      <c r="Q764" s="369">
        <f t="shared" si="629"/>
        <v>990000</v>
      </c>
      <c r="R764" s="369">
        <f t="shared" si="629"/>
        <v>990000</v>
      </c>
      <c r="S764" s="369">
        <f t="shared" si="629"/>
        <v>1690000</v>
      </c>
      <c r="T764" s="369">
        <f t="shared" si="629"/>
        <v>1440000</v>
      </c>
      <c r="U764" s="369">
        <f t="shared" si="629"/>
        <v>240000</v>
      </c>
      <c r="V764" s="506">
        <f t="shared" si="590"/>
        <v>1690000</v>
      </c>
      <c r="W764" s="506">
        <f t="shared" si="591"/>
        <v>0</v>
      </c>
      <c r="X764" s="31"/>
      <c r="Y764" s="486"/>
      <c r="Z764" s="31"/>
      <c r="AA764" s="31"/>
      <c r="AB764" s="31"/>
    </row>
    <row r="765" spans="1:38" s="4" customFormat="1" hidden="1" x14ac:dyDescent="0.3">
      <c r="A765" s="434">
        <v>3232</v>
      </c>
      <c r="B765" s="117" t="s">
        <v>25</v>
      </c>
      <c r="C765" s="108">
        <v>398000</v>
      </c>
      <c r="D765" s="102"/>
      <c r="E765" s="102">
        <v>0</v>
      </c>
      <c r="F765" s="109">
        <v>448000</v>
      </c>
      <c r="G765" s="109">
        <v>454000</v>
      </c>
      <c r="H765" s="109">
        <v>75000</v>
      </c>
      <c r="I765" s="109"/>
      <c r="J765" s="109"/>
      <c r="K765" s="102"/>
      <c r="L765" s="102"/>
      <c r="M765" s="63">
        <f>H765-I765+J765-K765+L765</f>
        <v>75000</v>
      </c>
      <c r="N765" s="109">
        <v>150000</v>
      </c>
      <c r="O765" s="109">
        <v>200000</v>
      </c>
      <c r="P765" s="102"/>
      <c r="Q765" s="102"/>
      <c r="R765" s="102"/>
      <c r="S765" s="70">
        <f>P765-M765</f>
        <v>-75000</v>
      </c>
      <c r="T765" s="70">
        <f t="shared" ref="T765:U768" si="630">P765-N765</f>
        <v>-150000</v>
      </c>
      <c r="U765" s="70">
        <f t="shared" si="630"/>
        <v>-200000</v>
      </c>
      <c r="V765" s="506">
        <f t="shared" si="590"/>
        <v>-75000</v>
      </c>
      <c r="W765" s="506">
        <f t="shared" si="591"/>
        <v>0</v>
      </c>
      <c r="X765" s="31"/>
      <c r="Y765" s="486"/>
      <c r="Z765" s="31"/>
      <c r="AA765" s="31"/>
      <c r="AB765" s="31"/>
      <c r="AH765" s="457"/>
      <c r="AI765" s="457"/>
      <c r="AJ765" s="457"/>
      <c r="AK765" s="457"/>
      <c r="AL765" s="457"/>
    </row>
    <row r="766" spans="1:38" s="4" customFormat="1" hidden="1" x14ac:dyDescent="0.3">
      <c r="A766" s="434">
        <v>3237</v>
      </c>
      <c r="B766" s="117" t="s">
        <v>30</v>
      </c>
      <c r="C766" s="108">
        <v>119000</v>
      </c>
      <c r="D766" s="102"/>
      <c r="E766" s="102">
        <v>0</v>
      </c>
      <c r="F766" s="109">
        <v>139000</v>
      </c>
      <c r="G766" s="109">
        <v>139000</v>
      </c>
      <c r="H766" s="109">
        <v>75000</v>
      </c>
      <c r="I766" s="109"/>
      <c r="J766" s="109"/>
      <c r="K766" s="102"/>
      <c r="L766" s="102"/>
      <c r="M766" s="63">
        <f>H766-I766+J766-K766+L766</f>
        <v>75000</v>
      </c>
      <c r="N766" s="109">
        <v>125000</v>
      </c>
      <c r="O766" s="109">
        <v>150000</v>
      </c>
      <c r="P766" s="102"/>
      <c r="Q766" s="102"/>
      <c r="R766" s="102"/>
      <c r="S766" s="70">
        <f>P766-M766</f>
        <v>-75000</v>
      </c>
      <c r="T766" s="70">
        <f t="shared" si="630"/>
        <v>-125000</v>
      </c>
      <c r="U766" s="70">
        <f t="shared" si="630"/>
        <v>-150000</v>
      </c>
      <c r="V766" s="506">
        <f t="shared" si="590"/>
        <v>-75000</v>
      </c>
      <c r="W766" s="506">
        <f t="shared" si="591"/>
        <v>0</v>
      </c>
      <c r="X766" s="31"/>
      <c r="Y766" s="486"/>
      <c r="Z766" s="31"/>
      <c r="AA766" s="31"/>
      <c r="AB766" s="31"/>
      <c r="AH766" s="457"/>
      <c r="AI766" s="457"/>
      <c r="AJ766" s="457"/>
      <c r="AK766" s="457"/>
      <c r="AL766" s="457"/>
    </row>
    <row r="767" spans="1:38" s="4" customFormat="1" x14ac:dyDescent="0.3">
      <c r="A767" s="434">
        <v>3238</v>
      </c>
      <c r="B767" s="117" t="s">
        <v>70</v>
      </c>
      <c r="C767" s="108">
        <v>498000</v>
      </c>
      <c r="D767" s="102"/>
      <c r="E767" s="102">
        <v>50000</v>
      </c>
      <c r="F767" s="109">
        <v>647000</v>
      </c>
      <c r="G767" s="109">
        <v>647000</v>
      </c>
      <c r="H767" s="109">
        <v>100000</v>
      </c>
      <c r="I767" s="109"/>
      <c r="J767" s="109"/>
      <c r="K767" s="102"/>
      <c r="L767" s="102"/>
      <c r="M767" s="63">
        <f>H767-I767+J767-K767+L767</f>
        <v>100000</v>
      </c>
      <c r="N767" s="109">
        <v>150000</v>
      </c>
      <c r="O767" s="109">
        <v>200000</v>
      </c>
      <c r="P767" s="102">
        <v>2000000</v>
      </c>
      <c r="Q767" s="102">
        <v>990000</v>
      </c>
      <c r="R767" s="102">
        <v>990000</v>
      </c>
      <c r="S767" s="70">
        <f>P767-M767</f>
        <v>1900000</v>
      </c>
      <c r="T767" s="70">
        <f t="shared" si="630"/>
        <v>1850000</v>
      </c>
      <c r="U767" s="70">
        <f t="shared" si="630"/>
        <v>790000</v>
      </c>
      <c r="V767" s="506">
        <f t="shared" si="590"/>
        <v>1900000</v>
      </c>
      <c r="W767" s="506">
        <f t="shared" si="591"/>
        <v>0</v>
      </c>
      <c r="X767" s="31"/>
      <c r="Y767" s="486"/>
      <c r="Z767" s="31"/>
      <c r="AA767" s="31"/>
      <c r="AB767" s="31"/>
      <c r="AH767" s="457"/>
      <c r="AI767" s="457"/>
      <c r="AJ767" s="457"/>
      <c r="AK767" s="457"/>
      <c r="AL767" s="457"/>
    </row>
    <row r="768" spans="1:38" s="4" customFormat="1" x14ac:dyDescent="0.3">
      <c r="A768" s="434">
        <v>3239</v>
      </c>
      <c r="B768" s="117" t="s">
        <v>31</v>
      </c>
      <c r="C768" s="109">
        <v>70000</v>
      </c>
      <c r="D768" s="109"/>
      <c r="E768" s="109">
        <v>0</v>
      </c>
      <c r="F768" s="109">
        <v>90000</v>
      </c>
      <c r="G768" s="109">
        <v>90000</v>
      </c>
      <c r="H768" s="109">
        <v>75000</v>
      </c>
      <c r="I768" s="109"/>
      <c r="J768" s="109"/>
      <c r="K768" s="102"/>
      <c r="L768" s="102"/>
      <c r="M768" s="63">
        <f>H768-I768+J768-K768+L768</f>
        <v>75000</v>
      </c>
      <c r="N768" s="109">
        <v>150000</v>
      </c>
      <c r="O768" s="109">
        <v>200000</v>
      </c>
      <c r="P768" s="102">
        <v>15000</v>
      </c>
      <c r="Q768" s="102"/>
      <c r="R768" s="102"/>
      <c r="S768" s="70">
        <f>P768-M768</f>
        <v>-60000</v>
      </c>
      <c r="T768" s="70">
        <f t="shared" si="630"/>
        <v>-135000</v>
      </c>
      <c r="U768" s="70">
        <f t="shared" si="630"/>
        <v>-200000</v>
      </c>
      <c r="V768" s="506">
        <f t="shared" si="590"/>
        <v>-60000</v>
      </c>
      <c r="W768" s="506">
        <f t="shared" si="591"/>
        <v>0</v>
      </c>
      <c r="X768" s="31"/>
      <c r="Y768" s="486"/>
      <c r="Z768" s="31"/>
      <c r="AA768" s="31"/>
      <c r="AB768" s="31"/>
      <c r="AH768" s="457"/>
      <c r="AI768" s="457"/>
      <c r="AJ768" s="457"/>
      <c r="AK768" s="457"/>
      <c r="AL768" s="457"/>
    </row>
    <row r="769" spans="1:38" ht="26.4" hidden="1" x14ac:dyDescent="0.3">
      <c r="A769" s="144">
        <v>41</v>
      </c>
      <c r="B769" s="145" t="s">
        <v>328</v>
      </c>
      <c r="C769" s="151">
        <f>SUM(C770)</f>
        <v>0</v>
      </c>
      <c r="D769" s="151"/>
      <c r="E769" s="151">
        <f t="shared" ref="E769:U770" si="631">SUM(E770)</f>
        <v>25000</v>
      </c>
      <c r="F769" s="151">
        <f t="shared" si="631"/>
        <v>0</v>
      </c>
      <c r="G769" s="151">
        <f t="shared" si="631"/>
        <v>0</v>
      </c>
      <c r="H769" s="151">
        <f t="shared" si="631"/>
        <v>35000</v>
      </c>
      <c r="I769" s="151">
        <f t="shared" si="631"/>
        <v>0</v>
      </c>
      <c r="J769" s="151">
        <f t="shared" si="631"/>
        <v>0</v>
      </c>
      <c r="K769" s="151">
        <f t="shared" si="631"/>
        <v>0</v>
      </c>
      <c r="L769" s="151">
        <f t="shared" si="631"/>
        <v>0</v>
      </c>
      <c r="M769" s="151">
        <f t="shared" si="631"/>
        <v>35000</v>
      </c>
      <c r="N769" s="151">
        <f t="shared" si="631"/>
        <v>0</v>
      </c>
      <c r="O769" s="151">
        <f t="shared" si="631"/>
        <v>0</v>
      </c>
      <c r="P769" s="151">
        <f t="shared" si="631"/>
        <v>0</v>
      </c>
      <c r="Q769" s="151">
        <f t="shared" si="631"/>
        <v>0</v>
      </c>
      <c r="R769" s="151">
        <f t="shared" si="631"/>
        <v>0</v>
      </c>
      <c r="S769" s="118">
        <f t="shared" si="631"/>
        <v>-35000</v>
      </c>
      <c r="T769" s="118">
        <f t="shared" si="631"/>
        <v>0</v>
      </c>
      <c r="U769" s="118">
        <f t="shared" si="631"/>
        <v>0</v>
      </c>
      <c r="V769" s="506">
        <f t="shared" si="590"/>
        <v>-35000</v>
      </c>
      <c r="W769" s="506">
        <f t="shared" si="591"/>
        <v>0</v>
      </c>
      <c r="X769" s="31"/>
      <c r="Y769" s="486"/>
      <c r="Z769" s="31"/>
      <c r="AA769" s="31"/>
      <c r="AB769" s="31"/>
    </row>
    <row r="770" spans="1:38" s="4" customFormat="1" hidden="1" x14ac:dyDescent="0.3">
      <c r="A770" s="607">
        <v>412</v>
      </c>
      <c r="B770" s="119" t="s">
        <v>67</v>
      </c>
      <c r="C770" s="120">
        <f>SUM(C771)</f>
        <v>0</v>
      </c>
      <c r="D770" s="120"/>
      <c r="E770" s="120">
        <f t="shared" si="631"/>
        <v>25000</v>
      </c>
      <c r="F770" s="120">
        <f t="shared" si="631"/>
        <v>0</v>
      </c>
      <c r="G770" s="120">
        <f t="shared" si="631"/>
        <v>0</v>
      </c>
      <c r="H770" s="120">
        <f t="shared" si="631"/>
        <v>35000</v>
      </c>
      <c r="I770" s="120">
        <f t="shared" si="631"/>
        <v>0</v>
      </c>
      <c r="J770" s="120">
        <f t="shared" si="631"/>
        <v>0</v>
      </c>
      <c r="K770" s="120">
        <f t="shared" si="631"/>
        <v>0</v>
      </c>
      <c r="L770" s="120">
        <f t="shared" si="631"/>
        <v>0</v>
      </c>
      <c r="M770" s="120">
        <f t="shared" si="631"/>
        <v>35000</v>
      </c>
      <c r="N770" s="120">
        <f t="shared" si="631"/>
        <v>0</v>
      </c>
      <c r="O770" s="120">
        <f t="shared" si="631"/>
        <v>0</v>
      </c>
      <c r="P770" s="120">
        <f t="shared" si="631"/>
        <v>0</v>
      </c>
      <c r="Q770" s="120">
        <f t="shared" si="631"/>
        <v>0</v>
      </c>
      <c r="R770" s="120">
        <f t="shared" si="631"/>
        <v>0</v>
      </c>
      <c r="S770" s="120">
        <f t="shared" si="631"/>
        <v>-35000</v>
      </c>
      <c r="T770" s="120">
        <f t="shared" si="631"/>
        <v>0</v>
      </c>
      <c r="U770" s="120">
        <f t="shared" si="631"/>
        <v>0</v>
      </c>
      <c r="V770" s="506">
        <f t="shared" si="590"/>
        <v>-35000</v>
      </c>
      <c r="W770" s="506">
        <f t="shared" si="591"/>
        <v>0</v>
      </c>
      <c r="X770" s="31"/>
      <c r="Y770" s="486"/>
      <c r="Z770" s="31"/>
      <c r="AA770" s="31"/>
      <c r="AB770" s="31"/>
      <c r="AH770" s="457"/>
      <c r="AI770" s="457"/>
      <c r="AJ770" s="457"/>
      <c r="AK770" s="457"/>
      <c r="AL770" s="457"/>
    </row>
    <row r="771" spans="1:38" s="4" customFormat="1" hidden="1" x14ac:dyDescent="0.3">
      <c r="A771" s="434">
        <v>4123</v>
      </c>
      <c r="B771" s="117" t="s">
        <v>68</v>
      </c>
      <c r="C771" s="121"/>
      <c r="D771" s="121"/>
      <c r="E771" s="121">
        <v>25000</v>
      </c>
      <c r="F771" s="121"/>
      <c r="G771" s="95"/>
      <c r="H771" s="121">
        <v>35000</v>
      </c>
      <c r="I771" s="121"/>
      <c r="J771" s="121"/>
      <c r="K771" s="129"/>
      <c r="L771" s="129"/>
      <c r="M771" s="63">
        <f>H771-I771+J771-K771+L771</f>
        <v>35000</v>
      </c>
      <c r="N771" s="121"/>
      <c r="O771" s="121"/>
      <c r="P771" s="129"/>
      <c r="Q771" s="129"/>
      <c r="R771" s="129"/>
      <c r="S771" s="70">
        <f>P771-M771</f>
        <v>-35000</v>
      </c>
      <c r="T771" s="70">
        <f>P771-N771</f>
        <v>0</v>
      </c>
      <c r="U771" s="63">
        <f>N771-G771</f>
        <v>0</v>
      </c>
      <c r="V771" s="506">
        <f t="shared" si="590"/>
        <v>-35000</v>
      </c>
      <c r="W771" s="506">
        <f t="shared" si="591"/>
        <v>0</v>
      </c>
      <c r="X771" s="31"/>
      <c r="Y771" s="486"/>
      <c r="Z771" s="31"/>
      <c r="AA771" s="31"/>
      <c r="AB771" s="31"/>
      <c r="AH771" s="457"/>
      <c r="AI771" s="457"/>
      <c r="AJ771" s="457"/>
      <c r="AK771" s="457"/>
      <c r="AL771" s="457"/>
    </row>
    <row r="772" spans="1:38" ht="12.6" customHeight="1" x14ac:dyDescent="0.3">
      <c r="A772" s="610">
        <v>42</v>
      </c>
      <c r="B772" s="611" t="s">
        <v>362</v>
      </c>
      <c r="C772" s="599">
        <f t="shared" ref="C772:O772" si="632">SUM(C775,C780,C783)</f>
        <v>3943000</v>
      </c>
      <c r="D772" s="148"/>
      <c r="E772" s="148">
        <f t="shared" ref="E772" si="633">SUM(E775,E780,E783)</f>
        <v>776000</v>
      </c>
      <c r="F772" s="381">
        <f t="shared" si="632"/>
        <v>4777000</v>
      </c>
      <c r="G772" s="381">
        <f t="shared" si="632"/>
        <v>4927000</v>
      </c>
      <c r="H772" s="381">
        <f t="shared" si="632"/>
        <v>5045000</v>
      </c>
      <c r="I772" s="381">
        <f t="shared" si="632"/>
        <v>1700000</v>
      </c>
      <c r="J772" s="381">
        <f>SUM(J775,J780,J783)</f>
        <v>650000</v>
      </c>
      <c r="K772" s="381">
        <f t="shared" si="632"/>
        <v>0</v>
      </c>
      <c r="L772" s="381">
        <f t="shared" si="632"/>
        <v>0</v>
      </c>
      <c r="M772" s="381">
        <f t="shared" si="632"/>
        <v>3995000</v>
      </c>
      <c r="N772" s="381">
        <f t="shared" si="632"/>
        <v>3575000</v>
      </c>
      <c r="O772" s="381">
        <f t="shared" si="632"/>
        <v>5050000</v>
      </c>
      <c r="P772" s="381">
        <f>SUM(P773,P775,P780,P783)</f>
        <v>13723000</v>
      </c>
      <c r="Q772" s="381">
        <f>SUM(Q773,Q775,Q780,Q783)</f>
        <v>5800000</v>
      </c>
      <c r="R772" s="381">
        <f>SUM(R773,R775,R780,R783)</f>
        <v>1681000</v>
      </c>
      <c r="S772" s="381">
        <f>SUM(S773,S775,S780,S783)</f>
        <v>9728000</v>
      </c>
      <c r="T772" s="381">
        <f t="shared" ref="T772:U772" si="634">SUM(T773,T775,T780,T783)</f>
        <v>10148000</v>
      </c>
      <c r="U772" s="381">
        <f t="shared" si="634"/>
        <v>750000</v>
      </c>
      <c r="V772" s="506">
        <f t="shared" si="590"/>
        <v>9728000</v>
      </c>
      <c r="W772" s="506">
        <f t="shared" si="591"/>
        <v>0</v>
      </c>
      <c r="X772" s="31"/>
      <c r="Y772" s="486"/>
      <c r="Z772" s="31"/>
      <c r="AA772" s="31"/>
      <c r="AB772" s="31"/>
    </row>
    <row r="773" spans="1:38" x14ac:dyDescent="0.3">
      <c r="A773" s="88">
        <v>421</v>
      </c>
      <c r="B773" s="556" t="s">
        <v>51</v>
      </c>
      <c r="C773" s="90">
        <f t="shared" ref="C773:U773" si="635">SUM(C774)</f>
        <v>1725000</v>
      </c>
      <c r="D773" s="62"/>
      <c r="E773" s="62">
        <f t="shared" si="635"/>
        <v>1725000</v>
      </c>
      <c r="F773" s="91">
        <f t="shared" si="635"/>
        <v>0</v>
      </c>
      <c r="G773" s="91">
        <f t="shared" si="635"/>
        <v>0</v>
      </c>
      <c r="H773" s="91">
        <f t="shared" si="635"/>
        <v>0</v>
      </c>
      <c r="I773" s="91">
        <f t="shared" si="635"/>
        <v>0</v>
      </c>
      <c r="J773" s="91">
        <f t="shared" si="635"/>
        <v>0</v>
      </c>
      <c r="K773" s="91">
        <f t="shared" si="635"/>
        <v>0</v>
      </c>
      <c r="L773" s="91">
        <f t="shared" si="635"/>
        <v>0</v>
      </c>
      <c r="M773" s="91">
        <f t="shared" si="635"/>
        <v>0</v>
      </c>
      <c r="N773" s="91">
        <f t="shared" si="635"/>
        <v>0</v>
      </c>
      <c r="O773" s="91">
        <f t="shared" si="635"/>
        <v>0</v>
      </c>
      <c r="P773" s="91">
        <f t="shared" si="635"/>
        <v>800000</v>
      </c>
      <c r="Q773" s="91">
        <f t="shared" si="635"/>
        <v>0</v>
      </c>
      <c r="R773" s="91">
        <f t="shared" si="635"/>
        <v>0</v>
      </c>
      <c r="S773" s="91">
        <f t="shared" si="635"/>
        <v>800000</v>
      </c>
      <c r="T773" s="91">
        <f t="shared" si="635"/>
        <v>800000</v>
      </c>
      <c r="U773" s="91">
        <f t="shared" si="635"/>
        <v>0</v>
      </c>
      <c r="V773" s="506">
        <f t="shared" si="590"/>
        <v>800000</v>
      </c>
      <c r="W773" s="506">
        <f t="shared" si="591"/>
        <v>0</v>
      </c>
      <c r="X773" s="31"/>
      <c r="Y773" s="486"/>
      <c r="Z773" s="31"/>
      <c r="AA773" s="31"/>
      <c r="AB773" s="31"/>
    </row>
    <row r="774" spans="1:38" x14ac:dyDescent="0.3">
      <c r="A774" s="92">
        <v>4214</v>
      </c>
      <c r="B774" s="93" t="s">
        <v>330</v>
      </c>
      <c r="C774" s="551">
        <v>1725000</v>
      </c>
      <c r="D774" s="71"/>
      <c r="E774" s="71">
        <v>1725000</v>
      </c>
      <c r="F774" s="368"/>
      <c r="G774" s="368"/>
      <c r="H774" s="368"/>
      <c r="I774" s="368"/>
      <c r="J774" s="368"/>
      <c r="K774" s="368"/>
      <c r="L774" s="368"/>
      <c r="M774" s="368"/>
      <c r="N774" s="368"/>
      <c r="O774" s="368"/>
      <c r="P774" s="71">
        <v>800000</v>
      </c>
      <c r="Q774" s="71"/>
      <c r="R774" s="71"/>
      <c r="S774" s="70">
        <f>P774-M774</f>
        <v>800000</v>
      </c>
      <c r="T774" s="70">
        <f>P774-N774</f>
        <v>800000</v>
      </c>
      <c r="U774" s="70">
        <f t="shared" ref="U774" si="636">Q774-O774</f>
        <v>0</v>
      </c>
      <c r="V774" s="506">
        <f t="shared" si="590"/>
        <v>800000</v>
      </c>
      <c r="W774" s="506">
        <f t="shared" si="591"/>
        <v>0</v>
      </c>
      <c r="X774" s="31"/>
      <c r="Y774" s="486"/>
      <c r="Z774" s="31"/>
      <c r="AA774" s="31"/>
      <c r="AB774" s="31"/>
    </row>
    <row r="775" spans="1:38" s="4" customFormat="1" x14ac:dyDescent="0.3">
      <c r="A775" s="607">
        <v>422</v>
      </c>
      <c r="B775" s="119" t="s">
        <v>53</v>
      </c>
      <c r="C775" s="559">
        <f t="shared" ref="C775:U775" si="637">SUM(C776:C779)</f>
        <v>2608000</v>
      </c>
      <c r="D775" s="79"/>
      <c r="E775" s="79">
        <f t="shared" ref="E775" si="638">SUM(E776:E779)</f>
        <v>776000</v>
      </c>
      <c r="F775" s="369">
        <f t="shared" si="637"/>
        <v>3185000</v>
      </c>
      <c r="G775" s="369">
        <f t="shared" si="637"/>
        <v>3185000</v>
      </c>
      <c r="H775" s="369">
        <f t="shared" si="637"/>
        <v>4645000</v>
      </c>
      <c r="I775" s="369">
        <f t="shared" si="637"/>
        <v>1700000</v>
      </c>
      <c r="J775" s="369">
        <f t="shared" si="637"/>
        <v>600000</v>
      </c>
      <c r="K775" s="369">
        <f t="shared" si="637"/>
        <v>0</v>
      </c>
      <c r="L775" s="369">
        <f t="shared" si="637"/>
        <v>0</v>
      </c>
      <c r="M775" s="369">
        <f t="shared" si="637"/>
        <v>3545000</v>
      </c>
      <c r="N775" s="369">
        <f t="shared" si="637"/>
        <v>2375000</v>
      </c>
      <c r="O775" s="369">
        <f t="shared" si="637"/>
        <v>2450000</v>
      </c>
      <c r="P775" s="369">
        <f t="shared" si="637"/>
        <v>9888000</v>
      </c>
      <c r="Q775" s="369">
        <f t="shared" si="637"/>
        <v>3000000</v>
      </c>
      <c r="R775" s="369">
        <f t="shared" si="637"/>
        <v>0</v>
      </c>
      <c r="S775" s="369">
        <f t="shared" si="637"/>
        <v>6343000</v>
      </c>
      <c r="T775" s="369">
        <f t="shared" si="637"/>
        <v>7513000</v>
      </c>
      <c r="U775" s="369">
        <f t="shared" si="637"/>
        <v>550000</v>
      </c>
      <c r="V775" s="506">
        <f t="shared" si="590"/>
        <v>6343000</v>
      </c>
      <c r="W775" s="506">
        <f t="shared" si="591"/>
        <v>0</v>
      </c>
      <c r="X775" s="31"/>
      <c r="Y775" s="486"/>
      <c r="Z775" s="31"/>
      <c r="AA775" s="31"/>
      <c r="AB775" s="31"/>
      <c r="AH775" s="457"/>
      <c r="AI775" s="457"/>
      <c r="AJ775" s="457"/>
      <c r="AK775" s="457"/>
      <c r="AL775" s="457"/>
    </row>
    <row r="776" spans="1:38" x14ac:dyDescent="0.3">
      <c r="A776" s="434">
        <v>4221</v>
      </c>
      <c r="B776" s="117" t="s">
        <v>54</v>
      </c>
      <c r="C776" s="108">
        <v>149000</v>
      </c>
      <c r="D776" s="102"/>
      <c r="E776" s="102">
        <v>320000</v>
      </c>
      <c r="F776" s="109">
        <v>149000</v>
      </c>
      <c r="G776" s="109">
        <v>149000</v>
      </c>
      <c r="H776" s="109">
        <v>75000</v>
      </c>
      <c r="I776" s="109"/>
      <c r="J776" s="109">
        <v>600000</v>
      </c>
      <c r="K776" s="102"/>
      <c r="L776" s="102"/>
      <c r="M776" s="63">
        <f>H776-I776+J776-K776+L776</f>
        <v>675000</v>
      </c>
      <c r="N776" s="109">
        <v>125000</v>
      </c>
      <c r="O776" s="109">
        <v>150000</v>
      </c>
      <c r="P776" s="102">
        <v>3000</v>
      </c>
      <c r="Q776" s="102"/>
      <c r="R776" s="102"/>
      <c r="S776" s="70">
        <f>P776-M776</f>
        <v>-672000</v>
      </c>
      <c r="T776" s="70">
        <f t="shared" ref="T776:U779" si="639">P776-N776</f>
        <v>-122000</v>
      </c>
      <c r="U776" s="70">
        <f t="shared" si="639"/>
        <v>-150000</v>
      </c>
      <c r="V776" s="506">
        <f t="shared" si="590"/>
        <v>-672000</v>
      </c>
      <c r="W776" s="506">
        <f t="shared" si="591"/>
        <v>0</v>
      </c>
      <c r="X776" s="31"/>
      <c r="Y776" s="486"/>
      <c r="Z776" s="31"/>
      <c r="AA776" s="31"/>
      <c r="AB776" s="31"/>
      <c r="AD776" s="24"/>
    </row>
    <row r="777" spans="1:38" x14ac:dyDescent="0.3">
      <c r="A777" s="434">
        <v>4222</v>
      </c>
      <c r="B777" s="117" t="s">
        <v>58</v>
      </c>
      <c r="C777" s="108">
        <v>199000</v>
      </c>
      <c r="D777" s="102"/>
      <c r="E777" s="102">
        <v>0</v>
      </c>
      <c r="F777" s="109">
        <v>249000</v>
      </c>
      <c r="G777" s="109">
        <v>249000</v>
      </c>
      <c r="H777" s="109">
        <v>50000</v>
      </c>
      <c r="I777" s="109"/>
      <c r="J777" s="109"/>
      <c r="K777" s="102"/>
      <c r="L777" s="102"/>
      <c r="M777" s="63">
        <f>H777-I777+J777-K777+L777</f>
        <v>50000</v>
      </c>
      <c r="N777" s="109">
        <v>150000</v>
      </c>
      <c r="O777" s="109">
        <v>200000</v>
      </c>
      <c r="P777" s="102">
        <v>3000000</v>
      </c>
      <c r="Q777" s="102">
        <v>3000000</v>
      </c>
      <c r="R777" s="102"/>
      <c r="S777" s="70">
        <f>P777-M777</f>
        <v>2950000</v>
      </c>
      <c r="T777" s="70">
        <f t="shared" si="639"/>
        <v>2850000</v>
      </c>
      <c r="U777" s="70">
        <f t="shared" si="639"/>
        <v>2800000</v>
      </c>
      <c r="V777" s="506">
        <f t="shared" si="590"/>
        <v>2950000</v>
      </c>
      <c r="W777" s="506">
        <f t="shared" si="591"/>
        <v>0</v>
      </c>
      <c r="X777" s="31"/>
      <c r="Y777" s="486"/>
      <c r="Z777" s="31"/>
      <c r="AA777" s="31"/>
      <c r="AB777" s="31"/>
    </row>
    <row r="778" spans="1:38" ht="18" customHeight="1" x14ac:dyDescent="0.3">
      <c r="A778" s="434">
        <v>4223</v>
      </c>
      <c r="B778" s="117" t="s">
        <v>59</v>
      </c>
      <c r="C778" s="108">
        <v>1991000</v>
      </c>
      <c r="D778" s="102"/>
      <c r="E778" s="102">
        <v>456000</v>
      </c>
      <c r="F778" s="109">
        <v>2488000</v>
      </c>
      <c r="G778" s="109">
        <v>2488000</v>
      </c>
      <c r="H778" s="109">
        <v>4500000</v>
      </c>
      <c r="I778" s="109">
        <v>1700000</v>
      </c>
      <c r="J778" s="109"/>
      <c r="K778" s="102"/>
      <c r="L778" s="102"/>
      <c r="M778" s="63">
        <f>H778-I778+J778-K778+L778</f>
        <v>2800000</v>
      </c>
      <c r="N778" s="109">
        <v>2000000</v>
      </c>
      <c r="O778" s="109">
        <v>2000000</v>
      </c>
      <c r="P778" s="102">
        <v>2660000</v>
      </c>
      <c r="Q778" s="102"/>
      <c r="R778" s="102"/>
      <c r="S778" s="70">
        <f>P778-M778</f>
        <v>-140000</v>
      </c>
      <c r="T778" s="70">
        <f t="shared" si="639"/>
        <v>660000</v>
      </c>
      <c r="U778" s="70">
        <f t="shared" si="639"/>
        <v>-2000000</v>
      </c>
      <c r="V778" s="506">
        <f t="shared" si="590"/>
        <v>-140000</v>
      </c>
      <c r="W778" s="506">
        <f t="shared" si="591"/>
        <v>0</v>
      </c>
      <c r="X778" s="31"/>
      <c r="Y778" s="486"/>
      <c r="Z778" s="31"/>
      <c r="AA778" s="31"/>
      <c r="AB778" s="31"/>
    </row>
    <row r="779" spans="1:38" x14ac:dyDescent="0.3">
      <c r="A779" s="617">
        <v>4227</v>
      </c>
      <c r="B779" s="618" t="s">
        <v>60</v>
      </c>
      <c r="C779" s="108">
        <v>269000</v>
      </c>
      <c r="D779" s="102"/>
      <c r="E779" s="102">
        <v>0</v>
      </c>
      <c r="F779" s="109">
        <v>299000</v>
      </c>
      <c r="G779" s="109">
        <v>299000</v>
      </c>
      <c r="H779" s="109">
        <v>20000</v>
      </c>
      <c r="I779" s="109"/>
      <c r="J779" s="109"/>
      <c r="K779" s="102"/>
      <c r="L779" s="102"/>
      <c r="M779" s="63">
        <f>H779-I779+J779-K779+L779</f>
        <v>20000</v>
      </c>
      <c r="N779" s="109">
        <v>100000</v>
      </c>
      <c r="O779" s="109">
        <v>100000</v>
      </c>
      <c r="P779" s="102">
        <v>4225000</v>
      </c>
      <c r="Q779" s="102"/>
      <c r="R779" s="102"/>
      <c r="S779" s="70">
        <f>P779-M779</f>
        <v>4205000</v>
      </c>
      <c r="T779" s="70">
        <f t="shared" si="639"/>
        <v>4125000</v>
      </c>
      <c r="U779" s="70">
        <f t="shared" si="639"/>
        <v>-100000</v>
      </c>
      <c r="V779" s="506">
        <f t="shared" si="590"/>
        <v>4205000</v>
      </c>
      <c r="W779" s="506">
        <f t="shared" si="591"/>
        <v>0</v>
      </c>
      <c r="X779" s="31"/>
      <c r="Y779" s="486"/>
      <c r="Z779" s="31"/>
      <c r="AA779" s="31"/>
      <c r="AB779" s="31"/>
    </row>
    <row r="780" spans="1:38" x14ac:dyDescent="0.3">
      <c r="A780" s="607">
        <v>423</v>
      </c>
      <c r="B780" s="119" t="s">
        <v>61</v>
      </c>
      <c r="C780" s="559">
        <f t="shared" ref="C780:G780" si="640">SUM(C781:C782)</f>
        <v>1195000</v>
      </c>
      <c r="D780" s="79"/>
      <c r="E780" s="79">
        <f t="shared" ref="E780" si="641">SUM(E781:E782)</f>
        <v>0</v>
      </c>
      <c r="F780" s="369">
        <f t="shared" si="640"/>
        <v>1393000</v>
      </c>
      <c r="G780" s="369">
        <f t="shared" si="640"/>
        <v>1443000</v>
      </c>
      <c r="H780" s="369">
        <f t="shared" ref="H780:U780" si="642">SUM(H781:H782)</f>
        <v>300000</v>
      </c>
      <c r="I780" s="369">
        <f t="shared" si="642"/>
        <v>0</v>
      </c>
      <c r="J780" s="369">
        <f t="shared" si="642"/>
        <v>0</v>
      </c>
      <c r="K780" s="369">
        <f t="shared" si="642"/>
        <v>0</v>
      </c>
      <c r="L780" s="369">
        <f t="shared" si="642"/>
        <v>0</v>
      </c>
      <c r="M780" s="369">
        <f t="shared" si="642"/>
        <v>300000</v>
      </c>
      <c r="N780" s="369">
        <f t="shared" si="642"/>
        <v>1000000</v>
      </c>
      <c r="O780" s="369">
        <f t="shared" si="642"/>
        <v>2400000</v>
      </c>
      <c r="P780" s="369">
        <f t="shared" si="642"/>
        <v>3035000</v>
      </c>
      <c r="Q780" s="369">
        <f t="shared" si="642"/>
        <v>2800000</v>
      </c>
      <c r="R780" s="369">
        <f t="shared" si="642"/>
        <v>1681000</v>
      </c>
      <c r="S780" s="369">
        <f t="shared" si="642"/>
        <v>2735000</v>
      </c>
      <c r="T780" s="369">
        <f t="shared" si="642"/>
        <v>2035000</v>
      </c>
      <c r="U780" s="369">
        <f t="shared" si="642"/>
        <v>400000</v>
      </c>
      <c r="V780" s="506">
        <f t="shared" ref="V780:V843" si="643">P780-M780</f>
        <v>2735000</v>
      </c>
      <c r="W780" s="506">
        <f t="shared" ref="W780:W843" si="644">S780-V780</f>
        <v>0</v>
      </c>
      <c r="X780" s="31"/>
      <c r="Y780" s="486"/>
      <c r="Z780" s="31"/>
      <c r="AA780" s="31"/>
      <c r="AB780" s="31"/>
    </row>
    <row r="781" spans="1:38" ht="14.55" customHeight="1" x14ac:dyDescent="0.3">
      <c r="A781" s="434">
        <v>4231</v>
      </c>
      <c r="B781" s="117" t="s">
        <v>62</v>
      </c>
      <c r="C781" s="108">
        <v>697000</v>
      </c>
      <c r="D781" s="102"/>
      <c r="E781" s="102">
        <v>0</v>
      </c>
      <c r="F781" s="109">
        <v>796000</v>
      </c>
      <c r="G781" s="109">
        <v>796000</v>
      </c>
      <c r="H781" s="109">
        <v>300000</v>
      </c>
      <c r="I781" s="109"/>
      <c r="J781" s="109"/>
      <c r="K781" s="102"/>
      <c r="L781" s="102"/>
      <c r="M781" s="63">
        <f>H781-I781+J781-K781+L781</f>
        <v>300000</v>
      </c>
      <c r="N781" s="109">
        <v>1000000</v>
      </c>
      <c r="O781" s="109">
        <v>1000000</v>
      </c>
      <c r="P781" s="102">
        <v>3035000</v>
      </c>
      <c r="Q781" s="102">
        <v>2800000</v>
      </c>
      <c r="R781" s="102"/>
      <c r="S781" s="70">
        <f>P781-M781</f>
        <v>2735000</v>
      </c>
      <c r="T781" s="70">
        <f>P781-N781</f>
        <v>2035000</v>
      </c>
      <c r="U781" s="70">
        <f>Q781-O781</f>
        <v>1800000</v>
      </c>
      <c r="V781" s="506">
        <f t="shared" si="643"/>
        <v>2735000</v>
      </c>
      <c r="W781" s="506">
        <f t="shared" si="644"/>
        <v>0</v>
      </c>
      <c r="X781" s="31"/>
      <c r="Y781" s="486"/>
      <c r="Z781" s="31"/>
      <c r="AA781" s="31"/>
      <c r="AB781" s="31"/>
      <c r="AD781" s="418"/>
    </row>
    <row r="782" spans="1:38" x14ac:dyDescent="0.3">
      <c r="A782" s="434">
        <v>4233</v>
      </c>
      <c r="B782" s="117" t="s">
        <v>227</v>
      </c>
      <c r="C782" s="108">
        <v>498000</v>
      </c>
      <c r="D782" s="102"/>
      <c r="E782" s="102">
        <v>0</v>
      </c>
      <c r="F782" s="109">
        <v>597000</v>
      </c>
      <c r="G782" s="109">
        <v>647000</v>
      </c>
      <c r="H782" s="109"/>
      <c r="I782" s="109"/>
      <c r="J782" s="109"/>
      <c r="K782" s="109"/>
      <c r="L782" s="109"/>
      <c r="M782" s="109"/>
      <c r="N782" s="109"/>
      <c r="O782" s="109">
        <v>1400000</v>
      </c>
      <c r="P782" s="102"/>
      <c r="Q782" s="102"/>
      <c r="R782" s="102">
        <v>1681000</v>
      </c>
      <c r="S782" s="70">
        <f>P782-M782</f>
        <v>0</v>
      </c>
      <c r="T782" s="70">
        <f>P782-N782</f>
        <v>0</v>
      </c>
      <c r="U782" s="70">
        <f>Q782-O782</f>
        <v>-1400000</v>
      </c>
      <c r="V782" s="506">
        <f t="shared" si="643"/>
        <v>0</v>
      </c>
      <c r="W782" s="506">
        <f t="shared" si="644"/>
        <v>0</v>
      </c>
      <c r="X782" s="31"/>
      <c r="Y782" s="486"/>
      <c r="Z782" s="31"/>
      <c r="AA782" s="31"/>
      <c r="AB782" s="31"/>
    </row>
    <row r="783" spans="1:38" ht="15.75" hidden="1" customHeight="1" x14ac:dyDescent="0.3">
      <c r="A783" s="607">
        <v>426</v>
      </c>
      <c r="B783" s="119" t="s">
        <v>73</v>
      </c>
      <c r="C783" s="559">
        <f t="shared" ref="C783:U783" si="645">SUM(C784)</f>
        <v>140000</v>
      </c>
      <c r="D783" s="79"/>
      <c r="E783" s="79">
        <f t="shared" si="645"/>
        <v>0</v>
      </c>
      <c r="F783" s="369">
        <f t="shared" si="645"/>
        <v>199000</v>
      </c>
      <c r="G783" s="369">
        <f t="shared" si="645"/>
        <v>299000</v>
      </c>
      <c r="H783" s="369">
        <f t="shared" si="645"/>
        <v>100000</v>
      </c>
      <c r="I783" s="369">
        <f t="shared" si="645"/>
        <v>0</v>
      </c>
      <c r="J783" s="369">
        <f t="shared" si="645"/>
        <v>50000</v>
      </c>
      <c r="K783" s="369">
        <f t="shared" si="645"/>
        <v>0</v>
      </c>
      <c r="L783" s="369">
        <f t="shared" si="645"/>
        <v>0</v>
      </c>
      <c r="M783" s="369">
        <f t="shared" si="645"/>
        <v>150000</v>
      </c>
      <c r="N783" s="369">
        <f t="shared" si="645"/>
        <v>200000</v>
      </c>
      <c r="O783" s="369">
        <f t="shared" si="645"/>
        <v>200000</v>
      </c>
      <c r="P783" s="369">
        <f t="shared" si="645"/>
        <v>0</v>
      </c>
      <c r="Q783" s="369">
        <f t="shared" si="645"/>
        <v>0</v>
      </c>
      <c r="R783" s="369">
        <f t="shared" si="645"/>
        <v>0</v>
      </c>
      <c r="S783" s="369">
        <f t="shared" si="645"/>
        <v>-150000</v>
      </c>
      <c r="T783" s="369">
        <f t="shared" si="645"/>
        <v>-200000</v>
      </c>
      <c r="U783" s="369">
        <f t="shared" si="645"/>
        <v>-200000</v>
      </c>
      <c r="V783" s="506">
        <f t="shared" si="643"/>
        <v>-150000</v>
      </c>
      <c r="W783" s="506">
        <f t="shared" si="644"/>
        <v>0</v>
      </c>
      <c r="X783" s="31"/>
      <c r="Y783" s="486"/>
      <c r="Z783" s="31"/>
      <c r="AA783" s="31"/>
      <c r="AB783" s="31"/>
    </row>
    <row r="784" spans="1:38" hidden="1" x14ac:dyDescent="0.3">
      <c r="A784" s="434">
        <v>4262</v>
      </c>
      <c r="B784" s="117" t="s">
        <v>88</v>
      </c>
      <c r="C784" s="108">
        <v>140000</v>
      </c>
      <c r="D784" s="102"/>
      <c r="E784" s="102">
        <v>0</v>
      </c>
      <c r="F784" s="109">
        <v>199000</v>
      </c>
      <c r="G784" s="109">
        <v>299000</v>
      </c>
      <c r="H784" s="109">
        <v>100000</v>
      </c>
      <c r="I784" s="109"/>
      <c r="J784" s="109">
        <v>50000</v>
      </c>
      <c r="K784" s="102"/>
      <c r="L784" s="102"/>
      <c r="M784" s="63">
        <f>H784-I784+J784-K784+L784</f>
        <v>150000</v>
      </c>
      <c r="N784" s="109">
        <v>200000</v>
      </c>
      <c r="O784" s="109">
        <v>200000</v>
      </c>
      <c r="P784" s="102"/>
      <c r="Q784" s="102"/>
      <c r="R784" s="102"/>
      <c r="S784" s="70">
        <f>P784-M784</f>
        <v>-150000</v>
      </c>
      <c r="T784" s="70">
        <f>P784-N784</f>
        <v>-200000</v>
      </c>
      <c r="U784" s="70">
        <f>Q784-O784</f>
        <v>-200000</v>
      </c>
      <c r="V784" s="506">
        <f t="shared" si="643"/>
        <v>-150000</v>
      </c>
      <c r="W784" s="506">
        <f t="shared" si="644"/>
        <v>0</v>
      </c>
      <c r="X784" s="31"/>
      <c r="Y784" s="486"/>
      <c r="Z784" s="31"/>
      <c r="AA784" s="31"/>
      <c r="AB784" s="31"/>
    </row>
    <row r="785" spans="1:38" s="4" customFormat="1" ht="33.6" hidden="1" customHeight="1" x14ac:dyDescent="0.3">
      <c r="A785" s="592" t="s">
        <v>342</v>
      </c>
      <c r="B785" s="593" t="s">
        <v>343</v>
      </c>
      <c r="C785" s="581">
        <f t="shared" ref="C785:U785" si="646">C786</f>
        <v>7000</v>
      </c>
      <c r="D785" s="99"/>
      <c r="E785" s="99">
        <f t="shared" si="646"/>
        <v>0</v>
      </c>
      <c r="F785" s="373">
        <f t="shared" si="646"/>
        <v>3000</v>
      </c>
      <c r="G785" s="373">
        <f t="shared" si="646"/>
        <v>0</v>
      </c>
      <c r="H785" s="373">
        <f t="shared" si="646"/>
        <v>0</v>
      </c>
      <c r="I785" s="373">
        <f t="shared" si="646"/>
        <v>0</v>
      </c>
      <c r="J785" s="373">
        <f t="shared" si="646"/>
        <v>0</v>
      </c>
      <c r="K785" s="373">
        <f t="shared" si="646"/>
        <v>0</v>
      </c>
      <c r="L785" s="373">
        <f t="shared" si="646"/>
        <v>0</v>
      </c>
      <c r="M785" s="373">
        <f t="shared" si="646"/>
        <v>0</v>
      </c>
      <c r="N785" s="373">
        <f t="shared" si="646"/>
        <v>0</v>
      </c>
      <c r="O785" s="373">
        <f t="shared" si="646"/>
        <v>0</v>
      </c>
      <c r="P785" s="373">
        <f t="shared" si="646"/>
        <v>0</v>
      </c>
      <c r="Q785" s="373">
        <f t="shared" si="646"/>
        <v>0</v>
      </c>
      <c r="R785" s="373">
        <f t="shared" si="646"/>
        <v>0</v>
      </c>
      <c r="S785" s="373">
        <f t="shared" si="646"/>
        <v>0</v>
      </c>
      <c r="T785" s="373">
        <f t="shared" si="646"/>
        <v>0</v>
      </c>
      <c r="U785" s="373">
        <f t="shared" si="646"/>
        <v>0</v>
      </c>
      <c r="V785" s="506">
        <f t="shared" si="643"/>
        <v>0</v>
      </c>
      <c r="W785" s="506">
        <f t="shared" si="644"/>
        <v>0</v>
      </c>
      <c r="X785" s="31"/>
      <c r="Y785" s="486"/>
      <c r="Z785" s="31"/>
      <c r="AA785" s="31"/>
      <c r="AB785" s="31"/>
      <c r="AD785" s="409" t="s">
        <v>435</v>
      </c>
      <c r="AH785" s="457"/>
      <c r="AI785" s="457"/>
      <c r="AJ785" s="457"/>
      <c r="AK785" s="457"/>
      <c r="AL785" s="457"/>
    </row>
    <row r="786" spans="1:38" s="4" customFormat="1" ht="43.5" hidden="1" customHeight="1" x14ac:dyDescent="0.3">
      <c r="A786" s="693" t="s">
        <v>77</v>
      </c>
      <c r="B786" s="694"/>
      <c r="C786" s="582">
        <f t="shared" ref="C786:U788" si="647">SUM(C787)</f>
        <v>7000</v>
      </c>
      <c r="D786" s="100"/>
      <c r="E786" s="100">
        <f t="shared" si="647"/>
        <v>0</v>
      </c>
      <c r="F786" s="374">
        <f t="shared" si="647"/>
        <v>3000</v>
      </c>
      <c r="G786" s="374">
        <f t="shared" si="647"/>
        <v>0</v>
      </c>
      <c r="H786" s="374">
        <f t="shared" si="647"/>
        <v>0</v>
      </c>
      <c r="I786" s="374">
        <f t="shared" si="647"/>
        <v>0</v>
      </c>
      <c r="J786" s="374">
        <f t="shared" si="647"/>
        <v>0</v>
      </c>
      <c r="K786" s="374">
        <f t="shared" si="647"/>
        <v>0</v>
      </c>
      <c r="L786" s="374">
        <f t="shared" si="647"/>
        <v>0</v>
      </c>
      <c r="M786" s="374">
        <f t="shared" si="647"/>
        <v>0</v>
      </c>
      <c r="N786" s="374">
        <f t="shared" si="647"/>
        <v>0</v>
      </c>
      <c r="O786" s="374">
        <f t="shared" si="647"/>
        <v>0</v>
      </c>
      <c r="P786" s="374">
        <f t="shared" si="647"/>
        <v>0</v>
      </c>
      <c r="Q786" s="374">
        <f t="shared" si="647"/>
        <v>0</v>
      </c>
      <c r="R786" s="374">
        <f t="shared" si="647"/>
        <v>0</v>
      </c>
      <c r="S786" s="587">
        <f t="shared" si="647"/>
        <v>0</v>
      </c>
      <c r="T786" s="587">
        <f t="shared" si="647"/>
        <v>0</v>
      </c>
      <c r="U786" s="587">
        <f t="shared" si="647"/>
        <v>0</v>
      </c>
      <c r="V786" s="506">
        <f t="shared" si="643"/>
        <v>0</v>
      </c>
      <c r="W786" s="506">
        <f t="shared" si="644"/>
        <v>0</v>
      </c>
      <c r="X786" s="31"/>
      <c r="Y786" s="486"/>
      <c r="Z786" s="31"/>
      <c r="AA786" s="31"/>
      <c r="AB786" s="31"/>
      <c r="AH786" s="457"/>
      <c r="AI786" s="457"/>
      <c r="AJ786" s="457"/>
      <c r="AK786" s="457"/>
      <c r="AL786" s="457"/>
    </row>
    <row r="787" spans="1:38" s="4" customFormat="1" ht="19.5" hidden="1" customHeight="1" x14ac:dyDescent="0.3">
      <c r="A787" s="561">
        <v>32</v>
      </c>
      <c r="B787" s="562" t="s">
        <v>318</v>
      </c>
      <c r="C787" s="599">
        <f t="shared" si="647"/>
        <v>7000</v>
      </c>
      <c r="D787" s="148"/>
      <c r="E787" s="148">
        <f t="shared" si="647"/>
        <v>0</v>
      </c>
      <c r="F787" s="381">
        <f t="shared" si="647"/>
        <v>3000</v>
      </c>
      <c r="G787" s="381">
        <f t="shared" si="647"/>
        <v>0</v>
      </c>
      <c r="H787" s="381">
        <f t="shared" si="647"/>
        <v>0</v>
      </c>
      <c r="I787" s="381">
        <f t="shared" si="647"/>
        <v>0</v>
      </c>
      <c r="J787" s="381">
        <f t="shared" si="647"/>
        <v>0</v>
      </c>
      <c r="K787" s="381">
        <f t="shared" si="647"/>
        <v>0</v>
      </c>
      <c r="L787" s="381">
        <f t="shared" si="647"/>
        <v>0</v>
      </c>
      <c r="M787" s="381">
        <f t="shared" si="647"/>
        <v>0</v>
      </c>
      <c r="N787" s="381">
        <f t="shared" si="647"/>
        <v>0</v>
      </c>
      <c r="O787" s="381">
        <f t="shared" si="647"/>
        <v>0</v>
      </c>
      <c r="P787" s="381">
        <f t="shared" si="647"/>
        <v>0</v>
      </c>
      <c r="Q787" s="381">
        <f t="shared" si="647"/>
        <v>0</v>
      </c>
      <c r="R787" s="381">
        <f t="shared" si="647"/>
        <v>0</v>
      </c>
      <c r="S787" s="600">
        <f t="shared" si="647"/>
        <v>0</v>
      </c>
      <c r="T787" s="600">
        <f t="shared" si="647"/>
        <v>0</v>
      </c>
      <c r="U787" s="600">
        <f t="shared" si="647"/>
        <v>0</v>
      </c>
      <c r="V787" s="506">
        <f t="shared" si="643"/>
        <v>0</v>
      </c>
      <c r="W787" s="506">
        <f t="shared" si="644"/>
        <v>0</v>
      </c>
      <c r="X787" s="31"/>
      <c r="Y787" s="486"/>
      <c r="Z787" s="31"/>
      <c r="AA787" s="31"/>
      <c r="AB787" s="31"/>
      <c r="AH787" s="457"/>
      <c r="AI787" s="457"/>
      <c r="AJ787" s="457"/>
      <c r="AK787" s="457"/>
      <c r="AL787" s="457"/>
    </row>
    <row r="788" spans="1:38" ht="13.05" hidden="1" x14ac:dyDescent="0.3">
      <c r="A788" s="601" t="s">
        <v>149</v>
      </c>
      <c r="B788" s="602" t="s">
        <v>12</v>
      </c>
      <c r="C788" s="559">
        <f t="shared" si="647"/>
        <v>7000</v>
      </c>
      <c r="D788" s="79"/>
      <c r="E788" s="79">
        <f t="shared" si="647"/>
        <v>0</v>
      </c>
      <c r="F788" s="369">
        <f t="shared" si="647"/>
        <v>3000</v>
      </c>
      <c r="G788" s="369">
        <f t="shared" si="647"/>
        <v>0</v>
      </c>
      <c r="H788" s="369">
        <f t="shared" si="647"/>
        <v>0</v>
      </c>
      <c r="I788" s="369">
        <f t="shared" si="647"/>
        <v>0</v>
      </c>
      <c r="J788" s="369">
        <f t="shared" si="647"/>
        <v>0</v>
      </c>
      <c r="K788" s="369">
        <f t="shared" si="647"/>
        <v>0</v>
      </c>
      <c r="L788" s="369">
        <f t="shared" si="647"/>
        <v>0</v>
      </c>
      <c r="M788" s="369">
        <f t="shared" si="647"/>
        <v>0</v>
      </c>
      <c r="N788" s="369">
        <f t="shared" si="647"/>
        <v>0</v>
      </c>
      <c r="O788" s="369">
        <f t="shared" si="647"/>
        <v>0</v>
      </c>
      <c r="P788" s="369">
        <f t="shared" si="647"/>
        <v>0</v>
      </c>
      <c r="Q788" s="369">
        <f t="shared" si="647"/>
        <v>0</v>
      </c>
      <c r="R788" s="369">
        <f t="shared" si="647"/>
        <v>0</v>
      </c>
      <c r="S788" s="369">
        <f t="shared" si="647"/>
        <v>0</v>
      </c>
      <c r="T788" s="369">
        <f t="shared" si="647"/>
        <v>0</v>
      </c>
      <c r="U788" s="369">
        <f t="shared" si="647"/>
        <v>0</v>
      </c>
      <c r="V788" s="506">
        <f t="shared" si="643"/>
        <v>0</v>
      </c>
      <c r="W788" s="506">
        <f t="shared" si="644"/>
        <v>0</v>
      </c>
      <c r="X788" s="31"/>
      <c r="Y788" s="486"/>
      <c r="Z788" s="31"/>
      <c r="AA788" s="31"/>
      <c r="AB788" s="31"/>
    </row>
    <row r="789" spans="1:38" ht="13.05" hidden="1" x14ac:dyDescent="0.3">
      <c r="A789" s="613">
        <v>3213</v>
      </c>
      <c r="B789" s="620" t="s">
        <v>15</v>
      </c>
      <c r="C789" s="560">
        <v>7000</v>
      </c>
      <c r="D789" s="81"/>
      <c r="E789" s="81">
        <v>0</v>
      </c>
      <c r="F789" s="370">
        <v>3000</v>
      </c>
      <c r="G789" s="370"/>
      <c r="H789" s="370"/>
      <c r="I789" s="370"/>
      <c r="J789" s="370"/>
      <c r="K789" s="370"/>
      <c r="L789" s="370"/>
      <c r="M789" s="370"/>
      <c r="N789" s="370"/>
      <c r="O789" s="370"/>
      <c r="P789" s="81"/>
      <c r="Q789" s="81"/>
      <c r="R789" s="81"/>
      <c r="S789" s="70">
        <f>P789-M789</f>
        <v>0</v>
      </c>
      <c r="T789" s="70">
        <f>P789-N789</f>
        <v>0</v>
      </c>
      <c r="U789" s="63">
        <f>N789-G789</f>
        <v>0</v>
      </c>
      <c r="V789" s="506">
        <f t="shared" si="643"/>
        <v>0</v>
      </c>
      <c r="W789" s="506">
        <f t="shared" si="644"/>
        <v>0</v>
      </c>
      <c r="X789" s="31"/>
      <c r="Y789" s="486"/>
      <c r="Z789" s="31"/>
      <c r="AA789" s="31"/>
      <c r="AB789" s="31"/>
    </row>
    <row r="790" spans="1:38" ht="39" hidden="1" x14ac:dyDescent="0.3">
      <c r="A790" s="592" t="s">
        <v>344</v>
      </c>
      <c r="B790" s="593" t="s">
        <v>345</v>
      </c>
      <c r="C790" s="581">
        <f t="shared" ref="C790:U793" si="648">SUM(C791)</f>
        <v>7000</v>
      </c>
      <c r="D790" s="99"/>
      <c r="E790" s="99">
        <f t="shared" si="648"/>
        <v>0</v>
      </c>
      <c r="F790" s="373">
        <f t="shared" si="648"/>
        <v>3000</v>
      </c>
      <c r="G790" s="373">
        <f t="shared" si="648"/>
        <v>0</v>
      </c>
      <c r="H790" s="373">
        <f t="shared" si="648"/>
        <v>0</v>
      </c>
      <c r="I790" s="373">
        <f t="shared" si="648"/>
        <v>0</v>
      </c>
      <c r="J790" s="373">
        <f t="shared" si="648"/>
        <v>0</v>
      </c>
      <c r="K790" s="373">
        <f t="shared" si="648"/>
        <v>0</v>
      </c>
      <c r="L790" s="373">
        <f t="shared" si="648"/>
        <v>0</v>
      </c>
      <c r="M790" s="373">
        <f t="shared" si="648"/>
        <v>0</v>
      </c>
      <c r="N790" s="373">
        <f t="shared" si="648"/>
        <v>0</v>
      </c>
      <c r="O790" s="373">
        <f t="shared" si="648"/>
        <v>0</v>
      </c>
      <c r="P790" s="373">
        <f t="shared" si="648"/>
        <v>0</v>
      </c>
      <c r="Q790" s="373">
        <f t="shared" si="648"/>
        <v>0</v>
      </c>
      <c r="R790" s="373">
        <f t="shared" si="648"/>
        <v>0</v>
      </c>
      <c r="S790" s="373">
        <f t="shared" si="648"/>
        <v>0</v>
      </c>
      <c r="T790" s="373">
        <f t="shared" si="648"/>
        <v>0</v>
      </c>
      <c r="U790" s="373">
        <f t="shared" si="648"/>
        <v>0</v>
      </c>
      <c r="V790" s="506">
        <f t="shared" si="643"/>
        <v>0</v>
      </c>
      <c r="W790" s="506">
        <f t="shared" si="644"/>
        <v>0</v>
      </c>
      <c r="X790" s="31"/>
      <c r="Y790" s="486"/>
      <c r="Z790" s="31"/>
      <c r="AA790" s="31"/>
      <c r="AB790" s="31"/>
      <c r="AD790" s="409" t="s">
        <v>435</v>
      </c>
    </row>
    <row r="791" spans="1:38" ht="13.05" hidden="1" x14ac:dyDescent="0.3">
      <c r="A791" s="693" t="s">
        <v>77</v>
      </c>
      <c r="B791" s="694"/>
      <c r="C791" s="582">
        <f t="shared" si="648"/>
        <v>7000</v>
      </c>
      <c r="D791" s="100"/>
      <c r="E791" s="100">
        <f t="shared" si="648"/>
        <v>0</v>
      </c>
      <c r="F791" s="374">
        <f t="shared" si="648"/>
        <v>3000</v>
      </c>
      <c r="G791" s="374">
        <f t="shared" si="648"/>
        <v>0</v>
      </c>
      <c r="H791" s="374">
        <f t="shared" si="648"/>
        <v>0</v>
      </c>
      <c r="I791" s="374">
        <f t="shared" si="648"/>
        <v>0</v>
      </c>
      <c r="J791" s="374">
        <f t="shared" si="648"/>
        <v>0</v>
      </c>
      <c r="K791" s="374">
        <f t="shared" si="648"/>
        <v>0</v>
      </c>
      <c r="L791" s="374">
        <f t="shared" si="648"/>
        <v>0</v>
      </c>
      <c r="M791" s="374">
        <f t="shared" si="648"/>
        <v>0</v>
      </c>
      <c r="N791" s="374">
        <f t="shared" si="648"/>
        <v>0</v>
      </c>
      <c r="O791" s="374">
        <f t="shared" si="648"/>
        <v>0</v>
      </c>
      <c r="P791" s="374">
        <f t="shared" si="648"/>
        <v>0</v>
      </c>
      <c r="Q791" s="374">
        <f t="shared" si="648"/>
        <v>0</v>
      </c>
      <c r="R791" s="374">
        <f t="shared" si="648"/>
        <v>0</v>
      </c>
      <c r="S791" s="587">
        <f t="shared" si="648"/>
        <v>0</v>
      </c>
      <c r="T791" s="587">
        <f t="shared" si="648"/>
        <v>0</v>
      </c>
      <c r="U791" s="587">
        <f t="shared" si="648"/>
        <v>0</v>
      </c>
      <c r="V791" s="506">
        <f t="shared" si="643"/>
        <v>0</v>
      </c>
      <c r="W791" s="506">
        <f t="shared" si="644"/>
        <v>0</v>
      </c>
      <c r="X791" s="31"/>
      <c r="Y791" s="486"/>
      <c r="Z791" s="31"/>
      <c r="AA791" s="31"/>
      <c r="AB791" s="31"/>
    </row>
    <row r="792" spans="1:38" ht="13.05" hidden="1" x14ac:dyDescent="0.3">
      <c r="A792" s="561">
        <v>32</v>
      </c>
      <c r="B792" s="562" t="s">
        <v>318</v>
      </c>
      <c r="C792" s="599">
        <f t="shared" si="648"/>
        <v>7000</v>
      </c>
      <c r="D792" s="148"/>
      <c r="E792" s="148">
        <f t="shared" si="648"/>
        <v>0</v>
      </c>
      <c r="F792" s="381">
        <f t="shared" si="648"/>
        <v>3000</v>
      </c>
      <c r="G792" s="381">
        <f t="shared" si="648"/>
        <v>0</v>
      </c>
      <c r="H792" s="381">
        <f>SUM(H793)</f>
        <v>0</v>
      </c>
      <c r="I792" s="381">
        <f t="shared" si="648"/>
        <v>0</v>
      </c>
      <c r="J792" s="381">
        <f t="shared" si="648"/>
        <v>0</v>
      </c>
      <c r="K792" s="381">
        <f t="shared" si="648"/>
        <v>0</v>
      </c>
      <c r="L792" s="381">
        <f t="shared" si="648"/>
        <v>0</v>
      </c>
      <c r="M792" s="381"/>
      <c r="N792" s="381">
        <f t="shared" si="648"/>
        <v>0</v>
      </c>
      <c r="O792" s="381">
        <f t="shared" si="648"/>
        <v>0</v>
      </c>
      <c r="P792" s="381">
        <f t="shared" si="648"/>
        <v>0</v>
      </c>
      <c r="Q792" s="381">
        <f t="shared" si="648"/>
        <v>0</v>
      </c>
      <c r="R792" s="381">
        <f t="shared" si="648"/>
        <v>0</v>
      </c>
      <c r="S792" s="600">
        <f t="shared" si="648"/>
        <v>0</v>
      </c>
      <c r="T792" s="600">
        <f t="shared" si="648"/>
        <v>0</v>
      </c>
      <c r="U792" s="600">
        <f t="shared" si="648"/>
        <v>0</v>
      </c>
      <c r="V792" s="506">
        <f t="shared" si="643"/>
        <v>0</v>
      </c>
      <c r="W792" s="506">
        <f t="shared" si="644"/>
        <v>0</v>
      </c>
      <c r="X792" s="31"/>
      <c r="Y792" s="486"/>
      <c r="Z792" s="31"/>
      <c r="AA792" s="31"/>
      <c r="AB792" s="31"/>
    </row>
    <row r="793" spans="1:38" ht="13.05" hidden="1" x14ac:dyDescent="0.3">
      <c r="A793" s="601" t="s">
        <v>149</v>
      </c>
      <c r="B793" s="602" t="s">
        <v>12</v>
      </c>
      <c r="C793" s="559">
        <f t="shared" si="648"/>
        <v>7000</v>
      </c>
      <c r="D793" s="79"/>
      <c r="E793" s="79">
        <f t="shared" si="648"/>
        <v>0</v>
      </c>
      <c r="F793" s="369">
        <f t="shared" si="648"/>
        <v>3000</v>
      </c>
      <c r="G793" s="369">
        <f t="shared" si="648"/>
        <v>0</v>
      </c>
      <c r="H793" s="369">
        <f>SUM(H794)</f>
        <v>0</v>
      </c>
      <c r="I793" s="369">
        <f t="shared" si="648"/>
        <v>0</v>
      </c>
      <c r="J793" s="369">
        <f t="shared" si="648"/>
        <v>0</v>
      </c>
      <c r="K793" s="369">
        <f t="shared" si="648"/>
        <v>0</v>
      </c>
      <c r="L793" s="369">
        <f t="shared" si="648"/>
        <v>0</v>
      </c>
      <c r="M793" s="369">
        <f>SUM(M794)</f>
        <v>0</v>
      </c>
      <c r="N793" s="369">
        <f t="shared" si="648"/>
        <v>0</v>
      </c>
      <c r="O793" s="369">
        <f t="shared" si="648"/>
        <v>0</v>
      </c>
      <c r="P793" s="369">
        <f t="shared" si="648"/>
        <v>0</v>
      </c>
      <c r="Q793" s="369">
        <f t="shared" si="648"/>
        <v>0</v>
      </c>
      <c r="R793" s="369">
        <f t="shared" si="648"/>
        <v>0</v>
      </c>
      <c r="S793" s="369">
        <f t="shared" si="648"/>
        <v>0</v>
      </c>
      <c r="T793" s="369">
        <f t="shared" si="648"/>
        <v>0</v>
      </c>
      <c r="U793" s="369">
        <f t="shared" si="648"/>
        <v>0</v>
      </c>
      <c r="V793" s="506">
        <f t="shared" si="643"/>
        <v>0</v>
      </c>
      <c r="W793" s="506">
        <f t="shared" si="644"/>
        <v>0</v>
      </c>
      <c r="X793" s="31"/>
      <c r="Y793" s="486"/>
      <c r="Z793" s="31"/>
      <c r="AA793" s="31"/>
      <c r="AB793" s="31"/>
    </row>
    <row r="794" spans="1:38" ht="13.05" hidden="1" x14ac:dyDescent="0.3">
      <c r="A794" s="613">
        <v>3213</v>
      </c>
      <c r="B794" s="620" t="s">
        <v>15</v>
      </c>
      <c r="C794" s="560">
        <v>7000</v>
      </c>
      <c r="D794" s="81"/>
      <c r="E794" s="81">
        <v>0</v>
      </c>
      <c r="F794" s="370">
        <v>3000</v>
      </c>
      <c r="G794" s="370"/>
      <c r="H794" s="370"/>
      <c r="I794" s="370"/>
      <c r="J794" s="370"/>
      <c r="K794" s="370"/>
      <c r="L794" s="370"/>
      <c r="M794" s="370"/>
      <c r="N794" s="370"/>
      <c r="O794" s="370"/>
      <c r="P794" s="81"/>
      <c r="Q794" s="81"/>
      <c r="R794" s="81"/>
      <c r="S794" s="70">
        <f>P794-M794</f>
        <v>0</v>
      </c>
      <c r="T794" s="70">
        <f>P794-N794</f>
        <v>0</v>
      </c>
      <c r="U794" s="63">
        <f>N794-G794</f>
        <v>0</v>
      </c>
      <c r="V794" s="506">
        <f t="shared" si="643"/>
        <v>0</v>
      </c>
      <c r="W794" s="506">
        <f t="shared" si="644"/>
        <v>0</v>
      </c>
      <c r="X794" s="31"/>
      <c r="Y794" s="486"/>
      <c r="Z794" s="31"/>
      <c r="AA794" s="31"/>
      <c r="AB794" s="31"/>
    </row>
    <row r="795" spans="1:38" ht="24.6" customHeight="1" x14ac:dyDescent="0.3">
      <c r="A795" s="579" t="s">
        <v>371</v>
      </c>
      <c r="B795" s="580" t="s">
        <v>372</v>
      </c>
      <c r="C795" s="581">
        <f>SUM(C796)</f>
        <v>0</v>
      </c>
      <c r="D795" s="122"/>
      <c r="E795" s="122">
        <f>SUM(E796)</f>
        <v>0</v>
      </c>
      <c r="F795" s="123">
        <f t="shared" ref="F795:U795" si="649">SUM(F796)</f>
        <v>0</v>
      </c>
      <c r="G795" s="123">
        <f t="shared" si="649"/>
        <v>0</v>
      </c>
      <c r="H795" s="123">
        <f t="shared" si="649"/>
        <v>7423000</v>
      </c>
      <c r="I795" s="123">
        <f t="shared" si="649"/>
        <v>6077000</v>
      </c>
      <c r="J795" s="123">
        <f t="shared" si="649"/>
        <v>0</v>
      </c>
      <c r="K795" s="123">
        <f t="shared" si="649"/>
        <v>0</v>
      </c>
      <c r="L795" s="123">
        <f t="shared" si="649"/>
        <v>0</v>
      </c>
      <c r="M795" s="123">
        <f t="shared" si="649"/>
        <v>1346000</v>
      </c>
      <c r="N795" s="123">
        <f t="shared" si="649"/>
        <v>5843000</v>
      </c>
      <c r="O795" s="123">
        <f t="shared" si="649"/>
        <v>8000</v>
      </c>
      <c r="P795" s="123">
        <f t="shared" si="649"/>
        <v>10829500</v>
      </c>
      <c r="Q795" s="123">
        <f t="shared" si="649"/>
        <v>1005000</v>
      </c>
      <c r="R795" s="123">
        <f t="shared" si="649"/>
        <v>0</v>
      </c>
      <c r="S795" s="123">
        <f t="shared" si="649"/>
        <v>9483500</v>
      </c>
      <c r="T795" s="123">
        <f t="shared" si="649"/>
        <v>4986500</v>
      </c>
      <c r="U795" s="123">
        <f t="shared" si="649"/>
        <v>997000</v>
      </c>
      <c r="V795" s="506">
        <f t="shared" si="643"/>
        <v>9483500</v>
      </c>
      <c r="W795" s="506">
        <f t="shared" si="644"/>
        <v>0</v>
      </c>
      <c r="X795" s="31"/>
      <c r="Y795" s="486"/>
      <c r="Z795" s="31"/>
      <c r="AA795" s="31"/>
      <c r="AB795" s="31"/>
      <c r="AD795" s="3"/>
    </row>
    <row r="796" spans="1:38" x14ac:dyDescent="0.3">
      <c r="A796" s="693" t="s">
        <v>77</v>
      </c>
      <c r="B796" s="694"/>
      <c r="C796" s="582">
        <f t="shared" ref="C796:U796" si="650">SUM(C797,C804,C808)</f>
        <v>0</v>
      </c>
      <c r="D796" s="100"/>
      <c r="E796" s="100">
        <f t="shared" si="650"/>
        <v>0</v>
      </c>
      <c r="F796" s="374">
        <f t="shared" si="650"/>
        <v>0</v>
      </c>
      <c r="G796" s="374">
        <f t="shared" si="650"/>
        <v>0</v>
      </c>
      <c r="H796" s="374">
        <f t="shared" si="650"/>
        <v>7423000</v>
      </c>
      <c r="I796" s="374">
        <f t="shared" si="650"/>
        <v>6077000</v>
      </c>
      <c r="J796" s="374">
        <f t="shared" si="650"/>
        <v>0</v>
      </c>
      <c r="K796" s="374">
        <f t="shared" si="650"/>
        <v>0</v>
      </c>
      <c r="L796" s="374">
        <f t="shared" si="650"/>
        <v>0</v>
      </c>
      <c r="M796" s="374">
        <f t="shared" si="650"/>
        <v>1346000</v>
      </c>
      <c r="N796" s="374">
        <f t="shared" si="650"/>
        <v>5843000</v>
      </c>
      <c r="O796" s="374">
        <f t="shared" si="650"/>
        <v>8000</v>
      </c>
      <c r="P796" s="374">
        <f t="shared" si="650"/>
        <v>10829500</v>
      </c>
      <c r="Q796" s="374">
        <f t="shared" si="650"/>
        <v>1005000</v>
      </c>
      <c r="R796" s="374">
        <f t="shared" si="650"/>
        <v>0</v>
      </c>
      <c r="S796" s="587">
        <f t="shared" si="650"/>
        <v>9483500</v>
      </c>
      <c r="T796" s="587">
        <f t="shared" si="650"/>
        <v>4986500</v>
      </c>
      <c r="U796" s="587">
        <f t="shared" si="650"/>
        <v>997000</v>
      </c>
      <c r="V796" s="506">
        <f t="shared" si="643"/>
        <v>9483500</v>
      </c>
      <c r="W796" s="506">
        <f t="shared" si="644"/>
        <v>0</v>
      </c>
      <c r="X796" s="31"/>
      <c r="Y796" s="486"/>
      <c r="Z796" s="31"/>
      <c r="AA796" s="31"/>
      <c r="AB796" s="31"/>
    </row>
    <row r="797" spans="1:38" s="4" customFormat="1" x14ac:dyDescent="0.3">
      <c r="A797" s="561">
        <v>32</v>
      </c>
      <c r="B797" s="562" t="s">
        <v>318</v>
      </c>
      <c r="C797" s="599">
        <f>SUM(C798,C800,C802)</f>
        <v>0</v>
      </c>
      <c r="D797" s="148"/>
      <c r="E797" s="148">
        <f t="shared" ref="E797:U797" si="651">SUM(E798,E800,E802)</f>
        <v>0</v>
      </c>
      <c r="F797" s="381">
        <f t="shared" si="651"/>
        <v>0</v>
      </c>
      <c r="G797" s="381">
        <f t="shared" si="651"/>
        <v>0</v>
      </c>
      <c r="H797" s="381">
        <f t="shared" si="651"/>
        <v>5508000</v>
      </c>
      <c r="I797" s="381">
        <f t="shared" si="651"/>
        <v>5000000</v>
      </c>
      <c r="J797" s="381">
        <f t="shared" si="651"/>
        <v>0</v>
      </c>
      <c r="K797" s="381">
        <f t="shared" si="651"/>
        <v>0</v>
      </c>
      <c r="L797" s="381">
        <f t="shared" si="651"/>
        <v>0</v>
      </c>
      <c r="M797" s="381">
        <f t="shared" si="651"/>
        <v>508000</v>
      </c>
      <c r="N797" s="381">
        <f t="shared" si="651"/>
        <v>5243000</v>
      </c>
      <c r="O797" s="381">
        <f t="shared" si="651"/>
        <v>8000</v>
      </c>
      <c r="P797" s="381">
        <f t="shared" si="651"/>
        <v>9010500</v>
      </c>
      <c r="Q797" s="381">
        <f t="shared" si="651"/>
        <v>1005000</v>
      </c>
      <c r="R797" s="381">
        <f t="shared" si="651"/>
        <v>0</v>
      </c>
      <c r="S797" s="600">
        <f t="shared" si="651"/>
        <v>8502500</v>
      </c>
      <c r="T797" s="600">
        <f t="shared" si="651"/>
        <v>3767500</v>
      </c>
      <c r="U797" s="600">
        <f t="shared" si="651"/>
        <v>997000</v>
      </c>
      <c r="V797" s="506">
        <f t="shared" si="643"/>
        <v>8502500</v>
      </c>
      <c r="W797" s="506">
        <f t="shared" si="644"/>
        <v>0</v>
      </c>
      <c r="X797" s="31"/>
      <c r="Y797" s="486"/>
      <c r="Z797" s="31"/>
      <c r="AA797" s="31"/>
      <c r="AB797" s="31"/>
      <c r="AH797" s="457"/>
      <c r="AI797" s="457"/>
      <c r="AJ797" s="457"/>
      <c r="AK797" s="457"/>
      <c r="AL797" s="457"/>
    </row>
    <row r="798" spans="1:38" s="4" customFormat="1" x14ac:dyDescent="0.3">
      <c r="A798" s="607">
        <v>322</v>
      </c>
      <c r="B798" s="119" t="s">
        <v>16</v>
      </c>
      <c r="C798" s="612">
        <f t="shared" ref="C798:G798" si="652">SUM(C799)</f>
        <v>0</v>
      </c>
      <c r="D798" s="116"/>
      <c r="E798" s="116">
        <f t="shared" si="652"/>
        <v>0</v>
      </c>
      <c r="F798" s="382">
        <f t="shared" si="652"/>
        <v>0</v>
      </c>
      <c r="G798" s="382">
        <f t="shared" si="652"/>
        <v>0</v>
      </c>
      <c r="H798" s="382">
        <f>SUM(H799)</f>
        <v>5500000</v>
      </c>
      <c r="I798" s="382">
        <f t="shared" ref="I798:L798" si="653">SUM(I799)</f>
        <v>5000000</v>
      </c>
      <c r="J798" s="382">
        <f t="shared" si="653"/>
        <v>0</v>
      </c>
      <c r="K798" s="382">
        <f t="shared" si="653"/>
        <v>0</v>
      </c>
      <c r="L798" s="382">
        <f t="shared" si="653"/>
        <v>0</v>
      </c>
      <c r="M798" s="382">
        <f>SUM(M799)</f>
        <v>500000</v>
      </c>
      <c r="N798" s="382">
        <f t="shared" ref="N798:U798" si="654">SUM(N799)</f>
        <v>5235000</v>
      </c>
      <c r="O798" s="382">
        <f t="shared" si="654"/>
        <v>0</v>
      </c>
      <c r="P798" s="382">
        <f t="shared" si="654"/>
        <v>9000000</v>
      </c>
      <c r="Q798" s="382">
        <f t="shared" si="654"/>
        <v>1000000</v>
      </c>
      <c r="R798" s="382">
        <f t="shared" si="654"/>
        <v>0</v>
      </c>
      <c r="S798" s="382">
        <f t="shared" si="654"/>
        <v>8500000</v>
      </c>
      <c r="T798" s="382">
        <f t="shared" si="654"/>
        <v>3765000</v>
      </c>
      <c r="U798" s="382">
        <f t="shared" si="654"/>
        <v>1000000</v>
      </c>
      <c r="V798" s="506">
        <f t="shared" si="643"/>
        <v>8500000</v>
      </c>
      <c r="W798" s="506">
        <f t="shared" si="644"/>
        <v>0</v>
      </c>
      <c r="X798" s="31"/>
      <c r="Y798" s="486"/>
      <c r="Z798" s="31"/>
      <c r="AA798" s="31"/>
      <c r="AB798" s="31"/>
      <c r="AH798" s="457"/>
      <c r="AI798" s="457"/>
      <c r="AJ798" s="457"/>
      <c r="AK798" s="457"/>
      <c r="AL798" s="457"/>
    </row>
    <row r="799" spans="1:38" x14ac:dyDescent="0.3">
      <c r="A799" s="434">
        <v>3221</v>
      </c>
      <c r="B799" s="117" t="s">
        <v>17</v>
      </c>
      <c r="C799" s="612"/>
      <c r="D799" s="116"/>
      <c r="E799" s="116"/>
      <c r="F799" s="382"/>
      <c r="G799" s="382"/>
      <c r="H799" s="378">
        <v>5500000</v>
      </c>
      <c r="I799" s="378">
        <v>5000000</v>
      </c>
      <c r="J799" s="378"/>
      <c r="K799" s="110"/>
      <c r="L799" s="110"/>
      <c r="M799" s="63">
        <f>H799-I799+J799-K799+L799</f>
        <v>500000</v>
      </c>
      <c r="N799" s="378">
        <v>5235000</v>
      </c>
      <c r="O799" s="378"/>
      <c r="P799" s="110">
        <v>9000000</v>
      </c>
      <c r="Q799" s="110">
        <v>1000000</v>
      </c>
      <c r="R799" s="110"/>
      <c r="S799" s="70">
        <f>P799-M799</f>
        <v>8500000</v>
      </c>
      <c r="T799" s="70">
        <f>P799-N799</f>
        <v>3765000</v>
      </c>
      <c r="U799" s="70">
        <f>Q799-O799</f>
        <v>1000000</v>
      </c>
      <c r="V799" s="506">
        <f t="shared" si="643"/>
        <v>8500000</v>
      </c>
      <c r="W799" s="506">
        <f t="shared" si="644"/>
        <v>0</v>
      </c>
      <c r="X799" s="31"/>
      <c r="Y799" s="486"/>
      <c r="Z799" s="31"/>
      <c r="AA799" s="31"/>
      <c r="AB799" s="31"/>
    </row>
    <row r="800" spans="1:38" x14ac:dyDescent="0.3">
      <c r="A800" s="615">
        <v>323</v>
      </c>
      <c r="B800" s="616" t="s">
        <v>23</v>
      </c>
      <c r="C800" s="612">
        <f t="shared" ref="C800" si="655">SUM(C801)</f>
        <v>0</v>
      </c>
      <c r="D800" s="116"/>
      <c r="E800" s="116">
        <f t="shared" ref="E800:U800" si="656">SUM(E801)</f>
        <v>0</v>
      </c>
      <c r="F800" s="382">
        <f t="shared" si="656"/>
        <v>0</v>
      </c>
      <c r="G800" s="382">
        <f t="shared" si="656"/>
        <v>0</v>
      </c>
      <c r="H800" s="382">
        <f t="shared" si="656"/>
        <v>0</v>
      </c>
      <c r="I800" s="382">
        <f t="shared" si="656"/>
        <v>0</v>
      </c>
      <c r="J800" s="382">
        <f t="shared" si="656"/>
        <v>0</v>
      </c>
      <c r="K800" s="382">
        <f t="shared" si="656"/>
        <v>0</v>
      </c>
      <c r="L800" s="382">
        <f t="shared" si="656"/>
        <v>0</v>
      </c>
      <c r="M800" s="382">
        <f t="shared" si="656"/>
        <v>0</v>
      </c>
      <c r="N800" s="382">
        <f t="shared" si="656"/>
        <v>0</v>
      </c>
      <c r="O800" s="382">
        <f t="shared" si="656"/>
        <v>0</v>
      </c>
      <c r="P800" s="382">
        <f t="shared" si="656"/>
        <v>2500</v>
      </c>
      <c r="Q800" s="382">
        <f t="shared" si="656"/>
        <v>0</v>
      </c>
      <c r="R800" s="382">
        <f t="shared" si="656"/>
        <v>0</v>
      </c>
      <c r="S800" s="382">
        <f t="shared" si="656"/>
        <v>2500</v>
      </c>
      <c r="T800" s="382">
        <f t="shared" si="656"/>
        <v>2500</v>
      </c>
      <c r="U800" s="382">
        <f t="shared" si="656"/>
        <v>0</v>
      </c>
      <c r="V800" s="506">
        <f t="shared" si="643"/>
        <v>2500</v>
      </c>
      <c r="W800" s="506">
        <f t="shared" si="644"/>
        <v>0</v>
      </c>
      <c r="X800" s="31"/>
      <c r="Y800" s="486"/>
      <c r="Z800" s="31"/>
      <c r="AA800" s="31"/>
      <c r="AB800" s="31"/>
    </row>
    <row r="801" spans="1:38" s="4" customFormat="1" x14ac:dyDescent="0.3">
      <c r="A801" s="613">
        <v>3233</v>
      </c>
      <c r="B801" s="614" t="s">
        <v>26</v>
      </c>
      <c r="C801" s="612"/>
      <c r="D801" s="116"/>
      <c r="E801" s="116"/>
      <c r="F801" s="382"/>
      <c r="G801" s="382"/>
      <c r="H801" s="402"/>
      <c r="I801" s="402"/>
      <c r="J801" s="402"/>
      <c r="K801" s="309"/>
      <c r="L801" s="309"/>
      <c r="M801" s="319"/>
      <c r="N801" s="402"/>
      <c r="O801" s="402"/>
      <c r="P801" s="402">
        <v>2500</v>
      </c>
      <c r="Q801" s="402"/>
      <c r="R801" s="402"/>
      <c r="S801" s="317">
        <f>P801-M801</f>
        <v>2500</v>
      </c>
      <c r="T801" s="317">
        <f>P801-N801</f>
        <v>2500</v>
      </c>
      <c r="U801" s="317">
        <f>Q801-O801</f>
        <v>0</v>
      </c>
      <c r="V801" s="506">
        <f t="shared" si="643"/>
        <v>2500</v>
      </c>
      <c r="W801" s="506">
        <f t="shared" si="644"/>
        <v>0</v>
      </c>
      <c r="X801" s="31"/>
      <c r="Y801" s="486"/>
      <c r="Z801" s="31"/>
      <c r="AA801" s="31"/>
      <c r="AB801" s="31"/>
      <c r="AH801" s="457"/>
      <c r="AI801" s="457"/>
      <c r="AJ801" s="457"/>
      <c r="AK801" s="457"/>
      <c r="AL801" s="457"/>
    </row>
    <row r="802" spans="1:38" s="4" customFormat="1" ht="14.55" customHeight="1" x14ac:dyDescent="0.3">
      <c r="A802" s="541">
        <v>329</v>
      </c>
      <c r="B802" s="89" t="s">
        <v>33</v>
      </c>
      <c r="C802" s="90">
        <f t="shared" ref="C802:U802" si="657">SUM(C803)</f>
        <v>0</v>
      </c>
      <c r="D802" s="62"/>
      <c r="E802" s="62">
        <f t="shared" si="657"/>
        <v>0</v>
      </c>
      <c r="F802" s="91">
        <f t="shared" si="657"/>
        <v>0</v>
      </c>
      <c r="G802" s="91">
        <f t="shared" si="657"/>
        <v>0</v>
      </c>
      <c r="H802" s="91">
        <f t="shared" si="657"/>
        <v>8000</v>
      </c>
      <c r="I802" s="91">
        <f t="shared" si="657"/>
        <v>0</v>
      </c>
      <c r="J802" s="91">
        <f t="shared" si="657"/>
        <v>0</v>
      </c>
      <c r="K802" s="91">
        <f t="shared" si="657"/>
        <v>0</v>
      </c>
      <c r="L802" s="91">
        <f t="shared" si="657"/>
        <v>0</v>
      </c>
      <c r="M802" s="91">
        <f t="shared" si="657"/>
        <v>8000</v>
      </c>
      <c r="N802" s="91">
        <f t="shared" si="657"/>
        <v>8000</v>
      </c>
      <c r="O802" s="91">
        <f t="shared" si="657"/>
        <v>8000</v>
      </c>
      <c r="P802" s="91">
        <f t="shared" si="657"/>
        <v>8000</v>
      </c>
      <c r="Q802" s="91">
        <f t="shared" si="657"/>
        <v>5000</v>
      </c>
      <c r="R802" s="91">
        <f t="shared" si="657"/>
        <v>0</v>
      </c>
      <c r="S802" s="91">
        <f t="shared" si="657"/>
        <v>0</v>
      </c>
      <c r="T802" s="91">
        <f t="shared" si="657"/>
        <v>0</v>
      </c>
      <c r="U802" s="91">
        <f t="shared" si="657"/>
        <v>-3000</v>
      </c>
      <c r="V802" s="506">
        <f t="shared" si="643"/>
        <v>0</v>
      </c>
      <c r="W802" s="506">
        <f t="shared" si="644"/>
        <v>0</v>
      </c>
      <c r="X802" s="31"/>
      <c r="Y802" s="486"/>
      <c r="Z802" s="31"/>
      <c r="AA802" s="31"/>
      <c r="AB802" s="31"/>
      <c r="AH802" s="457"/>
      <c r="AI802" s="457"/>
      <c r="AJ802" s="457"/>
      <c r="AK802" s="457"/>
      <c r="AL802" s="457"/>
    </row>
    <row r="803" spans="1:38" s="4" customFormat="1" ht="15" customHeight="1" x14ac:dyDescent="0.3">
      <c r="A803" s="542">
        <v>3292</v>
      </c>
      <c r="B803" s="535" t="s">
        <v>35</v>
      </c>
      <c r="C803" s="94">
        <v>0</v>
      </c>
      <c r="D803" s="63"/>
      <c r="E803" s="63">
        <v>0</v>
      </c>
      <c r="F803" s="95"/>
      <c r="G803" s="95"/>
      <c r="H803" s="95">
        <v>8000</v>
      </c>
      <c r="I803" s="95"/>
      <c r="J803" s="95"/>
      <c r="K803" s="63"/>
      <c r="L803" s="63"/>
      <c r="M803" s="63">
        <f>H803-I803+J803-K803+L803</f>
        <v>8000</v>
      </c>
      <c r="N803" s="95">
        <v>8000</v>
      </c>
      <c r="O803" s="95">
        <v>8000</v>
      </c>
      <c r="P803" s="63">
        <v>8000</v>
      </c>
      <c r="Q803" s="63">
        <v>5000</v>
      </c>
      <c r="R803" s="63"/>
      <c r="S803" s="70">
        <f>P803-M803</f>
        <v>0</v>
      </c>
      <c r="T803" s="70">
        <f>P803-N803</f>
        <v>0</v>
      </c>
      <c r="U803" s="70">
        <f>Q803-O803</f>
        <v>-3000</v>
      </c>
      <c r="V803" s="506">
        <f t="shared" si="643"/>
        <v>0</v>
      </c>
      <c r="W803" s="506">
        <f t="shared" si="644"/>
        <v>0</v>
      </c>
      <c r="X803" s="31"/>
      <c r="Y803" s="486"/>
      <c r="Z803" s="31"/>
      <c r="AA803" s="31"/>
      <c r="AB803" s="31"/>
      <c r="AH803" s="457"/>
      <c r="AI803" s="457"/>
      <c r="AJ803" s="457"/>
      <c r="AK803" s="457"/>
      <c r="AL803" s="457"/>
    </row>
    <row r="804" spans="1:38" ht="23.55" customHeight="1" x14ac:dyDescent="0.3">
      <c r="A804" s="610">
        <v>42</v>
      </c>
      <c r="B804" s="571" t="s">
        <v>324</v>
      </c>
      <c r="C804" s="599">
        <f t="shared" ref="C804:U804" si="658">SUM(C805)</f>
        <v>0</v>
      </c>
      <c r="D804" s="148"/>
      <c r="E804" s="148">
        <f t="shared" si="658"/>
        <v>0</v>
      </c>
      <c r="F804" s="381">
        <f t="shared" si="658"/>
        <v>0</v>
      </c>
      <c r="G804" s="381">
        <f t="shared" si="658"/>
        <v>0</v>
      </c>
      <c r="H804" s="381">
        <f t="shared" si="658"/>
        <v>1538000</v>
      </c>
      <c r="I804" s="381">
        <f t="shared" si="658"/>
        <v>700000</v>
      </c>
      <c r="J804" s="381">
        <f t="shared" si="658"/>
        <v>0</v>
      </c>
      <c r="K804" s="381">
        <f t="shared" si="658"/>
        <v>0</v>
      </c>
      <c r="L804" s="381">
        <f t="shared" si="658"/>
        <v>0</v>
      </c>
      <c r="M804" s="381">
        <f t="shared" si="658"/>
        <v>838000</v>
      </c>
      <c r="N804" s="381">
        <f t="shared" si="658"/>
        <v>600000</v>
      </c>
      <c r="O804" s="381">
        <f t="shared" si="658"/>
        <v>0</v>
      </c>
      <c r="P804" s="381">
        <f t="shared" si="658"/>
        <v>1619000</v>
      </c>
      <c r="Q804" s="381">
        <f t="shared" si="658"/>
        <v>0</v>
      </c>
      <c r="R804" s="381">
        <f t="shared" si="658"/>
        <v>0</v>
      </c>
      <c r="S804" s="600">
        <f t="shared" si="658"/>
        <v>781000</v>
      </c>
      <c r="T804" s="600">
        <f t="shared" si="658"/>
        <v>1019000</v>
      </c>
      <c r="U804" s="600">
        <f t="shared" si="658"/>
        <v>0</v>
      </c>
      <c r="V804" s="506">
        <f t="shared" si="643"/>
        <v>781000</v>
      </c>
      <c r="W804" s="506">
        <f t="shared" si="644"/>
        <v>0</v>
      </c>
      <c r="X804" s="31"/>
      <c r="Y804" s="486"/>
      <c r="Z804" s="31"/>
      <c r="AA804" s="31"/>
      <c r="AB804" s="31"/>
    </row>
    <row r="805" spans="1:38" x14ac:dyDescent="0.3">
      <c r="A805" s="607">
        <v>422</v>
      </c>
      <c r="B805" s="119" t="s">
        <v>53</v>
      </c>
      <c r="C805" s="559">
        <f>SUM(C806:C807)</f>
        <v>0</v>
      </c>
      <c r="D805" s="79"/>
      <c r="E805" s="79">
        <f>SUM(E806:E807)</f>
        <v>0</v>
      </c>
      <c r="F805" s="369">
        <f t="shared" ref="F805:U805" si="659">SUM(F806:F807)</f>
        <v>0</v>
      </c>
      <c r="G805" s="369">
        <f t="shared" si="659"/>
        <v>0</v>
      </c>
      <c r="H805" s="369">
        <f t="shared" si="659"/>
        <v>1538000</v>
      </c>
      <c r="I805" s="369">
        <f t="shared" si="659"/>
        <v>700000</v>
      </c>
      <c r="J805" s="369">
        <f t="shared" si="659"/>
        <v>0</v>
      </c>
      <c r="K805" s="369">
        <f t="shared" si="659"/>
        <v>0</v>
      </c>
      <c r="L805" s="369">
        <f t="shared" si="659"/>
        <v>0</v>
      </c>
      <c r="M805" s="369">
        <f t="shared" si="659"/>
        <v>838000</v>
      </c>
      <c r="N805" s="369">
        <f t="shared" si="659"/>
        <v>600000</v>
      </c>
      <c r="O805" s="369">
        <f t="shared" si="659"/>
        <v>0</v>
      </c>
      <c r="P805" s="369">
        <f t="shared" si="659"/>
        <v>1619000</v>
      </c>
      <c r="Q805" s="369">
        <f t="shared" si="659"/>
        <v>0</v>
      </c>
      <c r="R805" s="369">
        <f t="shared" si="659"/>
        <v>0</v>
      </c>
      <c r="S805" s="369">
        <f t="shared" si="659"/>
        <v>781000</v>
      </c>
      <c r="T805" s="369">
        <f t="shared" si="659"/>
        <v>1019000</v>
      </c>
      <c r="U805" s="369">
        <f t="shared" si="659"/>
        <v>0</v>
      </c>
      <c r="V805" s="506">
        <f t="shared" si="643"/>
        <v>781000</v>
      </c>
      <c r="W805" s="506">
        <f t="shared" si="644"/>
        <v>0</v>
      </c>
      <c r="X805" s="31"/>
      <c r="Y805" s="486"/>
      <c r="Z805" s="31"/>
      <c r="AA805" s="31"/>
      <c r="AB805" s="31"/>
    </row>
    <row r="806" spans="1:38" s="4" customFormat="1" x14ac:dyDescent="0.3">
      <c r="A806" s="434">
        <v>4221</v>
      </c>
      <c r="B806" s="117" t="s">
        <v>54</v>
      </c>
      <c r="C806" s="108">
        <v>0</v>
      </c>
      <c r="D806" s="102"/>
      <c r="E806" s="102">
        <v>0</v>
      </c>
      <c r="F806" s="109"/>
      <c r="G806" s="109"/>
      <c r="H806" s="109">
        <v>38000</v>
      </c>
      <c r="I806" s="109"/>
      <c r="J806" s="109"/>
      <c r="K806" s="102"/>
      <c r="L806" s="102"/>
      <c r="M806" s="63">
        <f>H806-I806+J806-K806+L806</f>
        <v>38000</v>
      </c>
      <c r="N806" s="109"/>
      <c r="O806" s="109"/>
      <c r="P806" s="102">
        <v>19000</v>
      </c>
      <c r="Q806" s="102"/>
      <c r="R806" s="102"/>
      <c r="S806" s="70">
        <f>P806-M806</f>
        <v>-19000</v>
      </c>
      <c r="T806" s="70">
        <f>P806-N806</f>
        <v>19000</v>
      </c>
      <c r="U806" s="63">
        <f>N806-G806</f>
        <v>0</v>
      </c>
      <c r="V806" s="506">
        <f t="shared" si="643"/>
        <v>-19000</v>
      </c>
      <c r="W806" s="506">
        <f t="shared" si="644"/>
        <v>0</v>
      </c>
      <c r="X806" s="31"/>
      <c r="Y806" s="486"/>
      <c r="Z806" s="31"/>
      <c r="AA806" s="31"/>
      <c r="AB806" s="31"/>
      <c r="AH806" s="457"/>
      <c r="AI806" s="457"/>
      <c r="AJ806" s="457"/>
      <c r="AK806" s="457"/>
      <c r="AL806" s="457"/>
    </row>
    <row r="807" spans="1:38" s="4" customFormat="1" x14ac:dyDescent="0.3">
      <c r="A807" s="617">
        <v>4227</v>
      </c>
      <c r="B807" s="618" t="s">
        <v>60</v>
      </c>
      <c r="C807" s="108">
        <v>0</v>
      </c>
      <c r="D807" s="102"/>
      <c r="E807" s="102">
        <v>0</v>
      </c>
      <c r="F807" s="109"/>
      <c r="G807" s="109"/>
      <c r="H807" s="109">
        <v>1500000</v>
      </c>
      <c r="I807" s="109">
        <v>700000</v>
      </c>
      <c r="J807" s="109"/>
      <c r="K807" s="102"/>
      <c r="L807" s="102"/>
      <c r="M807" s="63">
        <f>H807-I807+J807-K807+L807</f>
        <v>800000</v>
      </c>
      <c r="N807" s="109">
        <v>600000</v>
      </c>
      <c r="O807" s="109"/>
      <c r="P807" s="102">
        <v>1600000</v>
      </c>
      <c r="Q807" s="102"/>
      <c r="R807" s="102"/>
      <c r="S807" s="70">
        <f>P807-M807</f>
        <v>800000</v>
      </c>
      <c r="T807" s="70">
        <f>P807-N807</f>
        <v>1000000</v>
      </c>
      <c r="U807" s="70">
        <f>Q807-O807</f>
        <v>0</v>
      </c>
      <c r="V807" s="506">
        <f t="shared" si="643"/>
        <v>800000</v>
      </c>
      <c r="W807" s="506">
        <f t="shared" si="644"/>
        <v>0</v>
      </c>
      <c r="X807" s="31"/>
      <c r="Y807" s="486"/>
      <c r="Z807" s="31"/>
      <c r="AA807" s="31"/>
      <c r="AB807" s="31"/>
      <c r="AH807" s="457"/>
      <c r="AI807" s="457"/>
      <c r="AJ807" s="457"/>
      <c r="AK807" s="457"/>
      <c r="AL807" s="457"/>
    </row>
    <row r="808" spans="1:38" s="4" customFormat="1" ht="26.4" x14ac:dyDescent="0.3">
      <c r="A808" s="610">
        <v>45</v>
      </c>
      <c r="B808" s="571" t="s">
        <v>326</v>
      </c>
      <c r="C808" s="599">
        <f t="shared" ref="C808:U809" si="660">SUM(C809)</f>
        <v>0</v>
      </c>
      <c r="D808" s="148"/>
      <c r="E808" s="148">
        <f t="shared" si="660"/>
        <v>0</v>
      </c>
      <c r="F808" s="381">
        <f t="shared" si="660"/>
        <v>0</v>
      </c>
      <c r="G808" s="381">
        <f t="shared" si="660"/>
        <v>0</v>
      </c>
      <c r="H808" s="381">
        <f t="shared" si="660"/>
        <v>377000</v>
      </c>
      <c r="I808" s="381">
        <f t="shared" si="660"/>
        <v>377000</v>
      </c>
      <c r="J808" s="381">
        <f t="shared" si="660"/>
        <v>0</v>
      </c>
      <c r="K808" s="381">
        <f t="shared" si="660"/>
        <v>0</v>
      </c>
      <c r="L808" s="381">
        <f t="shared" si="660"/>
        <v>0</v>
      </c>
      <c r="M808" s="381">
        <f t="shared" si="660"/>
        <v>0</v>
      </c>
      <c r="N808" s="381">
        <f t="shared" si="660"/>
        <v>0</v>
      </c>
      <c r="O808" s="381">
        <f t="shared" si="660"/>
        <v>0</v>
      </c>
      <c r="P808" s="381">
        <f t="shared" si="660"/>
        <v>200000</v>
      </c>
      <c r="Q808" s="381">
        <f t="shared" si="660"/>
        <v>0</v>
      </c>
      <c r="R808" s="381">
        <f t="shared" si="660"/>
        <v>0</v>
      </c>
      <c r="S808" s="600">
        <f t="shared" si="660"/>
        <v>200000</v>
      </c>
      <c r="T808" s="600">
        <f t="shared" si="660"/>
        <v>200000</v>
      </c>
      <c r="U808" s="600">
        <f t="shared" si="660"/>
        <v>0</v>
      </c>
      <c r="V808" s="506">
        <f t="shared" si="643"/>
        <v>200000</v>
      </c>
      <c r="W808" s="506">
        <f t="shared" si="644"/>
        <v>0</v>
      </c>
      <c r="X808" s="31"/>
      <c r="Y808" s="486"/>
      <c r="Z808" s="31"/>
      <c r="AA808" s="31"/>
      <c r="AB808" s="31"/>
      <c r="AH808" s="457"/>
      <c r="AI808" s="457"/>
      <c r="AJ808" s="457"/>
      <c r="AK808" s="457"/>
      <c r="AL808" s="457"/>
    </row>
    <row r="809" spans="1:38" s="4" customFormat="1" x14ac:dyDescent="0.3">
      <c r="A809" s="607">
        <v>451</v>
      </c>
      <c r="B809" s="119" t="s">
        <v>55</v>
      </c>
      <c r="C809" s="559">
        <f t="shared" si="660"/>
        <v>0</v>
      </c>
      <c r="D809" s="79"/>
      <c r="E809" s="79">
        <f t="shared" si="660"/>
        <v>0</v>
      </c>
      <c r="F809" s="369">
        <f t="shared" si="660"/>
        <v>0</v>
      </c>
      <c r="G809" s="369">
        <f t="shared" si="660"/>
        <v>0</v>
      </c>
      <c r="H809" s="369">
        <f t="shared" si="660"/>
        <v>377000</v>
      </c>
      <c r="I809" s="369">
        <f t="shared" si="660"/>
        <v>377000</v>
      </c>
      <c r="J809" s="369">
        <f t="shared" si="660"/>
        <v>0</v>
      </c>
      <c r="K809" s="369">
        <f t="shared" si="660"/>
        <v>0</v>
      </c>
      <c r="L809" s="369">
        <f t="shared" si="660"/>
        <v>0</v>
      </c>
      <c r="M809" s="369">
        <f t="shared" si="660"/>
        <v>0</v>
      </c>
      <c r="N809" s="369">
        <f t="shared" si="660"/>
        <v>0</v>
      </c>
      <c r="O809" s="369">
        <f t="shared" si="660"/>
        <v>0</v>
      </c>
      <c r="P809" s="369">
        <f t="shared" si="660"/>
        <v>200000</v>
      </c>
      <c r="Q809" s="369">
        <f t="shared" si="660"/>
        <v>0</v>
      </c>
      <c r="R809" s="369">
        <f t="shared" si="660"/>
        <v>0</v>
      </c>
      <c r="S809" s="369">
        <f t="shared" si="660"/>
        <v>200000</v>
      </c>
      <c r="T809" s="369">
        <f t="shared" si="660"/>
        <v>200000</v>
      </c>
      <c r="U809" s="369">
        <f t="shared" si="660"/>
        <v>0</v>
      </c>
      <c r="V809" s="506">
        <f t="shared" si="643"/>
        <v>200000</v>
      </c>
      <c r="W809" s="506">
        <f t="shared" si="644"/>
        <v>0</v>
      </c>
      <c r="X809" s="31"/>
      <c r="Y809" s="486"/>
      <c r="Z809" s="31"/>
      <c r="AA809" s="31"/>
      <c r="AB809" s="31"/>
      <c r="AH809" s="457"/>
      <c r="AI809" s="457"/>
      <c r="AJ809" s="457"/>
      <c r="AK809" s="457"/>
      <c r="AL809" s="457"/>
    </row>
    <row r="810" spans="1:38" s="4" customFormat="1" x14ac:dyDescent="0.3">
      <c r="A810" s="434">
        <v>4511</v>
      </c>
      <c r="B810" s="117" t="s">
        <v>55</v>
      </c>
      <c r="C810" s="108">
        <v>0</v>
      </c>
      <c r="D810" s="102"/>
      <c r="E810" s="102">
        <v>0</v>
      </c>
      <c r="F810" s="109"/>
      <c r="G810" s="109"/>
      <c r="H810" s="109">
        <v>377000</v>
      </c>
      <c r="I810" s="378">
        <v>377000</v>
      </c>
      <c r="J810" s="109"/>
      <c r="K810" s="102"/>
      <c r="L810" s="102"/>
      <c r="M810" s="63">
        <f>H810-I810+J810-K810+L810</f>
        <v>0</v>
      </c>
      <c r="N810" s="109"/>
      <c r="O810" s="109"/>
      <c r="P810" s="102">
        <v>200000</v>
      </c>
      <c r="Q810" s="102"/>
      <c r="R810" s="102"/>
      <c r="S810" s="70">
        <f>P810-M810</f>
        <v>200000</v>
      </c>
      <c r="T810" s="70">
        <f>P810-N810</f>
        <v>200000</v>
      </c>
      <c r="U810" s="63">
        <f>N810-G810</f>
        <v>0</v>
      </c>
      <c r="V810" s="506">
        <f t="shared" si="643"/>
        <v>200000</v>
      </c>
      <c r="W810" s="506">
        <f t="shared" si="644"/>
        <v>0</v>
      </c>
      <c r="X810" s="31"/>
      <c r="Y810" s="486"/>
      <c r="Z810" s="31"/>
      <c r="AA810" s="31"/>
      <c r="AB810" s="31"/>
      <c r="AH810" s="457"/>
      <c r="AI810" s="457"/>
      <c r="AJ810" s="457"/>
      <c r="AK810" s="457"/>
      <c r="AL810" s="457"/>
    </row>
    <row r="811" spans="1:38" s="4" customFormat="1" ht="26.4" x14ac:dyDescent="0.3">
      <c r="A811" s="579" t="s">
        <v>373</v>
      </c>
      <c r="B811" s="580" t="s">
        <v>374</v>
      </c>
      <c r="C811" s="581">
        <f>SUM(C812)</f>
        <v>0</v>
      </c>
      <c r="D811" s="99"/>
      <c r="E811" s="99">
        <f t="shared" ref="E811:U811" si="661">SUM(E812)</f>
        <v>0</v>
      </c>
      <c r="F811" s="373">
        <f t="shared" si="661"/>
        <v>0</v>
      </c>
      <c r="G811" s="373">
        <f t="shared" si="661"/>
        <v>0</v>
      </c>
      <c r="H811" s="373">
        <f t="shared" si="661"/>
        <v>2521000</v>
      </c>
      <c r="I811" s="373">
        <f t="shared" si="661"/>
        <v>2235000</v>
      </c>
      <c r="J811" s="373">
        <f t="shared" si="661"/>
        <v>0</v>
      </c>
      <c r="K811" s="373">
        <f t="shared" si="661"/>
        <v>0</v>
      </c>
      <c r="L811" s="373">
        <f t="shared" si="661"/>
        <v>0</v>
      </c>
      <c r="M811" s="373">
        <f t="shared" si="661"/>
        <v>286000</v>
      </c>
      <c r="N811" s="373">
        <f t="shared" si="661"/>
        <v>2391000</v>
      </c>
      <c r="O811" s="373">
        <f t="shared" si="661"/>
        <v>26500</v>
      </c>
      <c r="P811" s="373">
        <f t="shared" si="661"/>
        <v>3404000</v>
      </c>
      <c r="Q811" s="373">
        <f t="shared" si="661"/>
        <v>413000</v>
      </c>
      <c r="R811" s="373">
        <f t="shared" si="661"/>
        <v>0</v>
      </c>
      <c r="S811" s="373">
        <f t="shared" si="661"/>
        <v>3118000</v>
      </c>
      <c r="T811" s="373">
        <f t="shared" si="661"/>
        <v>1013000</v>
      </c>
      <c r="U811" s="373">
        <f t="shared" si="661"/>
        <v>386500</v>
      </c>
      <c r="V811" s="506">
        <f t="shared" si="643"/>
        <v>3118000</v>
      </c>
      <c r="W811" s="506">
        <f t="shared" si="644"/>
        <v>0</v>
      </c>
      <c r="X811" s="31"/>
      <c r="Y811" s="486"/>
      <c r="Z811" s="31"/>
      <c r="AA811" s="31"/>
      <c r="AB811" s="31"/>
      <c r="AD811" s="25"/>
      <c r="AH811" s="457"/>
      <c r="AI811" s="457"/>
      <c r="AJ811" s="457"/>
      <c r="AK811" s="457"/>
      <c r="AL811" s="457"/>
    </row>
    <row r="812" spans="1:38" s="4" customFormat="1" x14ac:dyDescent="0.3">
      <c r="A812" s="693" t="s">
        <v>77</v>
      </c>
      <c r="B812" s="694"/>
      <c r="C812" s="582">
        <f>SUM(C813,C825,C831)</f>
        <v>0</v>
      </c>
      <c r="D812" s="100"/>
      <c r="E812" s="100">
        <f t="shared" ref="E812:U812" si="662">SUM(E813,E825,E831)</f>
        <v>0</v>
      </c>
      <c r="F812" s="374">
        <f t="shared" si="662"/>
        <v>0</v>
      </c>
      <c r="G812" s="374">
        <f t="shared" si="662"/>
        <v>0</v>
      </c>
      <c r="H812" s="374">
        <f t="shared" si="662"/>
        <v>2521000</v>
      </c>
      <c r="I812" s="374">
        <f t="shared" si="662"/>
        <v>2235000</v>
      </c>
      <c r="J812" s="374">
        <f t="shared" si="662"/>
        <v>0</v>
      </c>
      <c r="K812" s="374">
        <f t="shared" si="662"/>
        <v>0</v>
      </c>
      <c r="L812" s="374">
        <f t="shared" si="662"/>
        <v>0</v>
      </c>
      <c r="M812" s="374">
        <f t="shared" si="662"/>
        <v>286000</v>
      </c>
      <c r="N812" s="374">
        <f t="shared" si="662"/>
        <v>2391000</v>
      </c>
      <c r="O812" s="374">
        <f t="shared" si="662"/>
        <v>26500</v>
      </c>
      <c r="P812" s="374">
        <f t="shared" si="662"/>
        <v>3404000</v>
      </c>
      <c r="Q812" s="374">
        <f t="shared" si="662"/>
        <v>413000</v>
      </c>
      <c r="R812" s="374">
        <f t="shared" si="662"/>
        <v>0</v>
      </c>
      <c r="S812" s="587">
        <f t="shared" si="662"/>
        <v>3118000</v>
      </c>
      <c r="T812" s="587">
        <f t="shared" si="662"/>
        <v>1013000</v>
      </c>
      <c r="U812" s="587">
        <f t="shared" si="662"/>
        <v>386500</v>
      </c>
      <c r="V812" s="506">
        <f t="shared" si="643"/>
        <v>3118000</v>
      </c>
      <c r="W812" s="506">
        <f t="shared" si="644"/>
        <v>0</v>
      </c>
      <c r="X812" s="31"/>
      <c r="Y812" s="486"/>
      <c r="Z812" s="31"/>
      <c r="AA812" s="31"/>
      <c r="AB812" s="31"/>
      <c r="AH812" s="457"/>
      <c r="AI812" s="457"/>
      <c r="AJ812" s="457"/>
      <c r="AK812" s="457"/>
      <c r="AL812" s="457"/>
    </row>
    <row r="813" spans="1:38" s="4" customFormat="1" x14ac:dyDescent="0.3">
      <c r="A813" s="561">
        <v>32</v>
      </c>
      <c r="B813" s="562" t="s">
        <v>318</v>
      </c>
      <c r="C813" s="599">
        <f>SUM(C814,C816,C820,C823)</f>
        <v>0</v>
      </c>
      <c r="D813" s="148"/>
      <c r="E813" s="148">
        <f t="shared" ref="E813:U813" si="663">SUM(E814,E816,E820,E823)</f>
        <v>0</v>
      </c>
      <c r="F813" s="381">
        <f t="shared" si="663"/>
        <v>0</v>
      </c>
      <c r="G813" s="381">
        <f t="shared" si="663"/>
        <v>0</v>
      </c>
      <c r="H813" s="381">
        <f t="shared" si="663"/>
        <v>121000</v>
      </c>
      <c r="I813" s="381">
        <f t="shared" si="663"/>
        <v>0</v>
      </c>
      <c r="J813" s="381">
        <f t="shared" si="663"/>
        <v>0</v>
      </c>
      <c r="K813" s="381">
        <f t="shared" si="663"/>
        <v>0</v>
      </c>
      <c r="L813" s="381">
        <f t="shared" si="663"/>
        <v>0</v>
      </c>
      <c r="M813" s="381">
        <f t="shared" si="663"/>
        <v>121000</v>
      </c>
      <c r="N813" s="381">
        <f t="shared" si="663"/>
        <v>28000</v>
      </c>
      <c r="O813" s="381">
        <f t="shared" si="663"/>
        <v>26500</v>
      </c>
      <c r="P813" s="381">
        <f t="shared" si="663"/>
        <v>106000</v>
      </c>
      <c r="Q813" s="381">
        <f t="shared" si="663"/>
        <v>13000</v>
      </c>
      <c r="R813" s="381">
        <f t="shared" si="663"/>
        <v>0</v>
      </c>
      <c r="S813" s="600">
        <f t="shared" si="663"/>
        <v>-15000</v>
      </c>
      <c r="T813" s="600">
        <f t="shared" si="663"/>
        <v>78000</v>
      </c>
      <c r="U813" s="600">
        <f t="shared" si="663"/>
        <v>-13500</v>
      </c>
      <c r="V813" s="506">
        <f t="shared" si="643"/>
        <v>-15000</v>
      </c>
      <c r="W813" s="506">
        <f t="shared" si="644"/>
        <v>0</v>
      </c>
      <c r="X813" s="31"/>
      <c r="Y813" s="486"/>
      <c r="Z813" s="31"/>
      <c r="AA813" s="31"/>
      <c r="AB813" s="31"/>
      <c r="AH813" s="457"/>
      <c r="AI813" s="457"/>
      <c r="AJ813" s="457"/>
      <c r="AK813" s="457"/>
      <c r="AL813" s="457"/>
    </row>
    <row r="814" spans="1:38" s="4" customFormat="1" x14ac:dyDescent="0.3">
      <c r="A814" s="601" t="s">
        <v>149</v>
      </c>
      <c r="B814" s="602" t="s">
        <v>12</v>
      </c>
      <c r="C814" s="559">
        <f>SUM(C815)</f>
        <v>0</v>
      </c>
      <c r="D814" s="79"/>
      <c r="E814" s="79">
        <f t="shared" ref="E814:U814" si="664">SUM(E815)</f>
        <v>0</v>
      </c>
      <c r="F814" s="369">
        <f t="shared" si="664"/>
        <v>0</v>
      </c>
      <c r="G814" s="369">
        <f t="shared" si="664"/>
        <v>0</v>
      </c>
      <c r="H814" s="369">
        <f t="shared" si="664"/>
        <v>10000</v>
      </c>
      <c r="I814" s="369">
        <f t="shared" si="664"/>
        <v>0</v>
      </c>
      <c r="J814" s="369">
        <f t="shared" si="664"/>
        <v>0</v>
      </c>
      <c r="K814" s="369">
        <f t="shared" si="664"/>
        <v>0</v>
      </c>
      <c r="L814" s="369">
        <f t="shared" si="664"/>
        <v>0</v>
      </c>
      <c r="M814" s="369">
        <f t="shared" si="664"/>
        <v>10000</v>
      </c>
      <c r="N814" s="369">
        <f t="shared" si="664"/>
        <v>7000</v>
      </c>
      <c r="O814" s="369">
        <f t="shared" si="664"/>
        <v>0</v>
      </c>
      <c r="P814" s="369">
        <f t="shared" si="664"/>
        <v>7000</v>
      </c>
      <c r="Q814" s="369">
        <f t="shared" si="664"/>
        <v>0</v>
      </c>
      <c r="R814" s="369">
        <f t="shared" si="664"/>
        <v>0</v>
      </c>
      <c r="S814" s="369">
        <f t="shared" si="664"/>
        <v>-3000</v>
      </c>
      <c r="T814" s="369">
        <f t="shared" si="664"/>
        <v>0</v>
      </c>
      <c r="U814" s="369">
        <f t="shared" si="664"/>
        <v>0</v>
      </c>
      <c r="V814" s="506">
        <f t="shared" si="643"/>
        <v>-3000</v>
      </c>
      <c r="W814" s="506">
        <f t="shared" si="644"/>
        <v>0</v>
      </c>
      <c r="X814" s="31"/>
      <c r="Y814" s="486"/>
      <c r="Z814" s="31"/>
      <c r="AA814" s="31"/>
      <c r="AB814" s="31"/>
      <c r="AH814" s="457"/>
      <c r="AI814" s="457"/>
      <c r="AJ814" s="457"/>
      <c r="AK814" s="457"/>
      <c r="AL814" s="457"/>
    </row>
    <row r="815" spans="1:38" s="4" customFormat="1" x14ac:dyDescent="0.3">
      <c r="A815" s="542">
        <v>3213</v>
      </c>
      <c r="B815" s="124" t="s">
        <v>15</v>
      </c>
      <c r="C815" s="560">
        <v>0</v>
      </c>
      <c r="D815" s="81"/>
      <c r="E815" s="81">
        <v>0</v>
      </c>
      <c r="F815" s="370"/>
      <c r="G815" s="370"/>
      <c r="H815" s="370">
        <v>10000</v>
      </c>
      <c r="I815" s="81"/>
      <c r="J815" s="81"/>
      <c r="K815" s="81"/>
      <c r="L815" s="81"/>
      <c r="M815" s="63">
        <f>H815-I815+J815-K815+L815</f>
        <v>10000</v>
      </c>
      <c r="N815" s="63">
        <v>7000</v>
      </c>
      <c r="O815" s="63"/>
      <c r="P815" s="63">
        <v>7000</v>
      </c>
      <c r="Q815" s="63"/>
      <c r="R815" s="63"/>
      <c r="S815" s="70">
        <f>P815-M815</f>
        <v>-3000</v>
      </c>
      <c r="T815" s="70">
        <f>P815-N815</f>
        <v>0</v>
      </c>
      <c r="U815" s="70">
        <f>Q815-O815</f>
        <v>0</v>
      </c>
      <c r="V815" s="506">
        <f t="shared" si="643"/>
        <v>-3000</v>
      </c>
      <c r="W815" s="506">
        <f t="shared" si="644"/>
        <v>0</v>
      </c>
      <c r="X815" s="31"/>
      <c r="Y815" s="486"/>
      <c r="Z815" s="31"/>
      <c r="AA815" s="31"/>
      <c r="AB815" s="31"/>
      <c r="AH815" s="457"/>
      <c r="AI815" s="457"/>
      <c r="AJ815" s="457"/>
      <c r="AK815" s="457"/>
      <c r="AL815" s="457"/>
    </row>
    <row r="816" spans="1:38" ht="14.55" customHeight="1" x14ac:dyDescent="0.3">
      <c r="A816" s="607">
        <v>322</v>
      </c>
      <c r="B816" s="119" t="s">
        <v>16</v>
      </c>
      <c r="C816" s="559">
        <f>SUM(C817:C819)</f>
        <v>0</v>
      </c>
      <c r="D816" s="79"/>
      <c r="E816" s="79">
        <f t="shared" ref="E816:U816" si="665">SUM(E817:E819)</f>
        <v>0</v>
      </c>
      <c r="F816" s="369">
        <f t="shared" si="665"/>
        <v>0</v>
      </c>
      <c r="G816" s="369">
        <f t="shared" si="665"/>
        <v>0</v>
      </c>
      <c r="H816" s="369">
        <f t="shared" si="665"/>
        <v>98000</v>
      </c>
      <c r="I816" s="369">
        <f t="shared" si="665"/>
        <v>0</v>
      </c>
      <c r="J816" s="369">
        <f t="shared" si="665"/>
        <v>0</v>
      </c>
      <c r="K816" s="369">
        <f t="shared" si="665"/>
        <v>0</v>
      </c>
      <c r="L816" s="369">
        <f t="shared" si="665"/>
        <v>0</v>
      </c>
      <c r="M816" s="63">
        <f>H816-I816+J816-K816+L816</f>
        <v>98000</v>
      </c>
      <c r="N816" s="369">
        <f t="shared" si="665"/>
        <v>16000</v>
      </c>
      <c r="O816" s="369">
        <f t="shared" si="665"/>
        <v>16000</v>
      </c>
      <c r="P816" s="369">
        <f t="shared" si="665"/>
        <v>90000</v>
      </c>
      <c r="Q816" s="369">
        <f t="shared" si="665"/>
        <v>10000</v>
      </c>
      <c r="R816" s="369">
        <f t="shared" si="665"/>
        <v>0</v>
      </c>
      <c r="S816" s="369">
        <f t="shared" si="665"/>
        <v>-8000</v>
      </c>
      <c r="T816" s="369">
        <f t="shared" si="665"/>
        <v>74000</v>
      </c>
      <c r="U816" s="369">
        <f t="shared" si="665"/>
        <v>-6000</v>
      </c>
      <c r="V816" s="506">
        <f t="shared" si="643"/>
        <v>-8000</v>
      </c>
      <c r="W816" s="506">
        <f t="shared" si="644"/>
        <v>0</v>
      </c>
      <c r="X816" s="31"/>
      <c r="Y816" s="486"/>
      <c r="Z816" s="31"/>
      <c r="AA816" s="31"/>
      <c r="AB816" s="31"/>
    </row>
    <row r="817" spans="1:38" x14ac:dyDescent="0.3">
      <c r="A817" s="542">
        <v>3222</v>
      </c>
      <c r="B817" s="535" t="s">
        <v>18</v>
      </c>
      <c r="C817" s="94">
        <v>0</v>
      </c>
      <c r="D817" s="63"/>
      <c r="E817" s="63">
        <v>0</v>
      </c>
      <c r="F817" s="63"/>
      <c r="G817" s="63"/>
      <c r="H817" s="63">
        <v>25000</v>
      </c>
      <c r="I817" s="63"/>
      <c r="J817" s="63"/>
      <c r="K817" s="63"/>
      <c r="L817" s="63"/>
      <c r="M817" s="63">
        <f>H817-I817+J817-K817+L817</f>
        <v>25000</v>
      </c>
      <c r="N817" s="63"/>
      <c r="O817" s="63"/>
      <c r="P817" s="63">
        <v>20000</v>
      </c>
      <c r="Q817" s="63"/>
      <c r="R817" s="63"/>
      <c r="S817" s="70">
        <f>P817-M817</f>
        <v>-5000</v>
      </c>
      <c r="T817" s="70">
        <f>P817-N817</f>
        <v>20000</v>
      </c>
      <c r="U817" s="63">
        <f>N817-G817</f>
        <v>0</v>
      </c>
      <c r="V817" s="506">
        <f t="shared" si="643"/>
        <v>-5000</v>
      </c>
      <c r="W817" s="506">
        <f t="shared" si="644"/>
        <v>0</v>
      </c>
      <c r="X817" s="31"/>
      <c r="Y817" s="486"/>
      <c r="Z817" s="31"/>
      <c r="AA817" s="31"/>
      <c r="AB817" s="31"/>
    </row>
    <row r="818" spans="1:38" s="4" customFormat="1" x14ac:dyDescent="0.3">
      <c r="A818" s="434">
        <v>3223</v>
      </c>
      <c r="B818" s="117" t="s">
        <v>19</v>
      </c>
      <c r="C818" s="108">
        <v>0</v>
      </c>
      <c r="D818" s="102"/>
      <c r="E818" s="102">
        <v>0</v>
      </c>
      <c r="F818" s="109"/>
      <c r="G818" s="109"/>
      <c r="H818" s="109">
        <v>20000</v>
      </c>
      <c r="I818" s="102"/>
      <c r="J818" s="102"/>
      <c r="K818" s="102"/>
      <c r="L818" s="102"/>
      <c r="M818" s="63">
        <f>H818-I818+J818-K818+L818</f>
        <v>20000</v>
      </c>
      <c r="N818" s="63">
        <v>16000</v>
      </c>
      <c r="O818" s="63">
        <v>16000</v>
      </c>
      <c r="P818" s="63">
        <v>20000</v>
      </c>
      <c r="Q818" s="63">
        <v>10000</v>
      </c>
      <c r="R818" s="63"/>
      <c r="S818" s="70">
        <f>P818-M818</f>
        <v>0</v>
      </c>
      <c r="T818" s="70">
        <f>P818-N818</f>
        <v>4000</v>
      </c>
      <c r="U818" s="70">
        <f>Q818-O818</f>
        <v>-6000</v>
      </c>
      <c r="V818" s="506">
        <f t="shared" si="643"/>
        <v>0</v>
      </c>
      <c r="W818" s="506">
        <f t="shared" si="644"/>
        <v>0</v>
      </c>
      <c r="X818" s="31"/>
      <c r="Y818" s="486"/>
      <c r="Z818" s="31"/>
      <c r="AA818" s="31"/>
      <c r="AB818" s="31"/>
      <c r="AH818" s="457"/>
      <c r="AI818" s="457"/>
      <c r="AJ818" s="457"/>
      <c r="AK818" s="457"/>
      <c r="AL818" s="457"/>
    </row>
    <row r="819" spans="1:38" s="4" customFormat="1" x14ac:dyDescent="0.3">
      <c r="A819" s="434">
        <v>3225</v>
      </c>
      <c r="B819" s="117" t="s">
        <v>21</v>
      </c>
      <c r="C819" s="108"/>
      <c r="D819" s="102"/>
      <c r="E819" s="102"/>
      <c r="F819" s="109"/>
      <c r="G819" s="109"/>
      <c r="H819" s="109">
        <v>53000</v>
      </c>
      <c r="I819" s="102"/>
      <c r="J819" s="102"/>
      <c r="K819" s="102"/>
      <c r="L819" s="102"/>
      <c r="M819" s="63">
        <f>H819-I819+J819-K819+L819</f>
        <v>53000</v>
      </c>
      <c r="N819" s="63"/>
      <c r="O819" s="63"/>
      <c r="P819" s="63">
        <v>50000</v>
      </c>
      <c r="Q819" s="63"/>
      <c r="R819" s="63"/>
      <c r="S819" s="70">
        <f>P819-M819</f>
        <v>-3000</v>
      </c>
      <c r="T819" s="70">
        <f>P819-N819</f>
        <v>50000</v>
      </c>
      <c r="U819" s="63">
        <f>N819-G819</f>
        <v>0</v>
      </c>
      <c r="V819" s="506">
        <f t="shared" si="643"/>
        <v>-3000</v>
      </c>
      <c r="W819" s="506">
        <f t="shared" si="644"/>
        <v>0</v>
      </c>
      <c r="X819" s="31"/>
      <c r="Y819" s="486"/>
      <c r="Z819" s="31"/>
      <c r="AA819" s="31"/>
      <c r="AB819" s="31"/>
      <c r="AH819" s="457"/>
      <c r="AI819" s="457"/>
      <c r="AJ819" s="457"/>
      <c r="AK819" s="457"/>
      <c r="AL819" s="457"/>
    </row>
    <row r="820" spans="1:38" s="4" customFormat="1" x14ac:dyDescent="0.3">
      <c r="A820" s="607">
        <v>323</v>
      </c>
      <c r="B820" s="119" t="s">
        <v>23</v>
      </c>
      <c r="C820" s="559">
        <f>SUM(C821)</f>
        <v>0</v>
      </c>
      <c r="D820" s="79"/>
      <c r="E820" s="79">
        <f t="shared" ref="E820:T820" si="666">SUM(E821)</f>
        <v>0</v>
      </c>
      <c r="F820" s="369">
        <f t="shared" si="666"/>
        <v>0</v>
      </c>
      <c r="G820" s="369">
        <f t="shared" si="666"/>
        <v>0</v>
      </c>
      <c r="H820" s="369">
        <f>SUM(H821,H822)</f>
        <v>8000</v>
      </c>
      <c r="I820" s="369">
        <f t="shared" ref="I820:L820" si="667">SUM(I821,I822)</f>
        <v>0</v>
      </c>
      <c r="J820" s="369">
        <f t="shared" si="667"/>
        <v>0</v>
      </c>
      <c r="K820" s="369">
        <f t="shared" si="667"/>
        <v>0</v>
      </c>
      <c r="L820" s="369">
        <f t="shared" si="667"/>
        <v>0</v>
      </c>
      <c r="M820" s="369">
        <f>SUM(M821,M822)</f>
        <v>8000</v>
      </c>
      <c r="N820" s="369">
        <f t="shared" ref="N820:R820" si="668">SUM(N821,N822)</f>
        <v>0</v>
      </c>
      <c r="O820" s="369">
        <f t="shared" si="668"/>
        <v>7500</v>
      </c>
      <c r="P820" s="369">
        <f t="shared" si="668"/>
        <v>1000</v>
      </c>
      <c r="Q820" s="369">
        <f t="shared" si="668"/>
        <v>0</v>
      </c>
      <c r="R820" s="369">
        <f t="shared" si="668"/>
        <v>0</v>
      </c>
      <c r="S820" s="369">
        <f>SUM(S821:S822)</f>
        <v>-7000</v>
      </c>
      <c r="T820" s="369">
        <f t="shared" si="666"/>
        <v>1000</v>
      </c>
      <c r="U820" s="369">
        <f>SUM(U821:U822)</f>
        <v>-7500</v>
      </c>
      <c r="V820" s="506">
        <f t="shared" si="643"/>
        <v>-7000</v>
      </c>
      <c r="W820" s="506">
        <f t="shared" si="644"/>
        <v>0</v>
      </c>
      <c r="X820" s="31"/>
      <c r="Y820" s="486"/>
      <c r="Z820" s="31"/>
      <c r="AA820" s="31"/>
      <c r="AB820" s="31"/>
      <c r="AH820" s="457"/>
      <c r="AI820" s="457"/>
      <c r="AJ820" s="457"/>
      <c r="AK820" s="457"/>
      <c r="AL820" s="457"/>
    </row>
    <row r="821" spans="1:38" s="4" customFormat="1" x14ac:dyDescent="0.3">
      <c r="A821" s="434">
        <v>3233</v>
      </c>
      <c r="B821" s="117" t="s">
        <v>26</v>
      </c>
      <c r="C821" s="108">
        <v>0</v>
      </c>
      <c r="D821" s="102"/>
      <c r="E821" s="102">
        <v>0</v>
      </c>
      <c r="F821" s="109"/>
      <c r="G821" s="109"/>
      <c r="H821" s="109">
        <v>8000</v>
      </c>
      <c r="I821" s="102"/>
      <c r="J821" s="102"/>
      <c r="K821" s="102"/>
      <c r="L821" s="102"/>
      <c r="M821" s="63">
        <f>H821-I821+J821-K821+L821</f>
        <v>8000</v>
      </c>
      <c r="N821" s="63"/>
      <c r="O821" s="63"/>
      <c r="P821" s="63">
        <v>1000</v>
      </c>
      <c r="Q821" s="63"/>
      <c r="R821" s="63"/>
      <c r="S821" s="70">
        <f>P821-M821</f>
        <v>-7000</v>
      </c>
      <c r="T821" s="70">
        <f>P821-N821</f>
        <v>1000</v>
      </c>
      <c r="U821" s="63">
        <f>N821-G821</f>
        <v>0</v>
      </c>
      <c r="V821" s="506">
        <f t="shared" si="643"/>
        <v>-7000</v>
      </c>
      <c r="W821" s="506">
        <f t="shared" si="644"/>
        <v>0</v>
      </c>
      <c r="X821" s="31"/>
      <c r="Y821" s="486"/>
      <c r="Z821" s="31"/>
      <c r="AA821" s="31"/>
      <c r="AB821" s="31"/>
      <c r="AH821" s="457"/>
      <c r="AI821" s="457"/>
      <c r="AJ821" s="457"/>
      <c r="AK821" s="457"/>
      <c r="AL821" s="457"/>
    </row>
    <row r="822" spans="1:38" ht="13.05" hidden="1" x14ac:dyDescent="0.3">
      <c r="A822" s="434">
        <v>3237</v>
      </c>
      <c r="B822" s="117" t="s">
        <v>30</v>
      </c>
      <c r="C822" s="108"/>
      <c r="D822" s="102"/>
      <c r="E822" s="102"/>
      <c r="F822" s="102"/>
      <c r="G822" s="102"/>
      <c r="H822" s="102"/>
      <c r="I822" s="102"/>
      <c r="J822" s="102"/>
      <c r="K822" s="102"/>
      <c r="L822" s="102"/>
      <c r="M822" s="63"/>
      <c r="N822" s="63"/>
      <c r="O822" s="63">
        <v>7500</v>
      </c>
      <c r="P822" s="63"/>
      <c r="Q822" s="63"/>
      <c r="R822" s="63"/>
      <c r="S822" s="70">
        <f>P822-M822</f>
        <v>0</v>
      </c>
      <c r="T822" s="70">
        <f>P822-N822</f>
        <v>0</v>
      </c>
      <c r="U822" s="70">
        <f>Q822-O822</f>
        <v>-7500</v>
      </c>
      <c r="V822" s="506">
        <f t="shared" si="643"/>
        <v>0</v>
      </c>
      <c r="W822" s="506">
        <f t="shared" si="644"/>
        <v>0</v>
      </c>
      <c r="X822" s="31"/>
      <c r="Y822" s="486"/>
      <c r="Z822" s="31"/>
      <c r="AA822" s="31"/>
      <c r="AB822" s="31"/>
    </row>
    <row r="823" spans="1:38" x14ac:dyDescent="0.3">
      <c r="A823" s="541">
        <v>329</v>
      </c>
      <c r="B823" s="89" t="s">
        <v>33</v>
      </c>
      <c r="C823" s="559">
        <f>SUM(C824)</f>
        <v>0</v>
      </c>
      <c r="D823" s="79"/>
      <c r="E823" s="369">
        <f t="shared" ref="E823:U823" si="669">SUM(E824)</f>
        <v>0</v>
      </c>
      <c r="F823" s="369">
        <f t="shared" si="669"/>
        <v>0</v>
      </c>
      <c r="G823" s="369">
        <f t="shared" si="669"/>
        <v>0</v>
      </c>
      <c r="H823" s="369">
        <f t="shared" si="669"/>
        <v>5000</v>
      </c>
      <c r="I823" s="369">
        <f t="shared" si="669"/>
        <v>0</v>
      </c>
      <c r="J823" s="369">
        <f t="shared" si="669"/>
        <v>0</v>
      </c>
      <c r="K823" s="369">
        <f t="shared" si="669"/>
        <v>0</v>
      </c>
      <c r="L823" s="369">
        <f t="shared" si="669"/>
        <v>0</v>
      </c>
      <c r="M823" s="369">
        <f t="shared" si="669"/>
        <v>5000</v>
      </c>
      <c r="N823" s="369">
        <f t="shared" si="669"/>
        <v>5000</v>
      </c>
      <c r="O823" s="369">
        <f t="shared" si="669"/>
        <v>3000</v>
      </c>
      <c r="P823" s="369">
        <f t="shared" si="669"/>
        <v>8000</v>
      </c>
      <c r="Q823" s="369">
        <f t="shared" si="669"/>
        <v>3000</v>
      </c>
      <c r="R823" s="369">
        <f t="shared" si="669"/>
        <v>0</v>
      </c>
      <c r="S823" s="369">
        <f t="shared" si="669"/>
        <v>3000</v>
      </c>
      <c r="T823" s="369">
        <f t="shared" si="669"/>
        <v>3000</v>
      </c>
      <c r="U823" s="369">
        <f t="shared" si="669"/>
        <v>0</v>
      </c>
      <c r="V823" s="506">
        <f t="shared" si="643"/>
        <v>3000</v>
      </c>
      <c r="W823" s="506">
        <f t="shared" si="644"/>
        <v>0</v>
      </c>
      <c r="X823" s="31"/>
      <c r="Y823" s="486"/>
      <c r="Z823" s="31"/>
      <c r="AA823" s="31"/>
      <c r="AB823" s="31"/>
    </row>
    <row r="824" spans="1:38" s="4" customFormat="1" x14ac:dyDescent="0.3">
      <c r="A824" s="542">
        <v>3292</v>
      </c>
      <c r="B824" s="535" t="s">
        <v>35</v>
      </c>
      <c r="C824" s="108"/>
      <c r="D824" s="102"/>
      <c r="E824" s="102"/>
      <c r="F824" s="102"/>
      <c r="G824" s="102"/>
      <c r="H824" s="102">
        <v>5000</v>
      </c>
      <c r="I824" s="102"/>
      <c r="J824" s="102"/>
      <c r="K824" s="102"/>
      <c r="L824" s="102"/>
      <c r="M824" s="63">
        <f>H824-I824+J824-K824+L824</f>
        <v>5000</v>
      </c>
      <c r="N824" s="63">
        <v>5000</v>
      </c>
      <c r="O824" s="63">
        <v>3000</v>
      </c>
      <c r="P824" s="63">
        <v>8000</v>
      </c>
      <c r="Q824" s="63">
        <v>3000</v>
      </c>
      <c r="R824" s="63"/>
      <c r="S824" s="70">
        <f>P824-M824</f>
        <v>3000</v>
      </c>
      <c r="T824" s="70">
        <f>P824-N824</f>
        <v>3000</v>
      </c>
      <c r="U824" s="70">
        <f>Q824-O824</f>
        <v>0</v>
      </c>
      <c r="V824" s="506">
        <f t="shared" si="643"/>
        <v>3000</v>
      </c>
      <c r="W824" s="506">
        <f t="shared" si="644"/>
        <v>0</v>
      </c>
      <c r="X824" s="31"/>
      <c r="Y824" s="486"/>
      <c r="Z824" s="31"/>
      <c r="AA824" s="31"/>
      <c r="AB824" s="31"/>
      <c r="AH824" s="457"/>
      <c r="AI824" s="457"/>
      <c r="AJ824" s="457"/>
      <c r="AK824" s="457"/>
      <c r="AL824" s="457"/>
    </row>
    <row r="825" spans="1:38" s="4" customFormat="1" ht="22.95" customHeight="1" x14ac:dyDescent="0.3">
      <c r="A825" s="610">
        <v>42</v>
      </c>
      <c r="B825" s="571" t="s">
        <v>324</v>
      </c>
      <c r="C825" s="599">
        <f>SUM(C826,C829)</f>
        <v>0</v>
      </c>
      <c r="D825" s="148"/>
      <c r="E825" s="381">
        <f t="shared" ref="E825:U825" si="670">SUM(E826,E829)</f>
        <v>0</v>
      </c>
      <c r="F825" s="381">
        <f t="shared" si="670"/>
        <v>0</v>
      </c>
      <c r="G825" s="381">
        <f t="shared" si="670"/>
        <v>0</v>
      </c>
      <c r="H825" s="381">
        <f t="shared" si="670"/>
        <v>2150000</v>
      </c>
      <c r="I825" s="381">
        <f t="shared" si="670"/>
        <v>2000000</v>
      </c>
      <c r="J825" s="381">
        <f t="shared" si="670"/>
        <v>0</v>
      </c>
      <c r="K825" s="381">
        <f t="shared" si="670"/>
        <v>0</v>
      </c>
      <c r="L825" s="381">
        <f t="shared" si="670"/>
        <v>0</v>
      </c>
      <c r="M825" s="381">
        <f t="shared" si="670"/>
        <v>150000</v>
      </c>
      <c r="N825" s="381">
        <f t="shared" si="670"/>
        <v>2353000</v>
      </c>
      <c r="O825" s="381">
        <f t="shared" si="670"/>
        <v>0</v>
      </c>
      <c r="P825" s="381">
        <f t="shared" si="670"/>
        <v>3098000</v>
      </c>
      <c r="Q825" s="381">
        <f t="shared" si="670"/>
        <v>400000</v>
      </c>
      <c r="R825" s="381">
        <f t="shared" si="670"/>
        <v>0</v>
      </c>
      <c r="S825" s="600">
        <f t="shared" si="670"/>
        <v>2948000</v>
      </c>
      <c r="T825" s="600">
        <f t="shared" si="670"/>
        <v>745000</v>
      </c>
      <c r="U825" s="600">
        <f t="shared" si="670"/>
        <v>400000</v>
      </c>
      <c r="V825" s="506">
        <f t="shared" si="643"/>
        <v>2948000</v>
      </c>
      <c r="W825" s="506">
        <f t="shared" si="644"/>
        <v>0</v>
      </c>
      <c r="X825" s="31"/>
      <c r="Y825" s="486"/>
      <c r="Z825" s="31"/>
      <c r="AA825" s="31"/>
      <c r="AB825" s="31"/>
      <c r="AH825" s="457"/>
      <c r="AI825" s="457"/>
      <c r="AJ825" s="457"/>
      <c r="AK825" s="457"/>
      <c r="AL825" s="457"/>
    </row>
    <row r="826" spans="1:38" s="4" customFormat="1" x14ac:dyDescent="0.3">
      <c r="A826" s="607">
        <v>422</v>
      </c>
      <c r="B826" s="119" t="s">
        <v>53</v>
      </c>
      <c r="C826" s="559">
        <f t="shared" ref="C826:E826" si="671">SUM(C827:C828)</f>
        <v>0</v>
      </c>
      <c r="D826" s="79"/>
      <c r="E826" s="79">
        <f t="shared" si="671"/>
        <v>0</v>
      </c>
      <c r="F826" s="79">
        <f t="shared" ref="F826:U826" si="672">SUM(F827:F828)</f>
        <v>0</v>
      </c>
      <c r="G826" s="79">
        <f t="shared" si="672"/>
        <v>0</v>
      </c>
      <c r="H826" s="79">
        <f t="shared" si="672"/>
        <v>2150000</v>
      </c>
      <c r="I826" s="79">
        <f t="shared" si="672"/>
        <v>2000000</v>
      </c>
      <c r="J826" s="79">
        <f t="shared" si="672"/>
        <v>0</v>
      </c>
      <c r="K826" s="79">
        <f t="shared" si="672"/>
        <v>0</v>
      </c>
      <c r="L826" s="79">
        <f t="shared" si="672"/>
        <v>0</v>
      </c>
      <c r="M826" s="79">
        <f t="shared" si="672"/>
        <v>150000</v>
      </c>
      <c r="N826" s="79">
        <f t="shared" si="672"/>
        <v>2255000</v>
      </c>
      <c r="O826" s="79">
        <f t="shared" si="672"/>
        <v>0</v>
      </c>
      <c r="P826" s="79">
        <f t="shared" si="672"/>
        <v>3000000</v>
      </c>
      <c r="Q826" s="79">
        <f t="shared" si="672"/>
        <v>400000</v>
      </c>
      <c r="R826" s="79">
        <f t="shared" si="672"/>
        <v>0</v>
      </c>
      <c r="S826" s="79">
        <f t="shared" si="672"/>
        <v>2850000</v>
      </c>
      <c r="T826" s="79">
        <f t="shared" si="672"/>
        <v>745000</v>
      </c>
      <c r="U826" s="79">
        <f t="shared" si="672"/>
        <v>400000</v>
      </c>
      <c r="V826" s="506">
        <f t="shared" si="643"/>
        <v>2850000</v>
      </c>
      <c r="W826" s="506">
        <f t="shared" si="644"/>
        <v>0</v>
      </c>
      <c r="X826" s="31"/>
      <c r="Y826" s="486"/>
      <c r="Z826" s="31"/>
      <c r="AA826" s="31"/>
      <c r="AB826" s="31"/>
      <c r="AH826" s="457"/>
      <c r="AI826" s="457"/>
      <c r="AJ826" s="457"/>
      <c r="AK826" s="457"/>
      <c r="AL826" s="457"/>
    </row>
    <row r="827" spans="1:38" s="11" customFormat="1" x14ac:dyDescent="0.3">
      <c r="A827" s="434">
        <v>4221</v>
      </c>
      <c r="B827" s="117" t="s">
        <v>54</v>
      </c>
      <c r="C827" s="108">
        <v>0</v>
      </c>
      <c r="D827" s="102"/>
      <c r="E827" s="102">
        <v>0</v>
      </c>
      <c r="F827" s="109"/>
      <c r="G827" s="109"/>
      <c r="H827" s="109">
        <v>1150000</v>
      </c>
      <c r="I827" s="102">
        <v>1000000</v>
      </c>
      <c r="J827" s="102"/>
      <c r="K827" s="102"/>
      <c r="L827" s="102"/>
      <c r="M827" s="63">
        <f>H827-I827+J827-K827+L827</f>
        <v>150000</v>
      </c>
      <c r="N827" s="63">
        <v>1000000</v>
      </c>
      <c r="O827" s="63"/>
      <c r="P827" s="63">
        <v>1500000</v>
      </c>
      <c r="Q827" s="63">
        <v>200000</v>
      </c>
      <c r="R827" s="63"/>
      <c r="S827" s="70">
        <f>P827-M827</f>
        <v>1350000</v>
      </c>
      <c r="T827" s="70">
        <f>P827-N827</f>
        <v>500000</v>
      </c>
      <c r="U827" s="70">
        <f>Q827-O827</f>
        <v>200000</v>
      </c>
      <c r="V827" s="506">
        <f t="shared" si="643"/>
        <v>1350000</v>
      </c>
      <c r="W827" s="506">
        <f t="shared" si="644"/>
        <v>0</v>
      </c>
      <c r="X827" s="34"/>
      <c r="Y827" s="490"/>
      <c r="Z827" s="34"/>
      <c r="AA827" s="34"/>
      <c r="AB827" s="34"/>
      <c r="AH827" s="549"/>
      <c r="AI827" s="549"/>
      <c r="AJ827" s="549"/>
      <c r="AK827" s="549"/>
      <c r="AL827" s="549"/>
    </row>
    <row r="828" spans="1:38" s="4" customFormat="1" x14ac:dyDescent="0.3">
      <c r="A828" s="617">
        <v>4227</v>
      </c>
      <c r="B828" s="618" t="s">
        <v>60</v>
      </c>
      <c r="C828" s="108">
        <v>0</v>
      </c>
      <c r="D828" s="102"/>
      <c r="E828" s="102">
        <v>0</v>
      </c>
      <c r="F828" s="109"/>
      <c r="G828" s="109"/>
      <c r="H828" s="109">
        <v>1000000</v>
      </c>
      <c r="I828" s="102">
        <v>1000000</v>
      </c>
      <c r="J828" s="102"/>
      <c r="K828" s="102"/>
      <c r="L828" s="102"/>
      <c r="M828" s="63">
        <f>H828-I828+J828-K828+L828</f>
        <v>0</v>
      </c>
      <c r="N828" s="63">
        <v>1255000</v>
      </c>
      <c r="O828" s="63"/>
      <c r="P828" s="63">
        <v>1500000</v>
      </c>
      <c r="Q828" s="63">
        <v>200000</v>
      </c>
      <c r="R828" s="63"/>
      <c r="S828" s="70">
        <f>P828-M828</f>
        <v>1500000</v>
      </c>
      <c r="T828" s="70">
        <f>P828-N828</f>
        <v>245000</v>
      </c>
      <c r="U828" s="70">
        <f>Q828-O828</f>
        <v>200000</v>
      </c>
      <c r="V828" s="506">
        <f t="shared" si="643"/>
        <v>1500000</v>
      </c>
      <c r="W828" s="506">
        <f t="shared" si="644"/>
        <v>0</v>
      </c>
      <c r="X828" s="31"/>
      <c r="Y828" s="486"/>
      <c r="Z828" s="31"/>
      <c r="AA828" s="31"/>
      <c r="AB828" s="31"/>
      <c r="AH828" s="457"/>
      <c r="AI828" s="457"/>
      <c r="AJ828" s="457"/>
      <c r="AK828" s="457"/>
      <c r="AL828" s="457"/>
    </row>
    <row r="829" spans="1:38" s="4" customFormat="1" x14ac:dyDescent="0.3">
      <c r="A829" s="607">
        <v>423</v>
      </c>
      <c r="B829" s="119" t="s">
        <v>61</v>
      </c>
      <c r="C829" s="559"/>
      <c r="D829" s="79"/>
      <c r="E829" s="79"/>
      <c r="F829" s="79"/>
      <c r="G829" s="79"/>
      <c r="H829" s="79">
        <f>SUM(H830)</f>
        <v>0</v>
      </c>
      <c r="I829" s="79">
        <f t="shared" ref="I829:L829" si="673">SUM(I830)</f>
        <v>0</v>
      </c>
      <c r="J829" s="79">
        <f t="shared" si="673"/>
        <v>0</v>
      </c>
      <c r="K829" s="79">
        <f t="shared" si="673"/>
        <v>0</v>
      </c>
      <c r="L829" s="79">
        <f t="shared" si="673"/>
        <v>0</v>
      </c>
      <c r="M829" s="79">
        <f>SUM(M830)</f>
        <v>0</v>
      </c>
      <c r="N829" s="79">
        <f t="shared" ref="N829:U829" si="674">SUM(N830)</f>
        <v>98000</v>
      </c>
      <c r="O829" s="79">
        <f t="shared" si="674"/>
        <v>0</v>
      </c>
      <c r="P829" s="79">
        <f t="shared" si="674"/>
        <v>98000</v>
      </c>
      <c r="Q829" s="79">
        <f t="shared" si="674"/>
        <v>0</v>
      </c>
      <c r="R829" s="79">
        <f t="shared" si="674"/>
        <v>0</v>
      </c>
      <c r="S829" s="62">
        <f t="shared" si="674"/>
        <v>98000</v>
      </c>
      <c r="T829" s="62">
        <f t="shared" si="674"/>
        <v>0</v>
      </c>
      <c r="U829" s="62">
        <f t="shared" si="674"/>
        <v>0</v>
      </c>
      <c r="V829" s="506">
        <f t="shared" si="643"/>
        <v>98000</v>
      </c>
      <c r="W829" s="506">
        <f t="shared" si="644"/>
        <v>0</v>
      </c>
      <c r="X829" s="31"/>
      <c r="Y829" s="486"/>
      <c r="Z829" s="31"/>
      <c r="AA829" s="31"/>
      <c r="AB829" s="31"/>
      <c r="AH829" s="457"/>
      <c r="AI829" s="457"/>
      <c r="AJ829" s="457"/>
      <c r="AK829" s="457"/>
      <c r="AL829" s="457"/>
    </row>
    <row r="830" spans="1:38" s="4" customFormat="1" x14ac:dyDescent="0.3">
      <c r="A830" s="434">
        <v>4231</v>
      </c>
      <c r="B830" s="117" t="s">
        <v>62</v>
      </c>
      <c r="C830" s="108"/>
      <c r="D830" s="102"/>
      <c r="E830" s="102"/>
      <c r="F830" s="102"/>
      <c r="G830" s="102"/>
      <c r="H830" s="102"/>
      <c r="I830" s="102"/>
      <c r="J830" s="102"/>
      <c r="K830" s="102"/>
      <c r="L830" s="102"/>
      <c r="M830" s="63"/>
      <c r="N830" s="63">
        <v>98000</v>
      </c>
      <c r="O830" s="63"/>
      <c r="P830" s="63">
        <v>98000</v>
      </c>
      <c r="Q830" s="63"/>
      <c r="R830" s="63"/>
      <c r="S830" s="70">
        <f>P830-M830</f>
        <v>98000</v>
      </c>
      <c r="T830" s="70">
        <f>P830-N830</f>
        <v>0</v>
      </c>
      <c r="U830" s="70">
        <f>Q830-O830</f>
        <v>0</v>
      </c>
      <c r="V830" s="506">
        <f t="shared" si="643"/>
        <v>98000</v>
      </c>
      <c r="W830" s="506">
        <f t="shared" si="644"/>
        <v>0</v>
      </c>
      <c r="X830" s="31"/>
      <c r="Y830" s="486"/>
      <c r="Z830" s="31"/>
      <c r="AA830" s="31"/>
      <c r="AB830" s="31"/>
      <c r="AH830" s="457"/>
      <c r="AI830" s="457"/>
      <c r="AJ830" s="457"/>
      <c r="AK830" s="457"/>
      <c r="AL830" s="457"/>
    </row>
    <row r="831" spans="1:38" s="4" customFormat="1" ht="26.4" x14ac:dyDescent="0.3">
      <c r="A831" s="610">
        <v>45</v>
      </c>
      <c r="B831" s="571" t="s">
        <v>326</v>
      </c>
      <c r="C831" s="599">
        <f t="shared" ref="C831:U832" si="675">SUM(C832)</f>
        <v>0</v>
      </c>
      <c r="D831" s="148"/>
      <c r="E831" s="148">
        <f t="shared" si="675"/>
        <v>0</v>
      </c>
      <c r="F831" s="148">
        <f t="shared" si="675"/>
        <v>0</v>
      </c>
      <c r="G831" s="148">
        <f t="shared" si="675"/>
        <v>0</v>
      </c>
      <c r="H831" s="148">
        <f t="shared" si="675"/>
        <v>250000</v>
      </c>
      <c r="I831" s="148">
        <f t="shared" si="675"/>
        <v>235000</v>
      </c>
      <c r="J831" s="148">
        <f t="shared" si="675"/>
        <v>0</v>
      </c>
      <c r="K831" s="148">
        <f t="shared" si="675"/>
        <v>0</v>
      </c>
      <c r="L831" s="148">
        <f t="shared" si="675"/>
        <v>0</v>
      </c>
      <c r="M831" s="148">
        <f t="shared" si="675"/>
        <v>15000</v>
      </c>
      <c r="N831" s="148">
        <f t="shared" si="675"/>
        <v>10000</v>
      </c>
      <c r="O831" s="148">
        <f t="shared" si="675"/>
        <v>0</v>
      </c>
      <c r="P831" s="148">
        <f t="shared" si="675"/>
        <v>200000</v>
      </c>
      <c r="Q831" s="148">
        <f t="shared" si="675"/>
        <v>0</v>
      </c>
      <c r="R831" s="148">
        <f t="shared" si="675"/>
        <v>0</v>
      </c>
      <c r="S831" s="113">
        <f t="shared" si="675"/>
        <v>185000</v>
      </c>
      <c r="T831" s="113">
        <f t="shared" si="675"/>
        <v>190000</v>
      </c>
      <c r="U831" s="113">
        <f t="shared" si="675"/>
        <v>0</v>
      </c>
      <c r="V831" s="506">
        <f t="shared" si="643"/>
        <v>185000</v>
      </c>
      <c r="W831" s="506">
        <f t="shared" si="644"/>
        <v>0</v>
      </c>
      <c r="X831" s="31"/>
      <c r="Y831" s="486"/>
      <c r="Z831" s="31"/>
      <c r="AA831" s="31"/>
      <c r="AB831" s="31"/>
      <c r="AH831" s="457"/>
      <c r="AI831" s="457"/>
      <c r="AJ831" s="457"/>
      <c r="AK831" s="457"/>
      <c r="AL831" s="457"/>
    </row>
    <row r="832" spans="1:38" s="11" customFormat="1" x14ac:dyDescent="0.3">
      <c r="A832" s="607">
        <v>451</v>
      </c>
      <c r="B832" s="119" t="s">
        <v>55</v>
      </c>
      <c r="C832" s="559">
        <f t="shared" si="675"/>
        <v>0</v>
      </c>
      <c r="D832" s="79"/>
      <c r="E832" s="79">
        <f t="shared" si="675"/>
        <v>0</v>
      </c>
      <c r="F832" s="79">
        <f t="shared" si="675"/>
        <v>0</v>
      </c>
      <c r="G832" s="79">
        <f t="shared" si="675"/>
        <v>0</v>
      </c>
      <c r="H832" s="79">
        <f t="shared" si="675"/>
        <v>250000</v>
      </c>
      <c r="I832" s="79">
        <f t="shared" si="675"/>
        <v>235000</v>
      </c>
      <c r="J832" s="79">
        <f t="shared" si="675"/>
        <v>0</v>
      </c>
      <c r="K832" s="79">
        <f t="shared" si="675"/>
        <v>0</v>
      </c>
      <c r="L832" s="79">
        <f t="shared" si="675"/>
        <v>0</v>
      </c>
      <c r="M832" s="79">
        <f t="shared" si="675"/>
        <v>15000</v>
      </c>
      <c r="N832" s="79">
        <f t="shared" si="675"/>
        <v>10000</v>
      </c>
      <c r="O832" s="79">
        <f t="shared" si="675"/>
        <v>0</v>
      </c>
      <c r="P832" s="79">
        <f t="shared" si="675"/>
        <v>200000</v>
      </c>
      <c r="Q832" s="79">
        <f t="shared" si="675"/>
        <v>0</v>
      </c>
      <c r="R832" s="79">
        <f t="shared" si="675"/>
        <v>0</v>
      </c>
      <c r="S832" s="79">
        <f t="shared" si="675"/>
        <v>185000</v>
      </c>
      <c r="T832" s="79">
        <f t="shared" si="675"/>
        <v>190000</v>
      </c>
      <c r="U832" s="79">
        <f t="shared" si="675"/>
        <v>0</v>
      </c>
      <c r="V832" s="506">
        <f t="shared" si="643"/>
        <v>185000</v>
      </c>
      <c r="W832" s="506">
        <f t="shared" si="644"/>
        <v>0</v>
      </c>
      <c r="X832" s="34"/>
      <c r="Y832" s="490"/>
      <c r="Z832" s="34"/>
      <c r="AA832" s="34"/>
      <c r="AB832" s="34"/>
      <c r="AH832" s="549"/>
      <c r="AI832" s="549"/>
      <c r="AJ832" s="549"/>
      <c r="AK832" s="549"/>
      <c r="AL832" s="549"/>
    </row>
    <row r="833" spans="1:38" s="4" customFormat="1" x14ac:dyDescent="0.3">
      <c r="A833" s="434">
        <v>4511</v>
      </c>
      <c r="B833" s="117" t="s">
        <v>55</v>
      </c>
      <c r="C833" s="108">
        <v>0</v>
      </c>
      <c r="D833" s="102"/>
      <c r="E833" s="102">
        <v>0</v>
      </c>
      <c r="F833" s="109"/>
      <c r="G833" s="109"/>
      <c r="H833" s="109">
        <v>250000</v>
      </c>
      <c r="I833" s="110">
        <v>235000</v>
      </c>
      <c r="J833" s="102"/>
      <c r="K833" s="102"/>
      <c r="L833" s="102"/>
      <c r="M833" s="63">
        <f>H833-I833+J833-K833+L833</f>
        <v>15000</v>
      </c>
      <c r="N833" s="63">
        <v>10000</v>
      </c>
      <c r="O833" s="63"/>
      <c r="P833" s="63">
        <v>200000</v>
      </c>
      <c r="Q833" s="63"/>
      <c r="R833" s="63"/>
      <c r="S833" s="70">
        <f>P833-M833</f>
        <v>185000</v>
      </c>
      <c r="T833" s="70">
        <f>P833-N833</f>
        <v>190000</v>
      </c>
      <c r="U833" s="70">
        <f>Q833-O833</f>
        <v>0</v>
      </c>
      <c r="V833" s="506">
        <f t="shared" si="643"/>
        <v>185000</v>
      </c>
      <c r="W833" s="506">
        <f t="shared" si="644"/>
        <v>0</v>
      </c>
      <c r="X833" s="31"/>
      <c r="Y833" s="486"/>
      <c r="Z833" s="31"/>
      <c r="AA833" s="31"/>
      <c r="AB833" s="31"/>
      <c r="AH833" s="457"/>
      <c r="AI833" s="457"/>
      <c r="AJ833" s="457"/>
      <c r="AK833" s="457"/>
      <c r="AL833" s="457"/>
    </row>
    <row r="834" spans="1:38" s="4" customFormat="1" ht="26.4" x14ac:dyDescent="0.3">
      <c r="A834" s="579" t="s">
        <v>386</v>
      </c>
      <c r="B834" s="580" t="s">
        <v>387</v>
      </c>
      <c r="C834" s="581">
        <f>SUM(C836)</f>
        <v>0</v>
      </c>
      <c r="D834" s="99"/>
      <c r="E834" s="99">
        <f>SUM(E836)</f>
        <v>0</v>
      </c>
      <c r="F834" s="99">
        <f t="shared" ref="F834:U834" si="676">SUM(F836)</f>
        <v>0</v>
      </c>
      <c r="G834" s="99">
        <f t="shared" si="676"/>
        <v>0</v>
      </c>
      <c r="H834" s="99">
        <f>SUM(H835)</f>
        <v>3000</v>
      </c>
      <c r="I834" s="99">
        <f t="shared" ref="I834:L835" si="677">SUM(I835)</f>
        <v>3000</v>
      </c>
      <c r="J834" s="99">
        <f t="shared" si="677"/>
        <v>0</v>
      </c>
      <c r="K834" s="99">
        <f t="shared" si="677"/>
        <v>0</v>
      </c>
      <c r="L834" s="99">
        <f t="shared" si="677"/>
        <v>0</v>
      </c>
      <c r="M834" s="99">
        <f>SUM(M835)</f>
        <v>0</v>
      </c>
      <c r="N834" s="99">
        <f t="shared" ref="N834:U835" si="678">SUM(N835)</f>
        <v>3000</v>
      </c>
      <c r="O834" s="99">
        <f t="shared" si="678"/>
        <v>3000</v>
      </c>
      <c r="P834" s="99">
        <f t="shared" si="678"/>
        <v>3000</v>
      </c>
      <c r="Q834" s="99">
        <f t="shared" si="678"/>
        <v>3000</v>
      </c>
      <c r="R834" s="99">
        <f t="shared" si="678"/>
        <v>3000</v>
      </c>
      <c r="S834" s="99">
        <f t="shared" si="676"/>
        <v>3000</v>
      </c>
      <c r="T834" s="99">
        <f t="shared" si="676"/>
        <v>0</v>
      </c>
      <c r="U834" s="99">
        <f t="shared" si="676"/>
        <v>0</v>
      </c>
      <c r="V834" s="506">
        <f t="shared" si="643"/>
        <v>3000</v>
      </c>
      <c r="W834" s="506">
        <f t="shared" si="644"/>
        <v>0</v>
      </c>
      <c r="X834" s="31"/>
      <c r="Y834" s="486"/>
      <c r="Z834" s="31"/>
      <c r="AA834" s="31"/>
      <c r="AB834" s="31"/>
      <c r="AH834" s="457"/>
      <c r="AI834" s="457"/>
      <c r="AJ834" s="457"/>
      <c r="AK834" s="457"/>
      <c r="AL834" s="457"/>
    </row>
    <row r="835" spans="1:38" s="4" customFormat="1" ht="25.95" customHeight="1" x14ac:dyDescent="0.3">
      <c r="A835" s="693" t="s">
        <v>77</v>
      </c>
      <c r="B835" s="694"/>
      <c r="C835" s="513"/>
      <c r="D835" s="159"/>
      <c r="E835" s="514"/>
      <c r="F835" s="513"/>
      <c r="G835" s="514"/>
      <c r="H835" s="160">
        <f>SUM(H836)</f>
        <v>3000</v>
      </c>
      <c r="I835" s="160">
        <f t="shared" si="677"/>
        <v>3000</v>
      </c>
      <c r="J835" s="160">
        <f t="shared" si="677"/>
        <v>0</v>
      </c>
      <c r="K835" s="160">
        <f t="shared" si="677"/>
        <v>0</v>
      </c>
      <c r="L835" s="160">
        <f t="shared" si="677"/>
        <v>0</v>
      </c>
      <c r="M835" s="160">
        <f>SUM(M836)</f>
        <v>0</v>
      </c>
      <c r="N835" s="160">
        <f t="shared" si="678"/>
        <v>3000</v>
      </c>
      <c r="O835" s="160">
        <f t="shared" si="678"/>
        <v>3000</v>
      </c>
      <c r="P835" s="160">
        <f t="shared" si="678"/>
        <v>3000</v>
      </c>
      <c r="Q835" s="160">
        <f t="shared" si="678"/>
        <v>3000</v>
      </c>
      <c r="R835" s="160">
        <f t="shared" si="678"/>
        <v>3000</v>
      </c>
      <c r="S835" s="125">
        <f t="shared" si="678"/>
        <v>3000</v>
      </c>
      <c r="T835" s="125">
        <f t="shared" si="678"/>
        <v>0</v>
      </c>
      <c r="U835" s="125">
        <f t="shared" si="678"/>
        <v>0</v>
      </c>
      <c r="V835" s="506">
        <f t="shared" si="643"/>
        <v>3000</v>
      </c>
      <c r="W835" s="506">
        <f t="shared" si="644"/>
        <v>0</v>
      </c>
      <c r="X835" s="31"/>
      <c r="Y835" s="486"/>
      <c r="Z835" s="31"/>
      <c r="AA835" s="31"/>
      <c r="AB835" s="31"/>
      <c r="AH835" s="457"/>
      <c r="AI835" s="457"/>
      <c r="AJ835" s="457"/>
      <c r="AK835" s="457"/>
      <c r="AL835" s="457"/>
    </row>
    <row r="836" spans="1:38" s="4" customFormat="1" x14ac:dyDescent="0.3">
      <c r="A836" s="561">
        <v>32</v>
      </c>
      <c r="B836" s="152" t="s">
        <v>318</v>
      </c>
      <c r="C836" s="153">
        <f>SUM(C837)</f>
        <v>0</v>
      </c>
      <c r="D836" s="153"/>
      <c r="E836" s="154">
        <f t="shared" ref="E836:U837" si="679">SUM(E837)</f>
        <v>0</v>
      </c>
      <c r="F836" s="381">
        <f t="shared" si="679"/>
        <v>0</v>
      </c>
      <c r="G836" s="381">
        <f t="shared" si="679"/>
        <v>0</v>
      </c>
      <c r="H836" s="381">
        <f t="shared" si="679"/>
        <v>3000</v>
      </c>
      <c r="I836" s="381">
        <f t="shared" si="679"/>
        <v>3000</v>
      </c>
      <c r="J836" s="381">
        <f t="shared" si="679"/>
        <v>0</v>
      </c>
      <c r="K836" s="381">
        <f t="shared" si="679"/>
        <v>0</v>
      </c>
      <c r="L836" s="381">
        <f t="shared" si="679"/>
        <v>0</v>
      </c>
      <c r="M836" s="381">
        <f t="shared" si="679"/>
        <v>0</v>
      </c>
      <c r="N836" s="381">
        <f t="shared" si="679"/>
        <v>3000</v>
      </c>
      <c r="O836" s="381">
        <f t="shared" si="679"/>
        <v>3000</v>
      </c>
      <c r="P836" s="381">
        <f t="shared" si="679"/>
        <v>3000</v>
      </c>
      <c r="Q836" s="381">
        <f t="shared" si="679"/>
        <v>3000</v>
      </c>
      <c r="R836" s="381">
        <f t="shared" si="679"/>
        <v>3000</v>
      </c>
      <c r="S836" s="113">
        <f t="shared" si="679"/>
        <v>3000</v>
      </c>
      <c r="T836" s="113">
        <f t="shared" si="679"/>
        <v>0</v>
      </c>
      <c r="U836" s="113">
        <f t="shared" si="679"/>
        <v>0</v>
      </c>
      <c r="V836" s="506">
        <f t="shared" si="643"/>
        <v>3000</v>
      </c>
      <c r="W836" s="506">
        <f t="shared" si="644"/>
        <v>0</v>
      </c>
      <c r="X836" s="31"/>
      <c r="Y836" s="486"/>
      <c r="Z836" s="31"/>
      <c r="AA836" s="31"/>
      <c r="AB836" s="31"/>
      <c r="AH836" s="457"/>
      <c r="AI836" s="457"/>
      <c r="AJ836" s="457"/>
      <c r="AK836" s="457"/>
      <c r="AL836" s="457"/>
    </row>
    <row r="837" spans="1:38" s="4" customFormat="1" x14ac:dyDescent="0.3">
      <c r="A837" s="621" t="s">
        <v>149</v>
      </c>
      <c r="B837" s="289" t="s">
        <v>12</v>
      </c>
      <c r="C837" s="622">
        <f>SUM(C838)</f>
        <v>0</v>
      </c>
      <c r="D837" s="321"/>
      <c r="E837" s="321">
        <f t="shared" si="679"/>
        <v>0</v>
      </c>
      <c r="F837" s="623">
        <f t="shared" si="679"/>
        <v>0</v>
      </c>
      <c r="G837" s="623">
        <f t="shared" si="679"/>
        <v>0</v>
      </c>
      <c r="H837" s="623">
        <f t="shared" si="679"/>
        <v>3000</v>
      </c>
      <c r="I837" s="623">
        <f t="shared" si="679"/>
        <v>3000</v>
      </c>
      <c r="J837" s="623">
        <f t="shared" si="679"/>
        <v>0</v>
      </c>
      <c r="K837" s="623">
        <f t="shared" si="679"/>
        <v>0</v>
      </c>
      <c r="L837" s="623">
        <f t="shared" si="679"/>
        <v>0</v>
      </c>
      <c r="M837" s="623">
        <f t="shared" si="679"/>
        <v>0</v>
      </c>
      <c r="N837" s="318">
        <f t="shared" si="679"/>
        <v>3000</v>
      </c>
      <c r="O837" s="318">
        <f t="shared" si="679"/>
        <v>3000</v>
      </c>
      <c r="P837" s="318">
        <f t="shared" si="679"/>
        <v>3000</v>
      </c>
      <c r="Q837" s="318">
        <f t="shared" si="679"/>
        <v>3000</v>
      </c>
      <c r="R837" s="318">
        <f t="shared" si="679"/>
        <v>3000</v>
      </c>
      <c r="S837" s="70">
        <f>P837-M837</f>
        <v>3000</v>
      </c>
      <c r="T837" s="70">
        <f>P837-N837</f>
        <v>0</v>
      </c>
      <c r="U837" s="70">
        <f>Q837-O837</f>
        <v>0</v>
      </c>
      <c r="V837" s="506">
        <f t="shared" si="643"/>
        <v>3000</v>
      </c>
      <c r="W837" s="506">
        <f t="shared" si="644"/>
        <v>0</v>
      </c>
      <c r="X837" s="31"/>
      <c r="Y837" s="486"/>
      <c r="Z837" s="31"/>
      <c r="AA837" s="31"/>
      <c r="AB837" s="31"/>
      <c r="AH837" s="457"/>
      <c r="AI837" s="457"/>
      <c r="AJ837" s="457"/>
      <c r="AK837" s="457"/>
      <c r="AL837" s="457"/>
    </row>
    <row r="838" spans="1:38" s="4" customFormat="1" x14ac:dyDescent="0.3">
      <c r="A838" s="434">
        <v>3213</v>
      </c>
      <c r="B838" s="117" t="s">
        <v>15</v>
      </c>
      <c r="C838" s="108">
        <v>0</v>
      </c>
      <c r="D838" s="102"/>
      <c r="E838" s="102">
        <v>0</v>
      </c>
      <c r="F838" s="109">
        <v>0</v>
      </c>
      <c r="G838" s="109">
        <v>0</v>
      </c>
      <c r="H838" s="109">
        <v>3000</v>
      </c>
      <c r="I838" s="102">
        <v>3000</v>
      </c>
      <c r="J838" s="102"/>
      <c r="K838" s="102"/>
      <c r="L838" s="102"/>
      <c r="M838" s="63">
        <f>H838-I838+J838-K838+L838</f>
        <v>0</v>
      </c>
      <c r="N838" s="63">
        <v>3000</v>
      </c>
      <c r="O838" s="63">
        <v>3000</v>
      </c>
      <c r="P838" s="63">
        <v>3000</v>
      </c>
      <c r="Q838" s="63">
        <v>3000</v>
      </c>
      <c r="R838" s="63">
        <v>3000</v>
      </c>
      <c r="S838" s="70">
        <f>P838-M838</f>
        <v>3000</v>
      </c>
      <c r="T838" s="70">
        <f>P838-N838</f>
        <v>0</v>
      </c>
      <c r="U838" s="70">
        <f>Q838-O838</f>
        <v>0</v>
      </c>
      <c r="V838" s="506">
        <f t="shared" si="643"/>
        <v>3000</v>
      </c>
      <c r="W838" s="506">
        <f t="shared" si="644"/>
        <v>0</v>
      </c>
      <c r="X838" s="31"/>
      <c r="Y838" s="486"/>
      <c r="Z838" s="31"/>
      <c r="AA838" s="31"/>
      <c r="AB838" s="31"/>
      <c r="AH838" s="457"/>
      <c r="AI838" s="457"/>
      <c r="AJ838" s="457"/>
      <c r="AK838" s="457"/>
      <c r="AL838" s="457"/>
    </row>
    <row r="839" spans="1:38" s="4" customFormat="1" ht="26.4" x14ac:dyDescent="0.3">
      <c r="A839" s="579" t="s">
        <v>390</v>
      </c>
      <c r="B839" s="580" t="s">
        <v>388</v>
      </c>
      <c r="C839" s="581">
        <f>SUM(C841,C844)</f>
        <v>0</v>
      </c>
      <c r="D839" s="99"/>
      <c r="E839" s="99">
        <f>SUM(E841,E844)</f>
        <v>0</v>
      </c>
      <c r="F839" s="99">
        <f t="shared" ref="F839:G839" si="680">SUM(F841,F844)</f>
        <v>0</v>
      </c>
      <c r="G839" s="99">
        <f t="shared" si="680"/>
        <v>0</v>
      </c>
      <c r="H839" s="99">
        <f>SUM(H840)</f>
        <v>23000</v>
      </c>
      <c r="I839" s="99">
        <f t="shared" ref="I839:L839" si="681">SUM(I840)</f>
        <v>23000</v>
      </c>
      <c r="J839" s="99">
        <f t="shared" si="681"/>
        <v>0</v>
      </c>
      <c r="K839" s="99">
        <f t="shared" si="681"/>
        <v>0</v>
      </c>
      <c r="L839" s="99">
        <f t="shared" si="681"/>
        <v>0</v>
      </c>
      <c r="M839" s="99">
        <f>SUM(M840)</f>
        <v>0</v>
      </c>
      <c r="N839" s="99">
        <f t="shared" ref="N839:O839" si="682">SUM(N840)</f>
        <v>780000</v>
      </c>
      <c r="O839" s="99">
        <f t="shared" si="682"/>
        <v>500000</v>
      </c>
      <c r="P839" s="99">
        <f>SUM(P840)</f>
        <v>67500</v>
      </c>
      <c r="Q839" s="99">
        <f t="shared" ref="Q839:U839" si="683">SUM(Q840)</f>
        <v>204000</v>
      </c>
      <c r="R839" s="99">
        <f t="shared" si="683"/>
        <v>825000</v>
      </c>
      <c r="S839" s="99">
        <f t="shared" si="683"/>
        <v>67500</v>
      </c>
      <c r="T839" s="99">
        <f t="shared" si="683"/>
        <v>-712500</v>
      </c>
      <c r="U839" s="99">
        <f t="shared" si="683"/>
        <v>-296000</v>
      </c>
      <c r="V839" s="506">
        <f t="shared" si="643"/>
        <v>67500</v>
      </c>
      <c r="W839" s="506">
        <f t="shared" si="644"/>
        <v>0</v>
      </c>
      <c r="X839" s="31"/>
      <c r="Y839" s="486"/>
      <c r="Z839" s="31"/>
      <c r="AA839" s="31"/>
      <c r="AB839" s="31"/>
      <c r="AH839" s="457"/>
      <c r="AI839" s="457"/>
      <c r="AJ839" s="457"/>
      <c r="AK839" s="457"/>
      <c r="AL839" s="457"/>
    </row>
    <row r="840" spans="1:38" s="4" customFormat="1" x14ac:dyDescent="0.3">
      <c r="A840" s="693" t="s">
        <v>77</v>
      </c>
      <c r="B840" s="694"/>
      <c r="C840" s="513"/>
      <c r="D840" s="159"/>
      <c r="E840" s="514"/>
      <c r="F840" s="513"/>
      <c r="G840" s="514"/>
      <c r="H840" s="160">
        <f>SUM(H841,H844)</f>
        <v>23000</v>
      </c>
      <c r="I840" s="160">
        <f t="shared" ref="I840:L840" si="684">SUM(I841,I844)</f>
        <v>23000</v>
      </c>
      <c r="J840" s="160">
        <f t="shared" si="684"/>
        <v>0</v>
      </c>
      <c r="K840" s="160">
        <f t="shared" si="684"/>
        <v>0</v>
      </c>
      <c r="L840" s="160">
        <f t="shared" si="684"/>
        <v>0</v>
      </c>
      <c r="M840" s="160">
        <f>SUM(M841,M844)</f>
        <v>0</v>
      </c>
      <c r="N840" s="160">
        <f t="shared" ref="N840:O840" si="685">SUM(N841,N844)</f>
        <v>780000</v>
      </c>
      <c r="O840" s="160">
        <f t="shared" si="685"/>
        <v>500000</v>
      </c>
      <c r="P840" s="160">
        <f>SUM(P841+P844+P850)</f>
        <v>67500</v>
      </c>
      <c r="Q840" s="160">
        <f t="shared" ref="Q840:U840" si="686">SUM(Q841+Q844+Q850)</f>
        <v>204000</v>
      </c>
      <c r="R840" s="160">
        <f t="shared" si="686"/>
        <v>825000</v>
      </c>
      <c r="S840" s="160">
        <f t="shared" si="686"/>
        <v>67500</v>
      </c>
      <c r="T840" s="160">
        <f t="shared" si="686"/>
        <v>-712500</v>
      </c>
      <c r="U840" s="160">
        <f t="shared" si="686"/>
        <v>-296000</v>
      </c>
      <c r="V840" s="506">
        <f t="shared" si="643"/>
        <v>67500</v>
      </c>
      <c r="W840" s="506">
        <f t="shared" si="644"/>
        <v>0</v>
      </c>
      <c r="X840" s="31"/>
      <c r="Y840" s="486"/>
      <c r="Z840" s="31"/>
      <c r="AA840" s="31"/>
      <c r="AB840" s="31"/>
      <c r="AH840" s="457"/>
      <c r="AI840" s="457"/>
      <c r="AJ840" s="457"/>
      <c r="AK840" s="457"/>
      <c r="AL840" s="457"/>
    </row>
    <row r="841" spans="1:38" s="4" customFormat="1" hidden="1" x14ac:dyDescent="0.3">
      <c r="A841" s="561">
        <v>32</v>
      </c>
      <c r="B841" s="152" t="s">
        <v>318</v>
      </c>
      <c r="C841" s="153">
        <f>SUM(C842)</f>
        <v>0</v>
      </c>
      <c r="D841" s="153"/>
      <c r="E841" s="154">
        <f t="shared" ref="E841:T842" si="687">SUM(E842)</f>
        <v>0</v>
      </c>
      <c r="F841" s="381">
        <f t="shared" si="687"/>
        <v>0</v>
      </c>
      <c r="G841" s="381">
        <f t="shared" si="687"/>
        <v>0</v>
      </c>
      <c r="H841" s="381">
        <f t="shared" si="687"/>
        <v>3000</v>
      </c>
      <c r="I841" s="381">
        <f t="shared" si="687"/>
        <v>3000</v>
      </c>
      <c r="J841" s="381">
        <f t="shared" si="687"/>
        <v>0</v>
      </c>
      <c r="K841" s="381">
        <f t="shared" si="687"/>
        <v>0</v>
      </c>
      <c r="L841" s="381">
        <f t="shared" si="687"/>
        <v>0</v>
      </c>
      <c r="M841" s="381">
        <f t="shared" si="687"/>
        <v>0</v>
      </c>
      <c r="N841" s="381">
        <f t="shared" si="687"/>
        <v>80000</v>
      </c>
      <c r="O841" s="381">
        <f t="shared" si="687"/>
        <v>50000</v>
      </c>
      <c r="P841" s="381">
        <f t="shared" si="687"/>
        <v>0</v>
      </c>
      <c r="Q841" s="381">
        <f t="shared" si="687"/>
        <v>0</v>
      </c>
      <c r="R841" s="381">
        <f t="shared" si="687"/>
        <v>0</v>
      </c>
      <c r="S841" s="381">
        <f t="shared" si="687"/>
        <v>0</v>
      </c>
      <c r="T841" s="381">
        <f t="shared" si="687"/>
        <v>-80000</v>
      </c>
      <c r="U841" s="381">
        <f t="shared" ref="U841:U842" si="688">SUM(U842)</f>
        <v>-50000</v>
      </c>
      <c r="V841" s="506">
        <f t="shared" si="643"/>
        <v>0</v>
      </c>
      <c r="W841" s="506">
        <f t="shared" si="644"/>
        <v>0</v>
      </c>
      <c r="X841" s="31"/>
      <c r="Y841" s="486"/>
      <c r="Z841" s="31"/>
      <c r="AA841" s="31"/>
      <c r="AB841" s="31"/>
      <c r="AH841" s="457"/>
      <c r="AI841" s="457"/>
      <c r="AJ841" s="457"/>
      <c r="AK841" s="457"/>
      <c r="AL841" s="457"/>
    </row>
    <row r="842" spans="1:38" s="4" customFormat="1" hidden="1" x14ac:dyDescent="0.3">
      <c r="A842" s="621" t="s">
        <v>149</v>
      </c>
      <c r="B842" s="289" t="s">
        <v>12</v>
      </c>
      <c r="C842" s="108">
        <f>SUM(C843)</f>
        <v>0</v>
      </c>
      <c r="D842" s="102"/>
      <c r="E842" s="102">
        <f t="shared" si="687"/>
        <v>0</v>
      </c>
      <c r="F842" s="109">
        <f t="shared" si="687"/>
        <v>0</v>
      </c>
      <c r="G842" s="109">
        <f t="shared" si="687"/>
        <v>0</v>
      </c>
      <c r="H842" s="623">
        <f t="shared" si="687"/>
        <v>3000</v>
      </c>
      <c r="I842" s="623">
        <f t="shared" si="687"/>
        <v>3000</v>
      </c>
      <c r="J842" s="623">
        <f t="shared" si="687"/>
        <v>0</v>
      </c>
      <c r="K842" s="623">
        <f t="shared" si="687"/>
        <v>0</v>
      </c>
      <c r="L842" s="623">
        <f t="shared" si="687"/>
        <v>0</v>
      </c>
      <c r="M842" s="623">
        <f t="shared" si="687"/>
        <v>0</v>
      </c>
      <c r="N842" s="318">
        <f t="shared" si="687"/>
        <v>80000</v>
      </c>
      <c r="O842" s="318">
        <f t="shared" si="687"/>
        <v>50000</v>
      </c>
      <c r="P842" s="318">
        <f t="shared" si="687"/>
        <v>0</v>
      </c>
      <c r="Q842" s="318">
        <f t="shared" si="687"/>
        <v>0</v>
      </c>
      <c r="R842" s="318">
        <f t="shared" si="687"/>
        <v>0</v>
      </c>
      <c r="S842" s="318">
        <f t="shared" si="687"/>
        <v>0</v>
      </c>
      <c r="T842" s="318">
        <f t="shared" si="687"/>
        <v>-80000</v>
      </c>
      <c r="U842" s="318">
        <f t="shared" si="688"/>
        <v>-50000</v>
      </c>
      <c r="V842" s="506">
        <f t="shared" si="643"/>
        <v>0</v>
      </c>
      <c r="W842" s="506">
        <f t="shared" si="644"/>
        <v>0</v>
      </c>
      <c r="X842" s="31"/>
      <c r="Y842" s="486"/>
      <c r="Z842" s="31"/>
      <c r="AA842" s="31"/>
      <c r="AB842" s="31"/>
      <c r="AH842" s="457"/>
      <c r="AI842" s="457"/>
      <c r="AJ842" s="457"/>
      <c r="AK842" s="457"/>
      <c r="AL842" s="457"/>
    </row>
    <row r="843" spans="1:38" s="4" customFormat="1" hidden="1" x14ac:dyDescent="0.3">
      <c r="A843" s="434">
        <v>3213</v>
      </c>
      <c r="B843" s="117" t="s">
        <v>15</v>
      </c>
      <c r="C843" s="108">
        <v>0</v>
      </c>
      <c r="D843" s="102"/>
      <c r="E843" s="102">
        <v>0</v>
      </c>
      <c r="F843" s="109">
        <v>0</v>
      </c>
      <c r="G843" s="109">
        <v>0</v>
      </c>
      <c r="H843" s="109">
        <v>3000</v>
      </c>
      <c r="I843" s="102">
        <v>3000</v>
      </c>
      <c r="J843" s="102"/>
      <c r="K843" s="102"/>
      <c r="L843" s="102"/>
      <c r="M843" s="63">
        <f>H843-I843+J843-K843+L843</f>
        <v>0</v>
      </c>
      <c r="N843" s="63">
        <v>80000</v>
      </c>
      <c r="O843" s="63">
        <v>50000</v>
      </c>
      <c r="P843" s="63"/>
      <c r="Q843" s="63"/>
      <c r="R843" s="63"/>
      <c r="S843" s="70">
        <f>P843-M843</f>
        <v>0</v>
      </c>
      <c r="T843" s="70">
        <f>P843-N843</f>
        <v>-80000</v>
      </c>
      <c r="U843" s="70">
        <f>Q843-O843</f>
        <v>-50000</v>
      </c>
      <c r="V843" s="506">
        <f t="shared" si="643"/>
        <v>0</v>
      </c>
      <c r="W843" s="506">
        <f t="shared" si="644"/>
        <v>0</v>
      </c>
      <c r="X843" s="31"/>
      <c r="Y843" s="486"/>
      <c r="Z843" s="31"/>
      <c r="AA843" s="31"/>
      <c r="AB843" s="31"/>
      <c r="AH843" s="457"/>
      <c r="AI843" s="457"/>
      <c r="AJ843" s="457"/>
      <c r="AK843" s="457"/>
      <c r="AL843" s="457"/>
    </row>
    <row r="844" spans="1:38" s="4" customFormat="1" ht="25.2" customHeight="1" x14ac:dyDescent="0.3">
      <c r="A844" s="610">
        <v>42</v>
      </c>
      <c r="B844" s="571" t="s">
        <v>324</v>
      </c>
      <c r="C844" s="599">
        <f t="shared" ref="C844:U845" si="689">SUM(C845)</f>
        <v>0</v>
      </c>
      <c r="D844" s="148"/>
      <c r="E844" s="148">
        <f t="shared" si="689"/>
        <v>0</v>
      </c>
      <c r="F844" s="148">
        <f t="shared" si="689"/>
        <v>0</v>
      </c>
      <c r="G844" s="148">
        <f t="shared" si="689"/>
        <v>0</v>
      </c>
      <c r="H844" s="148">
        <f t="shared" si="689"/>
        <v>20000</v>
      </c>
      <c r="I844" s="148">
        <f t="shared" si="689"/>
        <v>20000</v>
      </c>
      <c r="J844" s="148">
        <f t="shared" si="689"/>
        <v>0</v>
      </c>
      <c r="K844" s="148">
        <f t="shared" si="689"/>
        <v>0</v>
      </c>
      <c r="L844" s="148">
        <f t="shared" si="689"/>
        <v>0</v>
      </c>
      <c r="M844" s="148">
        <f t="shared" si="689"/>
        <v>0</v>
      </c>
      <c r="N844" s="148">
        <f t="shared" si="689"/>
        <v>700000</v>
      </c>
      <c r="O844" s="148">
        <f t="shared" si="689"/>
        <v>450000</v>
      </c>
      <c r="P844" s="148">
        <f>P845+P847</f>
        <v>22500</v>
      </c>
      <c r="Q844" s="148">
        <f t="shared" ref="Q844:U844" si="690">Q845+Q847</f>
        <v>99000</v>
      </c>
      <c r="R844" s="148">
        <f t="shared" si="690"/>
        <v>675000</v>
      </c>
      <c r="S844" s="148">
        <f t="shared" si="690"/>
        <v>22500</v>
      </c>
      <c r="T844" s="148">
        <f t="shared" si="690"/>
        <v>-677500</v>
      </c>
      <c r="U844" s="148">
        <f t="shared" si="690"/>
        <v>-351000</v>
      </c>
      <c r="V844" s="506">
        <f t="shared" ref="V844:V907" si="691">P844-M844</f>
        <v>22500</v>
      </c>
      <c r="W844" s="506">
        <f t="shared" ref="W844:W907" si="692">S844-V844</f>
        <v>0</v>
      </c>
      <c r="X844" s="31"/>
      <c r="Y844" s="486"/>
      <c r="Z844" s="31"/>
      <c r="AA844" s="31"/>
      <c r="AB844" s="31"/>
      <c r="AH844" s="457"/>
      <c r="AI844" s="457"/>
      <c r="AJ844" s="457"/>
      <c r="AK844" s="457"/>
      <c r="AL844" s="457"/>
    </row>
    <row r="845" spans="1:38" s="4" customFormat="1" hidden="1" x14ac:dyDescent="0.3">
      <c r="A845" s="607">
        <v>422</v>
      </c>
      <c r="B845" s="126" t="s">
        <v>53</v>
      </c>
      <c r="C845" s="559">
        <f>SUM(C846)</f>
        <v>0</v>
      </c>
      <c r="D845" s="79"/>
      <c r="E845" s="369">
        <f t="shared" si="689"/>
        <v>0</v>
      </c>
      <c r="F845" s="369">
        <f t="shared" si="689"/>
        <v>0</v>
      </c>
      <c r="G845" s="369">
        <f t="shared" si="689"/>
        <v>0</v>
      </c>
      <c r="H845" s="369">
        <f t="shared" si="689"/>
        <v>20000</v>
      </c>
      <c r="I845" s="369">
        <f t="shared" si="689"/>
        <v>20000</v>
      </c>
      <c r="J845" s="369">
        <f t="shared" si="689"/>
        <v>0</v>
      </c>
      <c r="K845" s="369">
        <f t="shared" si="689"/>
        <v>0</v>
      </c>
      <c r="L845" s="369">
        <f t="shared" si="689"/>
        <v>0</v>
      </c>
      <c r="M845" s="369">
        <f t="shared" si="689"/>
        <v>0</v>
      </c>
      <c r="N845" s="369">
        <f t="shared" si="689"/>
        <v>700000</v>
      </c>
      <c r="O845" s="369">
        <f t="shared" si="689"/>
        <v>450000</v>
      </c>
      <c r="P845" s="369">
        <f>SUM(P846)</f>
        <v>0</v>
      </c>
      <c r="Q845" s="369">
        <f t="shared" si="689"/>
        <v>0</v>
      </c>
      <c r="R845" s="369">
        <f t="shared" si="689"/>
        <v>0</v>
      </c>
      <c r="S845" s="369">
        <f t="shared" si="689"/>
        <v>0</v>
      </c>
      <c r="T845" s="369">
        <f t="shared" si="689"/>
        <v>-700000</v>
      </c>
      <c r="U845" s="369">
        <f t="shared" si="689"/>
        <v>-450000</v>
      </c>
      <c r="V845" s="506">
        <f t="shared" si="691"/>
        <v>0</v>
      </c>
      <c r="W845" s="506">
        <f t="shared" si="692"/>
        <v>0</v>
      </c>
      <c r="X845" s="31"/>
      <c r="Y845" s="486"/>
      <c r="Z845" s="31"/>
      <c r="AA845" s="31"/>
      <c r="AB845" s="31"/>
      <c r="AH845" s="457"/>
      <c r="AI845" s="457"/>
      <c r="AJ845" s="457"/>
      <c r="AK845" s="457"/>
      <c r="AL845" s="457"/>
    </row>
    <row r="846" spans="1:38" s="4" customFormat="1" hidden="1" x14ac:dyDescent="0.3">
      <c r="A846" s="434">
        <v>4223</v>
      </c>
      <c r="B846" s="117" t="s">
        <v>59</v>
      </c>
      <c r="C846" s="108">
        <v>0</v>
      </c>
      <c r="D846" s="102"/>
      <c r="E846" s="102">
        <v>0</v>
      </c>
      <c r="F846" s="109">
        <v>0</v>
      </c>
      <c r="G846" s="109">
        <v>0</v>
      </c>
      <c r="H846" s="109">
        <v>20000</v>
      </c>
      <c r="I846" s="102">
        <v>20000</v>
      </c>
      <c r="J846" s="102"/>
      <c r="K846" s="102"/>
      <c r="L846" s="102"/>
      <c r="M846" s="63">
        <f>H846-I846+J846-K846+L846</f>
        <v>0</v>
      </c>
      <c r="N846" s="63">
        <v>700000</v>
      </c>
      <c r="O846" s="63">
        <v>450000</v>
      </c>
      <c r="P846" s="63"/>
      <c r="Q846" s="63"/>
      <c r="R846" s="63"/>
      <c r="S846" s="70">
        <f>P846-M846</f>
        <v>0</v>
      </c>
      <c r="T846" s="70">
        <f t="shared" ref="T846:U849" si="693">P846-N846</f>
        <v>-700000</v>
      </c>
      <c r="U846" s="70">
        <f t="shared" si="693"/>
        <v>-450000</v>
      </c>
      <c r="V846" s="506">
        <f t="shared" si="691"/>
        <v>0</v>
      </c>
      <c r="W846" s="506">
        <f t="shared" si="692"/>
        <v>0</v>
      </c>
      <c r="X846" s="31"/>
      <c r="Y846" s="486"/>
      <c r="Z846" s="31"/>
      <c r="AA846" s="31"/>
      <c r="AB846" s="31"/>
      <c r="AH846" s="457"/>
      <c r="AI846" s="457"/>
      <c r="AJ846" s="457"/>
      <c r="AK846" s="457"/>
      <c r="AL846" s="457"/>
    </row>
    <row r="847" spans="1:38" s="4" customFormat="1" x14ac:dyDescent="0.3">
      <c r="A847" s="607">
        <v>423</v>
      </c>
      <c r="B847" s="119" t="s">
        <v>61</v>
      </c>
      <c r="C847" s="559"/>
      <c r="D847" s="79"/>
      <c r="E847" s="79"/>
      <c r="F847" s="79"/>
      <c r="G847" s="79"/>
      <c r="H847" s="79"/>
      <c r="I847" s="79"/>
      <c r="J847" s="79"/>
      <c r="K847" s="79"/>
      <c r="L847" s="79"/>
      <c r="M847" s="79"/>
      <c r="N847" s="79"/>
      <c r="O847" s="79"/>
      <c r="P847" s="79">
        <f>SUM(P848:P849)</f>
        <v>22500</v>
      </c>
      <c r="Q847" s="79">
        <f t="shared" ref="Q847:R847" si="694">SUM(Q848:Q849)</f>
        <v>99000</v>
      </c>
      <c r="R847" s="79">
        <f t="shared" si="694"/>
        <v>675000</v>
      </c>
      <c r="S847" s="316">
        <f>P847-M847</f>
        <v>22500</v>
      </c>
      <c r="T847" s="316">
        <f t="shared" si="693"/>
        <v>22500</v>
      </c>
      <c r="U847" s="316">
        <f t="shared" si="693"/>
        <v>99000</v>
      </c>
      <c r="V847" s="506">
        <f t="shared" si="691"/>
        <v>22500</v>
      </c>
      <c r="W847" s="506">
        <f t="shared" si="692"/>
        <v>0</v>
      </c>
      <c r="X847" s="31"/>
      <c r="Y847" s="486"/>
      <c r="Z847" s="31"/>
      <c r="AA847" s="31"/>
      <c r="AB847" s="31"/>
      <c r="AH847" s="457"/>
      <c r="AI847" s="457"/>
      <c r="AJ847" s="457"/>
      <c r="AK847" s="457"/>
      <c r="AL847" s="457"/>
    </row>
    <row r="848" spans="1:38" s="4" customFormat="1" x14ac:dyDescent="0.3">
      <c r="A848" s="434">
        <v>4231</v>
      </c>
      <c r="B848" s="117" t="s">
        <v>62</v>
      </c>
      <c r="C848" s="108"/>
      <c r="D848" s="102"/>
      <c r="E848" s="102"/>
      <c r="F848" s="102"/>
      <c r="G848" s="102"/>
      <c r="H848" s="102"/>
      <c r="I848" s="102"/>
      <c r="J848" s="102"/>
      <c r="K848" s="102"/>
      <c r="L848" s="102"/>
      <c r="M848" s="63"/>
      <c r="N848" s="63"/>
      <c r="O848" s="63"/>
      <c r="P848" s="63">
        <v>7500</v>
      </c>
      <c r="Q848" s="63">
        <v>27000</v>
      </c>
      <c r="R848" s="63"/>
      <c r="S848" s="70">
        <f>P848-M848</f>
        <v>7500</v>
      </c>
      <c r="T848" s="70">
        <f t="shared" si="693"/>
        <v>7500</v>
      </c>
      <c r="U848" s="70">
        <f t="shared" si="693"/>
        <v>27000</v>
      </c>
      <c r="V848" s="506">
        <f t="shared" si="691"/>
        <v>7500</v>
      </c>
      <c r="W848" s="506">
        <f t="shared" si="692"/>
        <v>0</v>
      </c>
      <c r="X848" s="31"/>
      <c r="Y848" s="486"/>
      <c r="Z848" s="31"/>
      <c r="AA848" s="31"/>
      <c r="AB848" s="31"/>
      <c r="AH848" s="457"/>
      <c r="AI848" s="457"/>
      <c r="AJ848" s="457"/>
      <c r="AK848" s="457"/>
      <c r="AL848" s="457"/>
    </row>
    <row r="849" spans="1:38" x14ac:dyDescent="0.3">
      <c r="A849" s="434">
        <v>4233</v>
      </c>
      <c r="B849" s="117" t="s">
        <v>227</v>
      </c>
      <c r="C849" s="108">
        <v>498000</v>
      </c>
      <c r="D849" s="102"/>
      <c r="E849" s="102">
        <v>0</v>
      </c>
      <c r="F849" s="109">
        <v>597000</v>
      </c>
      <c r="G849" s="109">
        <v>647000</v>
      </c>
      <c r="H849" s="109"/>
      <c r="I849" s="109"/>
      <c r="J849" s="109"/>
      <c r="K849" s="109"/>
      <c r="L849" s="109"/>
      <c r="M849" s="109"/>
      <c r="N849" s="109"/>
      <c r="O849" s="109"/>
      <c r="P849" s="102">
        <v>15000</v>
      </c>
      <c r="Q849" s="102">
        <v>72000</v>
      </c>
      <c r="R849" s="102">
        <v>675000</v>
      </c>
      <c r="S849" s="70">
        <f>P849-M849</f>
        <v>15000</v>
      </c>
      <c r="T849" s="70">
        <f t="shared" si="693"/>
        <v>15000</v>
      </c>
      <c r="U849" s="70">
        <f t="shared" si="693"/>
        <v>72000</v>
      </c>
      <c r="V849" s="506">
        <f t="shared" si="691"/>
        <v>15000</v>
      </c>
      <c r="W849" s="506">
        <f t="shared" si="692"/>
        <v>0</v>
      </c>
      <c r="X849" s="31"/>
      <c r="Y849" s="486"/>
      <c r="Z849" s="31"/>
      <c r="AA849" s="31"/>
      <c r="AB849" s="31"/>
    </row>
    <row r="850" spans="1:38" s="4" customFormat="1" ht="26.4" x14ac:dyDescent="0.3">
      <c r="A850" s="610">
        <v>45</v>
      </c>
      <c r="B850" s="571" t="s">
        <v>326</v>
      </c>
      <c r="C850" s="599">
        <f t="shared" ref="C850:G851" si="695">SUM(C851)</f>
        <v>0</v>
      </c>
      <c r="D850" s="148"/>
      <c r="E850" s="148">
        <f t="shared" si="695"/>
        <v>0</v>
      </c>
      <c r="F850" s="148">
        <f t="shared" si="695"/>
        <v>0</v>
      </c>
      <c r="G850" s="148">
        <f t="shared" si="695"/>
        <v>0</v>
      </c>
      <c r="H850" s="148"/>
      <c r="I850" s="148"/>
      <c r="J850" s="148"/>
      <c r="K850" s="148"/>
      <c r="L850" s="148"/>
      <c r="M850" s="148"/>
      <c r="N850" s="148"/>
      <c r="O850" s="148"/>
      <c r="P850" s="148">
        <f>SUM(P851)</f>
        <v>45000</v>
      </c>
      <c r="Q850" s="148">
        <f t="shared" ref="Q850:R851" si="696">SUM(Q851)</f>
        <v>105000</v>
      </c>
      <c r="R850" s="148">
        <f t="shared" si="696"/>
        <v>150000</v>
      </c>
      <c r="S850" s="113">
        <f>SUM(S851)</f>
        <v>45000</v>
      </c>
      <c r="T850" s="113">
        <f t="shared" ref="T850:U851" si="697">SUM(T851)</f>
        <v>45000</v>
      </c>
      <c r="U850" s="113">
        <f t="shared" si="697"/>
        <v>105000</v>
      </c>
      <c r="V850" s="506">
        <f t="shared" si="691"/>
        <v>45000</v>
      </c>
      <c r="W850" s="506">
        <f t="shared" si="692"/>
        <v>0</v>
      </c>
      <c r="X850" s="31"/>
      <c r="Y850" s="486"/>
      <c r="Z850" s="31"/>
      <c r="AA850" s="31"/>
      <c r="AB850" s="31"/>
      <c r="AH850" s="457"/>
      <c r="AI850" s="457"/>
      <c r="AJ850" s="457"/>
      <c r="AK850" s="457"/>
      <c r="AL850" s="457"/>
    </row>
    <row r="851" spans="1:38" s="11" customFormat="1" x14ac:dyDescent="0.3">
      <c r="A851" s="607">
        <v>451</v>
      </c>
      <c r="B851" s="119" t="s">
        <v>55</v>
      </c>
      <c r="C851" s="559">
        <f t="shared" si="695"/>
        <v>0</v>
      </c>
      <c r="D851" s="79"/>
      <c r="E851" s="79">
        <f t="shared" si="695"/>
        <v>0</v>
      </c>
      <c r="F851" s="79">
        <f t="shared" si="695"/>
        <v>0</v>
      </c>
      <c r="G851" s="79">
        <f t="shared" si="695"/>
        <v>0</v>
      </c>
      <c r="H851" s="79"/>
      <c r="I851" s="79"/>
      <c r="J851" s="79"/>
      <c r="K851" s="79"/>
      <c r="L851" s="79"/>
      <c r="M851" s="79"/>
      <c r="N851" s="79"/>
      <c r="O851" s="79"/>
      <c r="P851" s="79">
        <f>SUM(P852)</f>
        <v>45000</v>
      </c>
      <c r="Q851" s="79">
        <f t="shared" si="696"/>
        <v>105000</v>
      </c>
      <c r="R851" s="79">
        <f t="shared" si="696"/>
        <v>150000</v>
      </c>
      <c r="S851" s="79">
        <f>SUM(S852)</f>
        <v>45000</v>
      </c>
      <c r="T851" s="79">
        <f t="shared" si="697"/>
        <v>45000</v>
      </c>
      <c r="U851" s="79">
        <f t="shared" si="697"/>
        <v>105000</v>
      </c>
      <c r="V851" s="506">
        <f t="shared" si="691"/>
        <v>45000</v>
      </c>
      <c r="W851" s="506">
        <f t="shared" si="692"/>
        <v>0</v>
      </c>
      <c r="X851" s="34"/>
      <c r="Y851" s="490"/>
      <c r="Z851" s="34"/>
      <c r="AA851" s="34"/>
      <c r="AB851" s="34"/>
      <c r="AH851" s="549"/>
      <c r="AI851" s="549"/>
      <c r="AJ851" s="549"/>
      <c r="AK851" s="549"/>
      <c r="AL851" s="549"/>
    </row>
    <row r="852" spans="1:38" s="4" customFormat="1" x14ac:dyDescent="0.3">
      <c r="A852" s="434">
        <v>4511</v>
      </c>
      <c r="B852" s="117" t="s">
        <v>55</v>
      </c>
      <c r="C852" s="108">
        <v>0</v>
      </c>
      <c r="D852" s="102"/>
      <c r="E852" s="102">
        <v>0</v>
      </c>
      <c r="F852" s="109"/>
      <c r="G852" s="109"/>
      <c r="H852" s="109"/>
      <c r="I852" s="110"/>
      <c r="J852" s="102"/>
      <c r="K852" s="102"/>
      <c r="L852" s="102"/>
      <c r="M852" s="63"/>
      <c r="N852" s="63"/>
      <c r="O852" s="63"/>
      <c r="P852" s="63">
        <v>45000</v>
      </c>
      <c r="Q852" s="63">
        <v>105000</v>
      </c>
      <c r="R852" s="63">
        <v>150000</v>
      </c>
      <c r="S852" s="70">
        <f>P852-M852</f>
        <v>45000</v>
      </c>
      <c r="T852" s="70">
        <f>P852-N852</f>
        <v>45000</v>
      </c>
      <c r="U852" s="70">
        <f>Q852-O852</f>
        <v>105000</v>
      </c>
      <c r="V852" s="506">
        <f t="shared" si="691"/>
        <v>45000</v>
      </c>
      <c r="W852" s="506">
        <f t="shared" si="692"/>
        <v>0</v>
      </c>
      <c r="X852" s="31"/>
      <c r="Y852" s="486"/>
      <c r="Z852" s="31"/>
      <c r="AA852" s="31"/>
      <c r="AB852" s="31"/>
      <c r="AH852" s="457"/>
      <c r="AI852" s="457"/>
      <c r="AJ852" s="457"/>
      <c r="AK852" s="457"/>
      <c r="AL852" s="457"/>
    </row>
    <row r="853" spans="1:38" s="4" customFormat="1" ht="52.8" x14ac:dyDescent="0.3">
      <c r="A853" s="579" t="s">
        <v>389</v>
      </c>
      <c r="B853" s="580" t="s">
        <v>393</v>
      </c>
      <c r="C853" s="624"/>
      <c r="D853" s="127"/>
      <c r="E853" s="127"/>
      <c r="F853" s="625"/>
      <c r="G853" s="625"/>
      <c r="H853" s="373">
        <f>SUM(H854)</f>
        <v>25000</v>
      </c>
      <c r="I853" s="373">
        <f t="shared" ref="I853:L853" si="698">SUM(I854)</f>
        <v>4000</v>
      </c>
      <c r="J853" s="373">
        <f t="shared" si="698"/>
        <v>30000</v>
      </c>
      <c r="K853" s="373">
        <f t="shared" si="698"/>
        <v>0</v>
      </c>
      <c r="L853" s="373">
        <f t="shared" si="698"/>
        <v>0</v>
      </c>
      <c r="M853" s="373">
        <f>SUM(M854)</f>
        <v>51000</v>
      </c>
      <c r="N853" s="373">
        <f t="shared" ref="N853:U853" si="699">SUM(N854)</f>
        <v>14000</v>
      </c>
      <c r="O853" s="373">
        <f t="shared" si="699"/>
        <v>0</v>
      </c>
      <c r="P853" s="373">
        <f t="shared" si="699"/>
        <v>37500</v>
      </c>
      <c r="Q853" s="373">
        <f t="shared" si="699"/>
        <v>0</v>
      </c>
      <c r="R853" s="373">
        <f t="shared" si="699"/>
        <v>0</v>
      </c>
      <c r="S853" s="373">
        <f t="shared" si="699"/>
        <v>-13500</v>
      </c>
      <c r="T853" s="373">
        <f t="shared" si="699"/>
        <v>23500</v>
      </c>
      <c r="U853" s="373">
        <f t="shared" si="699"/>
        <v>0</v>
      </c>
      <c r="V853" s="506">
        <f t="shared" si="691"/>
        <v>-13500</v>
      </c>
      <c r="W853" s="506">
        <f t="shared" si="692"/>
        <v>0</v>
      </c>
      <c r="X853" s="31"/>
      <c r="Y853" s="486"/>
      <c r="Z853" s="31"/>
      <c r="AA853" s="31"/>
      <c r="AB853" s="31"/>
      <c r="AH853" s="457"/>
      <c r="AI853" s="457"/>
      <c r="AJ853" s="457"/>
      <c r="AK853" s="457"/>
      <c r="AL853" s="457"/>
    </row>
    <row r="854" spans="1:38" s="4" customFormat="1" x14ac:dyDescent="0.3">
      <c r="A854" s="693" t="s">
        <v>77</v>
      </c>
      <c r="B854" s="694"/>
      <c r="C854" s="626"/>
      <c r="D854" s="161"/>
      <c r="E854" s="161"/>
      <c r="F854" s="627"/>
      <c r="G854" s="627"/>
      <c r="H854" s="374">
        <f>SUM(H855,H858)</f>
        <v>25000</v>
      </c>
      <c r="I854" s="374">
        <f t="shared" ref="I854:L854" si="700">SUM(I855,I858)</f>
        <v>4000</v>
      </c>
      <c r="J854" s="374">
        <f t="shared" si="700"/>
        <v>30000</v>
      </c>
      <c r="K854" s="374">
        <f t="shared" si="700"/>
        <v>0</v>
      </c>
      <c r="L854" s="374">
        <f t="shared" si="700"/>
        <v>0</v>
      </c>
      <c r="M854" s="374">
        <f>SUM(M855,M858)</f>
        <v>51000</v>
      </c>
      <c r="N854" s="374">
        <f t="shared" ref="N854:U854" si="701">SUM(N855,N858)</f>
        <v>14000</v>
      </c>
      <c r="O854" s="374">
        <f t="shared" si="701"/>
        <v>0</v>
      </c>
      <c r="P854" s="374">
        <f t="shared" si="701"/>
        <v>37500</v>
      </c>
      <c r="Q854" s="374">
        <f t="shared" si="701"/>
        <v>0</v>
      </c>
      <c r="R854" s="374">
        <f t="shared" si="701"/>
        <v>0</v>
      </c>
      <c r="S854" s="369">
        <f t="shared" si="701"/>
        <v>-13500</v>
      </c>
      <c r="T854" s="369">
        <f t="shared" si="701"/>
        <v>23500</v>
      </c>
      <c r="U854" s="369">
        <f t="shared" si="701"/>
        <v>0</v>
      </c>
      <c r="V854" s="506">
        <f t="shared" si="691"/>
        <v>-13500</v>
      </c>
      <c r="W854" s="506">
        <f t="shared" si="692"/>
        <v>0</v>
      </c>
      <c r="X854" s="31"/>
      <c r="Y854" s="486"/>
      <c r="Z854" s="31"/>
      <c r="AA854" s="31"/>
      <c r="AB854" s="31"/>
      <c r="AD854" s="25"/>
      <c r="AH854" s="457"/>
      <c r="AI854" s="457"/>
      <c r="AJ854" s="457"/>
      <c r="AK854" s="457"/>
      <c r="AL854" s="457"/>
    </row>
    <row r="855" spans="1:38" s="4" customFormat="1" x14ac:dyDescent="0.3">
      <c r="A855" s="610">
        <v>31</v>
      </c>
      <c r="B855" s="611" t="s">
        <v>316</v>
      </c>
      <c r="C855" s="628"/>
      <c r="D855" s="155"/>
      <c r="E855" s="155"/>
      <c r="F855" s="629"/>
      <c r="G855" s="629"/>
      <c r="H855" s="381">
        <f>SUM(H856)</f>
        <v>4000</v>
      </c>
      <c r="I855" s="381">
        <f t="shared" ref="I855:L856" si="702">SUM(I856)</f>
        <v>4000</v>
      </c>
      <c r="J855" s="381">
        <f t="shared" si="702"/>
        <v>0</v>
      </c>
      <c r="K855" s="381">
        <f t="shared" si="702"/>
        <v>0</v>
      </c>
      <c r="L855" s="381">
        <f t="shared" si="702"/>
        <v>0</v>
      </c>
      <c r="M855" s="381">
        <f>SUM(M856)</f>
        <v>0</v>
      </c>
      <c r="N855" s="381">
        <f t="shared" ref="N855:U856" si="703">SUM(N856)</f>
        <v>4000</v>
      </c>
      <c r="O855" s="381">
        <f t="shared" si="703"/>
        <v>0</v>
      </c>
      <c r="P855" s="381">
        <f t="shared" si="703"/>
        <v>8000</v>
      </c>
      <c r="Q855" s="381">
        <f t="shared" si="703"/>
        <v>0</v>
      </c>
      <c r="R855" s="381">
        <f t="shared" si="703"/>
        <v>0</v>
      </c>
      <c r="S855" s="600">
        <f t="shared" si="703"/>
        <v>8000</v>
      </c>
      <c r="T855" s="600">
        <f t="shared" si="703"/>
        <v>4000</v>
      </c>
      <c r="U855" s="600">
        <f t="shared" si="703"/>
        <v>0</v>
      </c>
      <c r="V855" s="506">
        <f t="shared" si="691"/>
        <v>8000</v>
      </c>
      <c r="W855" s="506">
        <f t="shared" si="692"/>
        <v>0</v>
      </c>
      <c r="X855" s="31"/>
      <c r="Y855" s="486"/>
      <c r="Z855" s="31"/>
      <c r="AA855" s="31"/>
      <c r="AB855" s="31"/>
      <c r="AH855" s="457"/>
      <c r="AI855" s="457"/>
      <c r="AJ855" s="457"/>
      <c r="AK855" s="457"/>
      <c r="AL855" s="457"/>
    </row>
    <row r="856" spans="1:38" s="4" customFormat="1" x14ac:dyDescent="0.3">
      <c r="A856" s="607">
        <v>311</v>
      </c>
      <c r="B856" s="119" t="s">
        <v>4</v>
      </c>
      <c r="C856" s="108"/>
      <c r="D856" s="102"/>
      <c r="E856" s="102"/>
      <c r="F856" s="109"/>
      <c r="G856" s="109"/>
      <c r="H856" s="369">
        <f>SUM(H857)</f>
        <v>4000</v>
      </c>
      <c r="I856" s="369">
        <f t="shared" si="702"/>
        <v>4000</v>
      </c>
      <c r="J856" s="369">
        <f t="shared" si="702"/>
        <v>0</v>
      </c>
      <c r="K856" s="369">
        <f t="shared" si="702"/>
        <v>0</v>
      </c>
      <c r="L856" s="369">
        <f t="shared" si="702"/>
        <v>0</v>
      </c>
      <c r="M856" s="369">
        <f>SUM(M857)</f>
        <v>0</v>
      </c>
      <c r="N856" s="369">
        <f t="shared" si="703"/>
        <v>4000</v>
      </c>
      <c r="O856" s="369">
        <f t="shared" si="703"/>
        <v>0</v>
      </c>
      <c r="P856" s="369">
        <f t="shared" si="703"/>
        <v>8000</v>
      </c>
      <c r="Q856" s="369">
        <f t="shared" si="703"/>
        <v>0</v>
      </c>
      <c r="R856" s="369">
        <f t="shared" si="703"/>
        <v>0</v>
      </c>
      <c r="S856" s="369">
        <f t="shared" si="703"/>
        <v>8000</v>
      </c>
      <c r="T856" s="369">
        <f t="shared" si="703"/>
        <v>4000</v>
      </c>
      <c r="U856" s="369">
        <f t="shared" si="703"/>
        <v>0</v>
      </c>
      <c r="V856" s="506">
        <f t="shared" si="691"/>
        <v>8000</v>
      </c>
      <c r="W856" s="506">
        <f t="shared" si="692"/>
        <v>0</v>
      </c>
      <c r="X856" s="31"/>
      <c r="Y856" s="486"/>
      <c r="Z856" s="31"/>
      <c r="AA856" s="31"/>
      <c r="AB856" s="31"/>
      <c r="AH856" s="457"/>
      <c r="AI856" s="457"/>
      <c r="AJ856" s="457"/>
      <c r="AK856" s="457"/>
      <c r="AL856" s="457"/>
    </row>
    <row r="857" spans="1:38" s="4" customFormat="1" x14ac:dyDescent="0.3">
      <c r="A857" s="434">
        <v>3111</v>
      </c>
      <c r="B857" s="117" t="s">
        <v>5</v>
      </c>
      <c r="C857" s="108"/>
      <c r="D857" s="102"/>
      <c r="E857" s="102"/>
      <c r="F857" s="109"/>
      <c r="G857" s="109"/>
      <c r="H857" s="109">
        <v>4000</v>
      </c>
      <c r="I857" s="102">
        <v>4000</v>
      </c>
      <c r="J857" s="102"/>
      <c r="K857" s="102"/>
      <c r="L857" s="102"/>
      <c r="M857" s="63">
        <f>H857-I857+J857-K857+L857</f>
        <v>0</v>
      </c>
      <c r="N857" s="63">
        <v>4000</v>
      </c>
      <c r="O857" s="63"/>
      <c r="P857" s="63">
        <v>8000</v>
      </c>
      <c r="Q857" s="63"/>
      <c r="R857" s="63"/>
      <c r="S857" s="70">
        <f>P857-M857</f>
        <v>8000</v>
      </c>
      <c r="T857" s="70">
        <f>P857-N857</f>
        <v>4000</v>
      </c>
      <c r="U857" s="70">
        <f>Q857-O857</f>
        <v>0</v>
      </c>
      <c r="V857" s="506">
        <f t="shared" si="691"/>
        <v>8000</v>
      </c>
      <c r="W857" s="506">
        <f t="shared" si="692"/>
        <v>0</v>
      </c>
      <c r="X857" s="31"/>
      <c r="Y857" s="500" t="s">
        <v>477</v>
      </c>
      <c r="Z857" s="31"/>
      <c r="AA857" s="31"/>
      <c r="AB857" s="31"/>
      <c r="AH857" s="457"/>
      <c r="AI857" s="457"/>
      <c r="AJ857" s="457"/>
      <c r="AK857" s="457"/>
      <c r="AL857" s="457"/>
    </row>
    <row r="858" spans="1:38" s="4" customFormat="1" x14ac:dyDescent="0.3">
      <c r="A858" s="561">
        <v>32</v>
      </c>
      <c r="B858" s="562" t="s">
        <v>318</v>
      </c>
      <c r="C858" s="628"/>
      <c r="D858" s="155"/>
      <c r="E858" s="155"/>
      <c r="F858" s="629"/>
      <c r="G858" s="629"/>
      <c r="H858" s="381">
        <f>SUM(H859,H862,H866,H870)</f>
        <v>21000</v>
      </c>
      <c r="I858" s="381">
        <f t="shared" ref="I858:L858" si="704">SUM(I859,I862,I866,I870)</f>
        <v>0</v>
      </c>
      <c r="J858" s="381">
        <f t="shared" si="704"/>
        <v>30000</v>
      </c>
      <c r="K858" s="381">
        <f t="shared" si="704"/>
        <v>0</v>
      </c>
      <c r="L858" s="381">
        <f t="shared" si="704"/>
        <v>0</v>
      </c>
      <c r="M858" s="381">
        <f>SUM(M859,M862,M866,M870)</f>
        <v>51000</v>
      </c>
      <c r="N858" s="381">
        <f t="shared" ref="N858:U858" si="705">SUM(N859,N862,N866,N870)</f>
        <v>10000</v>
      </c>
      <c r="O858" s="381">
        <f t="shared" si="705"/>
        <v>0</v>
      </c>
      <c r="P858" s="381">
        <f t="shared" si="705"/>
        <v>29500</v>
      </c>
      <c r="Q858" s="381">
        <f t="shared" si="705"/>
        <v>0</v>
      </c>
      <c r="R858" s="381">
        <f t="shared" si="705"/>
        <v>0</v>
      </c>
      <c r="S858" s="600">
        <f t="shared" si="705"/>
        <v>-21500</v>
      </c>
      <c r="T858" s="600">
        <f t="shared" si="705"/>
        <v>19500</v>
      </c>
      <c r="U858" s="600">
        <f t="shared" si="705"/>
        <v>0</v>
      </c>
      <c r="V858" s="506">
        <f t="shared" si="691"/>
        <v>-21500</v>
      </c>
      <c r="W858" s="506">
        <f t="shared" si="692"/>
        <v>0</v>
      </c>
      <c r="X858" s="31"/>
      <c r="Y858" s="486"/>
      <c r="Z858" s="31"/>
      <c r="AA858" s="31"/>
      <c r="AB858" s="31"/>
      <c r="AH858" s="457"/>
      <c r="AI858" s="457"/>
      <c r="AJ858" s="457"/>
      <c r="AK858" s="457"/>
      <c r="AL858" s="457"/>
    </row>
    <row r="859" spans="1:38" s="4" customFormat="1" x14ac:dyDescent="0.3">
      <c r="A859" s="586">
        <v>321</v>
      </c>
      <c r="B859" s="89" t="s">
        <v>12</v>
      </c>
      <c r="C859" s="108"/>
      <c r="D859" s="102"/>
      <c r="E859" s="102"/>
      <c r="F859" s="109"/>
      <c r="G859" s="109"/>
      <c r="H859" s="369">
        <f>SUM(H860,H861)</f>
        <v>3000</v>
      </c>
      <c r="I859" s="369">
        <f t="shared" ref="I859:L859" si="706">SUM(I860,I861)</f>
        <v>0</v>
      </c>
      <c r="J859" s="369">
        <f t="shared" si="706"/>
        <v>0</v>
      </c>
      <c r="K859" s="369">
        <f t="shared" si="706"/>
        <v>0</v>
      </c>
      <c r="L859" s="369">
        <f t="shared" si="706"/>
        <v>0</v>
      </c>
      <c r="M859" s="369">
        <f>SUM(M860,M861)</f>
        <v>3000</v>
      </c>
      <c r="N859" s="369">
        <f t="shared" ref="N859:U859" si="707">SUM(N860,N861)</f>
        <v>5000</v>
      </c>
      <c r="O859" s="369">
        <f t="shared" si="707"/>
        <v>0</v>
      </c>
      <c r="P859" s="369">
        <f t="shared" si="707"/>
        <v>7000</v>
      </c>
      <c r="Q859" s="369">
        <f t="shared" si="707"/>
        <v>0</v>
      </c>
      <c r="R859" s="369">
        <f t="shared" si="707"/>
        <v>0</v>
      </c>
      <c r="S859" s="369">
        <f t="shared" si="707"/>
        <v>4000</v>
      </c>
      <c r="T859" s="369">
        <f t="shared" ref="T859" si="708">SUM(T860)</f>
        <v>2000</v>
      </c>
      <c r="U859" s="369">
        <f t="shared" si="707"/>
        <v>0</v>
      </c>
      <c r="V859" s="506">
        <f t="shared" si="691"/>
        <v>4000</v>
      </c>
      <c r="W859" s="506">
        <f t="shared" si="692"/>
        <v>0</v>
      </c>
      <c r="X859" s="31"/>
      <c r="Y859" s="486"/>
      <c r="Z859" s="31"/>
      <c r="AA859" s="31"/>
      <c r="AB859" s="31"/>
      <c r="AH859" s="457"/>
      <c r="AI859" s="457"/>
      <c r="AJ859" s="457"/>
      <c r="AK859" s="457"/>
      <c r="AL859" s="457"/>
    </row>
    <row r="860" spans="1:38" s="4" customFormat="1" x14ac:dyDescent="0.3">
      <c r="A860" s="434">
        <v>3211</v>
      </c>
      <c r="B860" s="117" t="s">
        <v>13</v>
      </c>
      <c r="C860" s="108"/>
      <c r="D860" s="102"/>
      <c r="E860" s="102"/>
      <c r="F860" s="109"/>
      <c r="G860" s="109"/>
      <c r="H860" s="109">
        <v>3000</v>
      </c>
      <c r="I860" s="102"/>
      <c r="J860" s="102"/>
      <c r="K860" s="102"/>
      <c r="L860" s="102"/>
      <c r="M860" s="63">
        <f>H860-I860+J860-K860+L860</f>
        <v>3000</v>
      </c>
      <c r="N860" s="63">
        <v>5000</v>
      </c>
      <c r="O860" s="63"/>
      <c r="P860" s="63">
        <v>7000</v>
      </c>
      <c r="Q860" s="63"/>
      <c r="R860" s="63"/>
      <c r="S860" s="70">
        <f>P860-M860</f>
        <v>4000</v>
      </c>
      <c r="T860" s="70">
        <f>P860-N860</f>
        <v>2000</v>
      </c>
      <c r="U860" s="70">
        <f>Q860-O860</f>
        <v>0</v>
      </c>
      <c r="V860" s="506">
        <f t="shared" si="691"/>
        <v>4000</v>
      </c>
      <c r="W860" s="506">
        <f t="shared" si="692"/>
        <v>0</v>
      </c>
      <c r="X860" s="31"/>
      <c r="Y860" s="486"/>
      <c r="Z860" s="31"/>
      <c r="AA860" s="31"/>
      <c r="AB860" s="31"/>
      <c r="AH860" s="457"/>
      <c r="AI860" s="457"/>
      <c r="AJ860" s="457"/>
      <c r="AK860" s="457"/>
      <c r="AL860" s="457"/>
    </row>
    <row r="861" spans="1:38" s="4" customFormat="1" ht="13.05" hidden="1" x14ac:dyDescent="0.3">
      <c r="A861" s="542">
        <v>3213</v>
      </c>
      <c r="B861" s="535" t="s">
        <v>15</v>
      </c>
      <c r="C861" s="108"/>
      <c r="D861" s="102"/>
      <c r="E861" s="102"/>
      <c r="F861" s="109"/>
      <c r="G861" s="109"/>
      <c r="H861" s="109"/>
      <c r="I861" s="102"/>
      <c r="J861" s="102"/>
      <c r="K861" s="102"/>
      <c r="L861" s="102"/>
      <c r="M861" s="102"/>
      <c r="N861" s="63"/>
      <c r="O861" s="63"/>
      <c r="P861" s="63"/>
      <c r="Q861" s="63"/>
      <c r="R861" s="63"/>
      <c r="S861" s="70">
        <f>P861-M861</f>
        <v>0</v>
      </c>
      <c r="T861" s="70">
        <f>P861-N861</f>
        <v>0</v>
      </c>
      <c r="U861" s="70">
        <f>Q861-O861</f>
        <v>0</v>
      </c>
      <c r="V861" s="506">
        <f t="shared" si="691"/>
        <v>0</v>
      </c>
      <c r="W861" s="506">
        <f t="shared" si="692"/>
        <v>0</v>
      </c>
      <c r="X861" s="31"/>
      <c r="Y861" s="486"/>
      <c r="Z861" s="31"/>
      <c r="AA861" s="31"/>
      <c r="AB861" s="31"/>
      <c r="AH861" s="457"/>
      <c r="AI861" s="457"/>
      <c r="AJ861" s="457"/>
      <c r="AK861" s="457"/>
      <c r="AL861" s="457"/>
    </row>
    <row r="862" spans="1:38" s="4" customFormat="1" ht="15" customHeight="1" x14ac:dyDescent="0.3">
      <c r="A862" s="541">
        <v>322</v>
      </c>
      <c r="B862" s="89" t="s">
        <v>16</v>
      </c>
      <c r="C862" s="108"/>
      <c r="D862" s="102"/>
      <c r="E862" s="102"/>
      <c r="F862" s="109"/>
      <c r="G862" s="109"/>
      <c r="H862" s="369">
        <f>SUM(H863,H863:H865)</f>
        <v>1000</v>
      </c>
      <c r="I862" s="369">
        <f t="shared" ref="I862:L862" si="709">SUM(I863,I863:I865)</f>
        <v>0</v>
      </c>
      <c r="J862" s="369">
        <f t="shared" si="709"/>
        <v>0</v>
      </c>
      <c r="K862" s="369">
        <f t="shared" si="709"/>
        <v>0</v>
      </c>
      <c r="L862" s="369">
        <f t="shared" si="709"/>
        <v>0</v>
      </c>
      <c r="M862" s="369">
        <f>SUM(M863,M863:M865)</f>
        <v>1000</v>
      </c>
      <c r="N862" s="369">
        <f t="shared" ref="N862:U862" si="710">SUM(N863,N863:N865)</f>
        <v>1000</v>
      </c>
      <c r="O862" s="369">
        <f t="shared" si="710"/>
        <v>0</v>
      </c>
      <c r="P862" s="369">
        <f t="shared" si="710"/>
        <v>2000</v>
      </c>
      <c r="Q862" s="369">
        <f t="shared" si="710"/>
        <v>0</v>
      </c>
      <c r="R862" s="369">
        <f t="shared" si="710"/>
        <v>0</v>
      </c>
      <c r="S862" s="369">
        <f t="shared" si="710"/>
        <v>1000</v>
      </c>
      <c r="T862" s="369">
        <f t="shared" si="710"/>
        <v>1000</v>
      </c>
      <c r="U862" s="369">
        <f t="shared" si="710"/>
        <v>0</v>
      </c>
      <c r="V862" s="506">
        <f t="shared" si="691"/>
        <v>1000</v>
      </c>
      <c r="W862" s="506">
        <f t="shared" si="692"/>
        <v>0</v>
      </c>
      <c r="X862" s="31"/>
      <c r="Y862" s="486"/>
      <c r="Z862" s="31"/>
      <c r="AA862" s="31"/>
      <c r="AB862" s="31"/>
      <c r="AH862" s="457"/>
      <c r="AI862" s="457"/>
      <c r="AJ862" s="457"/>
      <c r="AK862" s="457"/>
      <c r="AL862" s="457"/>
    </row>
    <row r="863" spans="1:38" s="4" customFormat="1" ht="0.6" hidden="1" customHeight="1" x14ac:dyDescent="0.3">
      <c r="A863" s="542">
        <v>3222</v>
      </c>
      <c r="B863" s="535" t="s">
        <v>18</v>
      </c>
      <c r="C863" s="108"/>
      <c r="D863" s="102"/>
      <c r="E863" s="102"/>
      <c r="F863" s="109"/>
      <c r="G863" s="109"/>
      <c r="H863" s="109"/>
      <c r="I863" s="102"/>
      <c r="J863" s="102"/>
      <c r="K863" s="102"/>
      <c r="L863" s="102"/>
      <c r="M863" s="102"/>
      <c r="N863" s="63"/>
      <c r="O863" s="63"/>
      <c r="P863" s="63"/>
      <c r="Q863" s="63"/>
      <c r="R863" s="63"/>
      <c r="S863" s="70">
        <f>P863-M863</f>
        <v>0</v>
      </c>
      <c r="T863" s="70">
        <f t="shared" ref="T863:U865" si="711">P863-N863</f>
        <v>0</v>
      </c>
      <c r="U863" s="70">
        <f t="shared" si="711"/>
        <v>0</v>
      </c>
      <c r="V863" s="506">
        <f t="shared" si="691"/>
        <v>0</v>
      </c>
      <c r="W863" s="506">
        <f t="shared" si="692"/>
        <v>0</v>
      </c>
      <c r="X863" s="31"/>
      <c r="Y863" s="486"/>
      <c r="Z863" s="31"/>
      <c r="AA863" s="31"/>
      <c r="AB863" s="31"/>
      <c r="AH863" s="457"/>
      <c r="AI863" s="457"/>
      <c r="AJ863" s="457"/>
      <c r="AK863" s="457"/>
      <c r="AL863" s="457"/>
    </row>
    <row r="864" spans="1:38" s="4" customFormat="1" x14ac:dyDescent="0.3">
      <c r="A864" s="434">
        <v>3223</v>
      </c>
      <c r="B864" s="117" t="s">
        <v>19</v>
      </c>
      <c r="C864" s="108"/>
      <c r="D864" s="102"/>
      <c r="E864" s="102"/>
      <c r="F864" s="109"/>
      <c r="G864" s="109"/>
      <c r="H864" s="109">
        <v>1000</v>
      </c>
      <c r="I864" s="102"/>
      <c r="J864" s="102"/>
      <c r="K864" s="102"/>
      <c r="L864" s="102"/>
      <c r="M864" s="63">
        <f>H864-I864+J864-K864+L864</f>
        <v>1000</v>
      </c>
      <c r="N864" s="63">
        <v>1000</v>
      </c>
      <c r="O864" s="63"/>
      <c r="P864" s="63">
        <v>2000</v>
      </c>
      <c r="Q864" s="63"/>
      <c r="R864" s="63"/>
      <c r="S864" s="70">
        <f>P864-M864</f>
        <v>1000</v>
      </c>
      <c r="T864" s="70">
        <f t="shared" si="711"/>
        <v>1000</v>
      </c>
      <c r="U864" s="70">
        <f t="shared" si="711"/>
        <v>0</v>
      </c>
      <c r="V864" s="506">
        <f t="shared" si="691"/>
        <v>1000</v>
      </c>
      <c r="W864" s="506">
        <f t="shared" si="692"/>
        <v>0</v>
      </c>
      <c r="X864" s="31"/>
      <c r="Y864" s="486"/>
      <c r="Z864" s="31"/>
      <c r="AA864" s="31"/>
      <c r="AB864" s="31"/>
      <c r="AH864" s="457"/>
      <c r="AI864" s="457"/>
      <c r="AJ864" s="457"/>
      <c r="AK864" s="457"/>
      <c r="AL864" s="457"/>
    </row>
    <row r="865" spans="1:38" s="4" customFormat="1" ht="13.05" hidden="1" x14ac:dyDescent="0.3">
      <c r="A865" s="434">
        <v>3225</v>
      </c>
      <c r="B865" s="117" t="s">
        <v>21</v>
      </c>
      <c r="C865" s="108"/>
      <c r="D865" s="102"/>
      <c r="E865" s="102"/>
      <c r="F865" s="109"/>
      <c r="G865" s="109"/>
      <c r="H865" s="109"/>
      <c r="I865" s="102"/>
      <c r="J865" s="102"/>
      <c r="K865" s="102"/>
      <c r="L865" s="102"/>
      <c r="M865" s="102"/>
      <c r="N865" s="63"/>
      <c r="O865" s="63"/>
      <c r="P865" s="63"/>
      <c r="Q865" s="63"/>
      <c r="R865" s="63"/>
      <c r="S865" s="70">
        <f>P865-M865</f>
        <v>0</v>
      </c>
      <c r="T865" s="70">
        <f t="shared" si="711"/>
        <v>0</v>
      </c>
      <c r="U865" s="70">
        <f t="shared" si="711"/>
        <v>0</v>
      </c>
      <c r="V865" s="506">
        <f t="shared" si="691"/>
        <v>0</v>
      </c>
      <c r="W865" s="506">
        <f t="shared" si="692"/>
        <v>0</v>
      </c>
      <c r="X865" s="31"/>
      <c r="Y865" s="486"/>
      <c r="Z865" s="31"/>
      <c r="AA865" s="31"/>
      <c r="AB865" s="31"/>
      <c r="AH865" s="457"/>
      <c r="AI865" s="457"/>
      <c r="AJ865" s="457"/>
      <c r="AK865" s="457"/>
      <c r="AL865" s="457"/>
    </row>
    <row r="866" spans="1:38" s="4" customFormat="1" x14ac:dyDescent="0.3">
      <c r="A866" s="607">
        <v>323</v>
      </c>
      <c r="B866" s="89" t="s">
        <v>23</v>
      </c>
      <c r="C866" s="108"/>
      <c r="D866" s="102"/>
      <c r="E866" s="102"/>
      <c r="F866" s="109"/>
      <c r="G866" s="109"/>
      <c r="H866" s="369">
        <f>SUM(H867:H869)</f>
        <v>15000</v>
      </c>
      <c r="I866" s="369">
        <f t="shared" ref="I866:L866" si="712">SUM(I867:I869)</f>
        <v>0</v>
      </c>
      <c r="J866" s="369">
        <f t="shared" si="712"/>
        <v>30000</v>
      </c>
      <c r="K866" s="369">
        <f t="shared" si="712"/>
        <v>0</v>
      </c>
      <c r="L866" s="369">
        <f t="shared" si="712"/>
        <v>0</v>
      </c>
      <c r="M866" s="369">
        <f>SUM(M867:M869)</f>
        <v>45000</v>
      </c>
      <c r="N866" s="369">
        <f t="shared" ref="N866:U866" si="713">SUM(N867:N869)</f>
        <v>3000</v>
      </c>
      <c r="O866" s="369">
        <f t="shared" si="713"/>
        <v>0</v>
      </c>
      <c r="P866" s="369">
        <f t="shared" si="713"/>
        <v>18000</v>
      </c>
      <c r="Q866" s="369">
        <f t="shared" si="713"/>
        <v>0</v>
      </c>
      <c r="R866" s="369">
        <f t="shared" si="713"/>
        <v>0</v>
      </c>
      <c r="S866" s="369">
        <f t="shared" si="713"/>
        <v>-27000</v>
      </c>
      <c r="T866" s="369">
        <f t="shared" si="713"/>
        <v>15000</v>
      </c>
      <c r="U866" s="369">
        <f t="shared" si="713"/>
        <v>0</v>
      </c>
      <c r="V866" s="506">
        <f t="shared" si="691"/>
        <v>-27000</v>
      </c>
      <c r="W866" s="506">
        <f t="shared" si="692"/>
        <v>0</v>
      </c>
      <c r="X866" s="31"/>
      <c r="Y866" s="486"/>
      <c r="Z866" s="31"/>
      <c r="AA866" s="31"/>
      <c r="AB866" s="31"/>
      <c r="AH866" s="457"/>
      <c r="AI866" s="457"/>
      <c r="AJ866" s="457"/>
      <c r="AK866" s="457"/>
      <c r="AL866" s="457"/>
    </row>
    <row r="867" spans="1:38" s="4" customFormat="1" x14ac:dyDescent="0.3">
      <c r="A867" s="434">
        <v>3233</v>
      </c>
      <c r="B867" s="117" t="s">
        <v>26</v>
      </c>
      <c r="C867" s="108"/>
      <c r="D867" s="102"/>
      <c r="E867" s="102"/>
      <c r="F867" s="109"/>
      <c r="G867" s="109"/>
      <c r="H867" s="109">
        <v>7000</v>
      </c>
      <c r="I867" s="102"/>
      <c r="J867" s="102">
        <v>30000</v>
      </c>
      <c r="K867" s="102"/>
      <c r="L867" s="102"/>
      <c r="M867" s="63">
        <f>H867-I867+J867-K867+L867</f>
        <v>37000</v>
      </c>
      <c r="N867" s="63">
        <v>2000</v>
      </c>
      <c r="O867" s="63"/>
      <c r="P867" s="63">
        <v>9000</v>
      </c>
      <c r="Q867" s="63"/>
      <c r="R867" s="63"/>
      <c r="S867" s="70">
        <f>P867-M867</f>
        <v>-28000</v>
      </c>
      <c r="T867" s="70">
        <f t="shared" ref="T867:U869" si="714">P867-N867</f>
        <v>7000</v>
      </c>
      <c r="U867" s="70">
        <f t="shared" si="714"/>
        <v>0</v>
      </c>
      <c r="V867" s="506">
        <f t="shared" si="691"/>
        <v>-28000</v>
      </c>
      <c r="W867" s="506">
        <f t="shared" si="692"/>
        <v>0</v>
      </c>
      <c r="X867" s="31"/>
      <c r="Y867" s="486"/>
      <c r="Z867" s="31"/>
      <c r="AA867" s="31"/>
      <c r="AB867" s="31"/>
      <c r="AD867" s="697"/>
      <c r="AH867" s="457"/>
      <c r="AI867" s="457"/>
      <c r="AJ867" s="457"/>
      <c r="AK867" s="457"/>
      <c r="AL867" s="457"/>
    </row>
    <row r="868" spans="1:38" s="4" customFormat="1" x14ac:dyDescent="0.3">
      <c r="A868" s="434">
        <v>3235</v>
      </c>
      <c r="B868" s="117" t="s">
        <v>28</v>
      </c>
      <c r="C868" s="108"/>
      <c r="D868" s="102"/>
      <c r="E868" s="102"/>
      <c r="F868" s="109"/>
      <c r="G868" s="109"/>
      <c r="H868" s="109">
        <v>1000</v>
      </c>
      <c r="I868" s="102"/>
      <c r="J868" s="102"/>
      <c r="K868" s="102"/>
      <c r="L868" s="102"/>
      <c r="M868" s="63">
        <f>H868-I868+J868-K868+L868</f>
        <v>1000</v>
      </c>
      <c r="N868" s="63">
        <v>1000</v>
      </c>
      <c r="O868" s="63"/>
      <c r="P868" s="63">
        <v>2000</v>
      </c>
      <c r="Q868" s="63"/>
      <c r="R868" s="63"/>
      <c r="S868" s="70">
        <f>P868-M868</f>
        <v>1000</v>
      </c>
      <c r="T868" s="70">
        <f t="shared" si="714"/>
        <v>1000</v>
      </c>
      <c r="U868" s="70">
        <f t="shared" si="714"/>
        <v>0</v>
      </c>
      <c r="V868" s="506">
        <f t="shared" si="691"/>
        <v>1000</v>
      </c>
      <c r="W868" s="506">
        <f t="shared" si="692"/>
        <v>0</v>
      </c>
      <c r="X868" s="31"/>
      <c r="Y868" s="486"/>
      <c r="Z868" s="31"/>
      <c r="AA868" s="31"/>
      <c r="AB868" s="31"/>
      <c r="AD868" s="698"/>
      <c r="AH868" s="457"/>
      <c r="AI868" s="457"/>
      <c r="AJ868" s="457"/>
      <c r="AK868" s="457"/>
      <c r="AL868" s="457"/>
    </row>
    <row r="869" spans="1:38" s="11" customFormat="1" x14ac:dyDescent="0.3">
      <c r="A869" s="434">
        <v>3237</v>
      </c>
      <c r="B869" s="614" t="s">
        <v>30</v>
      </c>
      <c r="C869" s="108"/>
      <c r="D869" s="102"/>
      <c r="E869" s="102"/>
      <c r="F869" s="109"/>
      <c r="G869" s="109"/>
      <c r="H869" s="109">
        <v>7000</v>
      </c>
      <c r="I869" s="102"/>
      <c r="J869" s="102"/>
      <c r="K869" s="102"/>
      <c r="L869" s="102"/>
      <c r="M869" s="63">
        <f>H869-I869+J869-K869+L869</f>
        <v>7000</v>
      </c>
      <c r="N869" s="63"/>
      <c r="O869" s="63"/>
      <c r="P869" s="63">
        <v>7000</v>
      </c>
      <c r="Q869" s="63"/>
      <c r="R869" s="63"/>
      <c r="S869" s="70">
        <f>P869-M869</f>
        <v>0</v>
      </c>
      <c r="T869" s="70">
        <f t="shared" si="714"/>
        <v>7000</v>
      </c>
      <c r="U869" s="70">
        <f t="shared" si="714"/>
        <v>0</v>
      </c>
      <c r="V869" s="506">
        <f t="shared" si="691"/>
        <v>0</v>
      </c>
      <c r="W869" s="506">
        <f t="shared" si="692"/>
        <v>0</v>
      </c>
      <c r="X869" s="34"/>
      <c r="Y869" s="490"/>
      <c r="Z869" s="34"/>
      <c r="AA869" s="34"/>
      <c r="AB869" s="34"/>
      <c r="AD869" s="698"/>
      <c r="AH869" s="549"/>
      <c r="AI869" s="549"/>
      <c r="AJ869" s="549"/>
      <c r="AK869" s="549"/>
      <c r="AL869" s="549"/>
    </row>
    <row r="870" spans="1:38" s="4" customFormat="1" x14ac:dyDescent="0.3">
      <c r="A870" s="541">
        <v>329</v>
      </c>
      <c r="B870" s="89" t="s">
        <v>33</v>
      </c>
      <c r="C870" s="108"/>
      <c r="D870" s="102"/>
      <c r="E870" s="102"/>
      <c r="F870" s="109"/>
      <c r="G870" s="109"/>
      <c r="H870" s="369">
        <f>SUM(H871)</f>
        <v>2000</v>
      </c>
      <c r="I870" s="369">
        <f t="shared" ref="I870:L870" si="715">SUM(I871)</f>
        <v>0</v>
      </c>
      <c r="J870" s="369">
        <f t="shared" si="715"/>
        <v>0</v>
      </c>
      <c r="K870" s="369">
        <f t="shared" si="715"/>
        <v>0</v>
      </c>
      <c r="L870" s="369">
        <f t="shared" si="715"/>
        <v>0</v>
      </c>
      <c r="M870" s="369">
        <f>SUM(M871)</f>
        <v>2000</v>
      </c>
      <c r="N870" s="369">
        <f t="shared" ref="N870:U870" si="716">SUM(N871)</f>
        <v>1000</v>
      </c>
      <c r="O870" s="369">
        <f t="shared" si="716"/>
        <v>0</v>
      </c>
      <c r="P870" s="369">
        <f t="shared" si="716"/>
        <v>2500</v>
      </c>
      <c r="Q870" s="369">
        <f t="shared" si="716"/>
        <v>0</v>
      </c>
      <c r="R870" s="369">
        <f t="shared" si="716"/>
        <v>0</v>
      </c>
      <c r="S870" s="369">
        <f>SUM(S871)</f>
        <v>500</v>
      </c>
      <c r="T870" s="369">
        <f>SUM(T871)</f>
        <v>1500</v>
      </c>
      <c r="U870" s="369">
        <f t="shared" si="716"/>
        <v>0</v>
      </c>
      <c r="V870" s="506">
        <f t="shared" si="691"/>
        <v>500</v>
      </c>
      <c r="W870" s="506">
        <f t="shared" si="692"/>
        <v>0</v>
      </c>
      <c r="X870" s="31"/>
      <c r="Y870" s="486"/>
      <c r="Z870" s="31"/>
      <c r="AA870" s="31"/>
      <c r="AB870" s="31"/>
      <c r="AH870" s="457"/>
      <c r="AI870" s="457"/>
      <c r="AJ870" s="457"/>
      <c r="AK870" s="457"/>
      <c r="AL870" s="457"/>
    </row>
    <row r="871" spans="1:38" s="4" customFormat="1" x14ac:dyDescent="0.3">
      <c r="A871" s="542">
        <v>3293</v>
      </c>
      <c r="B871" s="535" t="s">
        <v>36</v>
      </c>
      <c r="C871" s="108"/>
      <c r="D871" s="102"/>
      <c r="E871" s="102"/>
      <c r="F871" s="109"/>
      <c r="G871" s="109"/>
      <c r="H871" s="109">
        <v>2000</v>
      </c>
      <c r="I871" s="102"/>
      <c r="J871" s="102"/>
      <c r="K871" s="102"/>
      <c r="L871" s="102"/>
      <c r="M871" s="63">
        <f>H871-I871+J871-K871+L871</f>
        <v>2000</v>
      </c>
      <c r="N871" s="63">
        <v>1000</v>
      </c>
      <c r="O871" s="63"/>
      <c r="P871" s="63">
        <v>2500</v>
      </c>
      <c r="Q871" s="63"/>
      <c r="R871" s="63"/>
      <c r="S871" s="70">
        <f>P871-M871</f>
        <v>500</v>
      </c>
      <c r="T871" s="70">
        <f>P871-N871</f>
        <v>1500</v>
      </c>
      <c r="U871" s="70">
        <f>Q871-O871</f>
        <v>0</v>
      </c>
      <c r="V871" s="506">
        <f t="shared" si="691"/>
        <v>500</v>
      </c>
      <c r="W871" s="506">
        <f t="shared" si="692"/>
        <v>0</v>
      </c>
      <c r="X871" s="31"/>
      <c r="Y871" s="486"/>
      <c r="Z871" s="31"/>
      <c r="AA871" s="31"/>
      <c r="AB871" s="31"/>
      <c r="AH871" s="457"/>
      <c r="AI871" s="457"/>
      <c r="AJ871" s="457"/>
      <c r="AK871" s="457"/>
      <c r="AL871" s="457"/>
    </row>
    <row r="872" spans="1:38" s="11" customFormat="1" ht="26.4" hidden="1" x14ac:dyDescent="0.3">
      <c r="A872" s="579" t="s">
        <v>391</v>
      </c>
      <c r="B872" s="580" t="s">
        <v>392</v>
      </c>
      <c r="C872" s="630"/>
      <c r="D872" s="128"/>
      <c r="E872" s="128"/>
      <c r="F872" s="631"/>
      <c r="G872" s="631"/>
      <c r="H872" s="632">
        <f>SUM(H873)</f>
        <v>71000</v>
      </c>
      <c r="I872" s="632">
        <f t="shared" ref="I872:L872" si="717">SUM(I873)</f>
        <v>44000</v>
      </c>
      <c r="J872" s="632">
        <f t="shared" si="717"/>
        <v>0</v>
      </c>
      <c r="K872" s="632">
        <f t="shared" si="717"/>
        <v>0</v>
      </c>
      <c r="L872" s="632">
        <f t="shared" si="717"/>
        <v>0</v>
      </c>
      <c r="M872" s="632">
        <f>SUM(M873)</f>
        <v>27000</v>
      </c>
      <c r="N872" s="632">
        <f t="shared" ref="N872:U872" si="718">SUM(N873)</f>
        <v>4000</v>
      </c>
      <c r="O872" s="632">
        <f t="shared" si="718"/>
        <v>0</v>
      </c>
      <c r="P872" s="632">
        <f t="shared" si="718"/>
        <v>0</v>
      </c>
      <c r="Q872" s="632">
        <f t="shared" si="718"/>
        <v>0</v>
      </c>
      <c r="R872" s="632">
        <f t="shared" si="718"/>
        <v>0</v>
      </c>
      <c r="S872" s="632">
        <f t="shared" si="718"/>
        <v>-27000</v>
      </c>
      <c r="T872" s="632">
        <f t="shared" si="718"/>
        <v>-4000</v>
      </c>
      <c r="U872" s="632">
        <f t="shared" si="718"/>
        <v>0</v>
      </c>
      <c r="V872" s="506">
        <f t="shared" si="691"/>
        <v>-27000</v>
      </c>
      <c r="W872" s="506">
        <f t="shared" si="692"/>
        <v>0</v>
      </c>
      <c r="X872" s="34"/>
      <c r="Y872" s="490"/>
      <c r="Z872" s="34"/>
      <c r="AA872" s="34"/>
      <c r="AB872" s="34"/>
      <c r="AD872" s="22"/>
      <c r="AH872" s="549"/>
      <c r="AI872" s="549"/>
      <c r="AJ872" s="549"/>
      <c r="AK872" s="549"/>
      <c r="AL872" s="549"/>
    </row>
    <row r="873" spans="1:38" s="4" customFormat="1" hidden="1" x14ac:dyDescent="0.3">
      <c r="A873" s="693" t="s">
        <v>77</v>
      </c>
      <c r="B873" s="694"/>
      <c r="C873" s="519"/>
      <c r="D873" s="519"/>
      <c r="E873" s="519"/>
      <c r="F873" s="519"/>
      <c r="G873" s="519"/>
      <c r="H873" s="633">
        <f>SUM(H874,H877)</f>
        <v>71000</v>
      </c>
      <c r="I873" s="633">
        <f t="shared" ref="I873:L873" si="719">SUM(I874,I877)</f>
        <v>44000</v>
      </c>
      <c r="J873" s="633">
        <f t="shared" si="719"/>
        <v>0</v>
      </c>
      <c r="K873" s="633">
        <f t="shared" si="719"/>
        <v>0</v>
      </c>
      <c r="L873" s="633">
        <f t="shared" si="719"/>
        <v>0</v>
      </c>
      <c r="M873" s="633">
        <f>SUM(M874,M877)</f>
        <v>27000</v>
      </c>
      <c r="N873" s="633">
        <f t="shared" ref="N873:R873" si="720">SUM(N874,N877)</f>
        <v>4000</v>
      </c>
      <c r="O873" s="633">
        <f t="shared" si="720"/>
        <v>0</v>
      </c>
      <c r="P873" s="633">
        <f t="shared" si="720"/>
        <v>0</v>
      </c>
      <c r="Q873" s="633">
        <f t="shared" si="720"/>
        <v>0</v>
      </c>
      <c r="R873" s="633">
        <f t="shared" si="720"/>
        <v>0</v>
      </c>
      <c r="S873" s="634">
        <f>SUM(S874,S877)</f>
        <v>-27000</v>
      </c>
      <c r="T873" s="634">
        <f>SUM(T874,T877)</f>
        <v>-4000</v>
      </c>
      <c r="U873" s="634">
        <f t="shared" ref="U873" si="721">SUM(U874,U877)</f>
        <v>0</v>
      </c>
      <c r="V873" s="506">
        <f t="shared" si="691"/>
        <v>-27000</v>
      </c>
      <c r="W873" s="506">
        <f t="shared" si="692"/>
        <v>0</v>
      </c>
      <c r="X873" s="31"/>
      <c r="Y873" s="486"/>
      <c r="Z873" s="31"/>
      <c r="AA873" s="31"/>
      <c r="AB873" s="31"/>
      <c r="AD873" s="25"/>
      <c r="AH873" s="457"/>
      <c r="AI873" s="457"/>
      <c r="AJ873" s="457"/>
      <c r="AK873" s="457"/>
      <c r="AL873" s="457"/>
    </row>
    <row r="874" spans="1:38" s="4" customFormat="1" hidden="1" x14ac:dyDescent="0.3">
      <c r="A874" s="610">
        <v>31</v>
      </c>
      <c r="B874" s="611" t="s">
        <v>316</v>
      </c>
      <c r="C874" s="628"/>
      <c r="D874" s="155"/>
      <c r="E874" s="155"/>
      <c r="F874" s="629"/>
      <c r="G874" s="629"/>
      <c r="H874" s="381">
        <f>SUM(H875)</f>
        <v>11000</v>
      </c>
      <c r="I874" s="381">
        <f t="shared" ref="I874:L875" si="722">SUM(I875)</f>
        <v>11000</v>
      </c>
      <c r="J874" s="381">
        <f t="shared" si="722"/>
        <v>0</v>
      </c>
      <c r="K874" s="381">
        <f t="shared" si="722"/>
        <v>0</v>
      </c>
      <c r="L874" s="381">
        <f t="shared" si="722"/>
        <v>0</v>
      </c>
      <c r="M874" s="381">
        <f>SUM(M875)</f>
        <v>0</v>
      </c>
      <c r="N874" s="381">
        <f t="shared" ref="N874:U875" si="723">SUM(N875)</f>
        <v>0</v>
      </c>
      <c r="O874" s="381">
        <f t="shared" si="723"/>
        <v>0</v>
      </c>
      <c r="P874" s="381">
        <f t="shared" si="723"/>
        <v>0</v>
      </c>
      <c r="Q874" s="381">
        <f t="shared" si="723"/>
        <v>0</v>
      </c>
      <c r="R874" s="381">
        <f t="shared" si="723"/>
        <v>0</v>
      </c>
      <c r="S874" s="600">
        <f t="shared" si="723"/>
        <v>0</v>
      </c>
      <c r="T874" s="600">
        <f t="shared" si="723"/>
        <v>0</v>
      </c>
      <c r="U874" s="600">
        <f t="shared" si="723"/>
        <v>0</v>
      </c>
      <c r="V874" s="506">
        <f t="shared" si="691"/>
        <v>0</v>
      </c>
      <c r="W874" s="506">
        <f t="shared" si="692"/>
        <v>0</v>
      </c>
      <c r="X874" s="31"/>
      <c r="Y874" s="486"/>
      <c r="Z874" s="31"/>
      <c r="AA874" s="31"/>
      <c r="AB874" s="31"/>
      <c r="AH874" s="457"/>
      <c r="AI874" s="457"/>
      <c r="AJ874" s="457"/>
      <c r="AK874" s="457"/>
      <c r="AL874" s="457"/>
    </row>
    <row r="875" spans="1:38" s="4" customFormat="1" hidden="1" x14ac:dyDescent="0.3">
      <c r="A875" s="607">
        <v>311</v>
      </c>
      <c r="B875" s="119" t="s">
        <v>4</v>
      </c>
      <c r="C875" s="108"/>
      <c r="D875" s="102"/>
      <c r="E875" s="102"/>
      <c r="F875" s="109"/>
      <c r="G875" s="109"/>
      <c r="H875" s="369">
        <f>SUM(H876)</f>
        <v>11000</v>
      </c>
      <c r="I875" s="369">
        <f t="shared" si="722"/>
        <v>11000</v>
      </c>
      <c r="J875" s="369">
        <f t="shared" si="722"/>
        <v>0</v>
      </c>
      <c r="K875" s="369">
        <f t="shared" si="722"/>
        <v>0</v>
      </c>
      <c r="L875" s="369">
        <f t="shared" si="722"/>
        <v>0</v>
      </c>
      <c r="M875" s="369">
        <f>SUM(M876)</f>
        <v>0</v>
      </c>
      <c r="N875" s="369">
        <f t="shared" si="723"/>
        <v>0</v>
      </c>
      <c r="O875" s="369">
        <f t="shared" si="723"/>
        <v>0</v>
      </c>
      <c r="P875" s="369">
        <f t="shared" si="723"/>
        <v>0</v>
      </c>
      <c r="Q875" s="369">
        <f t="shared" si="723"/>
        <v>0</v>
      </c>
      <c r="R875" s="369">
        <f t="shared" si="723"/>
        <v>0</v>
      </c>
      <c r="S875" s="369">
        <f t="shared" si="723"/>
        <v>0</v>
      </c>
      <c r="T875" s="369">
        <f t="shared" si="723"/>
        <v>0</v>
      </c>
      <c r="U875" s="369">
        <f t="shared" si="723"/>
        <v>0</v>
      </c>
      <c r="V875" s="506">
        <f t="shared" si="691"/>
        <v>0</v>
      </c>
      <c r="W875" s="506">
        <f t="shared" si="692"/>
        <v>0</v>
      </c>
      <c r="X875" s="31"/>
      <c r="Y875" s="486"/>
      <c r="Z875" s="31"/>
      <c r="AA875" s="31"/>
      <c r="AB875" s="31"/>
      <c r="AH875" s="457"/>
      <c r="AI875" s="457"/>
      <c r="AJ875" s="457"/>
      <c r="AK875" s="457"/>
      <c r="AL875" s="457"/>
    </row>
    <row r="876" spans="1:38" s="11" customFormat="1" hidden="1" x14ac:dyDescent="0.3">
      <c r="A876" s="434">
        <v>3111</v>
      </c>
      <c r="B876" s="117" t="s">
        <v>5</v>
      </c>
      <c r="C876" s="108"/>
      <c r="D876" s="102"/>
      <c r="E876" s="102"/>
      <c r="F876" s="109"/>
      <c r="G876" s="109"/>
      <c r="H876" s="109">
        <v>11000</v>
      </c>
      <c r="I876" s="102">
        <v>11000</v>
      </c>
      <c r="J876" s="102"/>
      <c r="K876" s="102"/>
      <c r="L876" s="102"/>
      <c r="M876" s="63">
        <f>H876-I876+J876-K876+L876</f>
        <v>0</v>
      </c>
      <c r="N876" s="63"/>
      <c r="O876" s="63"/>
      <c r="P876" s="63"/>
      <c r="Q876" s="63"/>
      <c r="R876" s="63"/>
      <c r="S876" s="70">
        <f>P876-M876</f>
        <v>0</v>
      </c>
      <c r="T876" s="70">
        <f>P876-N876</f>
        <v>0</v>
      </c>
      <c r="U876" s="63">
        <f>N876-G876</f>
        <v>0</v>
      </c>
      <c r="V876" s="506">
        <f t="shared" si="691"/>
        <v>0</v>
      </c>
      <c r="W876" s="506">
        <f t="shared" si="692"/>
        <v>0</v>
      </c>
      <c r="X876" s="34"/>
      <c r="Y876" s="490"/>
      <c r="Z876" s="34"/>
      <c r="AA876" s="34"/>
      <c r="AB876" s="34"/>
      <c r="AH876" s="549"/>
      <c r="AI876" s="549"/>
      <c r="AJ876" s="549"/>
      <c r="AK876" s="549"/>
      <c r="AL876" s="549"/>
    </row>
    <row r="877" spans="1:38" s="4" customFormat="1" hidden="1" x14ac:dyDescent="0.3">
      <c r="A877" s="561">
        <v>32</v>
      </c>
      <c r="B877" s="562" t="s">
        <v>318</v>
      </c>
      <c r="C877" s="628"/>
      <c r="D877" s="155"/>
      <c r="E877" s="155"/>
      <c r="F877" s="629"/>
      <c r="G877" s="629"/>
      <c r="H877" s="381">
        <f>SUM(H878+H881+H885,H890)</f>
        <v>60000</v>
      </c>
      <c r="I877" s="381">
        <f t="shared" ref="I877:L877" si="724">SUM(I878+I881+I885,I890)</f>
        <v>33000</v>
      </c>
      <c r="J877" s="381">
        <f t="shared" si="724"/>
        <v>0</v>
      </c>
      <c r="K877" s="381">
        <f t="shared" si="724"/>
        <v>0</v>
      </c>
      <c r="L877" s="381">
        <f t="shared" si="724"/>
        <v>0</v>
      </c>
      <c r="M877" s="381">
        <f>SUM(M878+M881+M885,M890)</f>
        <v>27000</v>
      </c>
      <c r="N877" s="381">
        <f t="shared" ref="N877:U877" si="725">SUM(N878+N881+N885,N890)</f>
        <v>4000</v>
      </c>
      <c r="O877" s="381">
        <f t="shared" si="725"/>
        <v>0</v>
      </c>
      <c r="P877" s="381">
        <f t="shared" si="725"/>
        <v>0</v>
      </c>
      <c r="Q877" s="381">
        <f t="shared" si="725"/>
        <v>0</v>
      </c>
      <c r="R877" s="381">
        <f t="shared" si="725"/>
        <v>0</v>
      </c>
      <c r="S877" s="600">
        <f t="shared" si="725"/>
        <v>-27000</v>
      </c>
      <c r="T877" s="600">
        <f t="shared" si="725"/>
        <v>-4000</v>
      </c>
      <c r="U877" s="600">
        <f t="shared" si="725"/>
        <v>0</v>
      </c>
      <c r="V877" s="506">
        <f t="shared" si="691"/>
        <v>-27000</v>
      </c>
      <c r="W877" s="506">
        <f t="shared" si="692"/>
        <v>0</v>
      </c>
      <c r="X877" s="31"/>
      <c r="Y877" s="486"/>
      <c r="Z877" s="31"/>
      <c r="AA877" s="31"/>
      <c r="AB877" s="31"/>
      <c r="AH877" s="457"/>
      <c r="AI877" s="457"/>
      <c r="AJ877" s="457"/>
      <c r="AK877" s="457"/>
      <c r="AL877" s="457"/>
    </row>
    <row r="878" spans="1:38" s="4" customFormat="1" hidden="1" x14ac:dyDescent="0.3">
      <c r="A878" s="586">
        <v>321</v>
      </c>
      <c r="B878" s="89" t="s">
        <v>12</v>
      </c>
      <c r="C878" s="559"/>
      <c r="D878" s="79"/>
      <c r="E878" s="79"/>
      <c r="F878" s="369"/>
      <c r="G878" s="369"/>
      <c r="H878" s="369">
        <f>SUM(H879:H880)</f>
        <v>5000</v>
      </c>
      <c r="I878" s="369">
        <f t="shared" ref="I878:L878" si="726">SUM(I879:I880)</f>
        <v>0</v>
      </c>
      <c r="J878" s="369">
        <f t="shared" si="726"/>
        <v>0</v>
      </c>
      <c r="K878" s="369">
        <f t="shared" si="726"/>
        <v>0</v>
      </c>
      <c r="L878" s="369">
        <f t="shared" si="726"/>
        <v>0</v>
      </c>
      <c r="M878" s="369">
        <f>SUM(M879:M880)</f>
        <v>5000</v>
      </c>
      <c r="N878" s="62">
        <f>SUM(N879:N880)</f>
        <v>0</v>
      </c>
      <c r="O878" s="62">
        <f>SUM(O879:O880)</f>
        <v>0</v>
      </c>
      <c r="P878" s="62">
        <f t="shared" ref="P878:U878" si="727">SUM(P879:P880)</f>
        <v>0</v>
      </c>
      <c r="Q878" s="62">
        <f t="shared" si="727"/>
        <v>0</v>
      </c>
      <c r="R878" s="62">
        <f t="shared" si="727"/>
        <v>0</v>
      </c>
      <c r="S878" s="62">
        <f t="shared" si="727"/>
        <v>-5000</v>
      </c>
      <c r="T878" s="62">
        <f t="shared" si="727"/>
        <v>0</v>
      </c>
      <c r="U878" s="62">
        <f t="shared" si="727"/>
        <v>0</v>
      </c>
      <c r="V878" s="506">
        <f t="shared" si="691"/>
        <v>-5000</v>
      </c>
      <c r="W878" s="506">
        <f t="shared" si="692"/>
        <v>0</v>
      </c>
      <c r="X878" s="31"/>
      <c r="Y878" s="486"/>
      <c r="Z878" s="31"/>
      <c r="AA878" s="31"/>
      <c r="AB878" s="31"/>
      <c r="AH878" s="457"/>
      <c r="AI878" s="457"/>
      <c r="AJ878" s="457"/>
      <c r="AK878" s="457"/>
      <c r="AL878" s="457"/>
    </row>
    <row r="879" spans="1:38" s="4" customFormat="1" hidden="1" x14ac:dyDescent="0.3">
      <c r="A879" s="434">
        <v>3211</v>
      </c>
      <c r="B879" s="117" t="s">
        <v>13</v>
      </c>
      <c r="C879" s="108"/>
      <c r="D879" s="102"/>
      <c r="E879" s="102"/>
      <c r="F879" s="109"/>
      <c r="G879" s="109"/>
      <c r="H879" s="109">
        <v>4000</v>
      </c>
      <c r="I879" s="102"/>
      <c r="J879" s="102"/>
      <c r="K879" s="102"/>
      <c r="L879" s="102"/>
      <c r="M879" s="63">
        <f>H879-I879+J879-K879+L879</f>
        <v>4000</v>
      </c>
      <c r="N879" s="63"/>
      <c r="O879" s="63"/>
      <c r="P879" s="63"/>
      <c r="Q879" s="63"/>
      <c r="R879" s="63"/>
      <c r="S879" s="70">
        <f>P879-M879</f>
        <v>-4000</v>
      </c>
      <c r="T879" s="70">
        <f>P879-N879</f>
        <v>0</v>
      </c>
      <c r="U879" s="63">
        <f>N879-G879</f>
        <v>0</v>
      </c>
      <c r="V879" s="506">
        <f t="shared" si="691"/>
        <v>-4000</v>
      </c>
      <c r="W879" s="506">
        <f t="shared" si="692"/>
        <v>0</v>
      </c>
      <c r="X879" s="31"/>
      <c r="Y879" s="486"/>
      <c r="Z879" s="31"/>
      <c r="AA879" s="31"/>
      <c r="AB879" s="31"/>
      <c r="AH879" s="457"/>
      <c r="AI879" s="457"/>
      <c r="AJ879" s="457"/>
      <c r="AK879" s="457"/>
      <c r="AL879" s="457"/>
    </row>
    <row r="880" spans="1:38" s="4" customFormat="1" hidden="1" x14ac:dyDescent="0.3">
      <c r="A880" s="542">
        <v>3213</v>
      </c>
      <c r="B880" s="535" t="s">
        <v>15</v>
      </c>
      <c r="C880" s="108"/>
      <c r="D880" s="102"/>
      <c r="E880" s="102"/>
      <c r="F880" s="109"/>
      <c r="G880" s="109"/>
      <c r="H880" s="109">
        <v>1000</v>
      </c>
      <c r="I880" s="102"/>
      <c r="J880" s="102"/>
      <c r="K880" s="102"/>
      <c r="L880" s="102"/>
      <c r="M880" s="63">
        <f>H880-I880+J880-K880+L880</f>
        <v>1000</v>
      </c>
      <c r="N880" s="63"/>
      <c r="O880" s="63"/>
      <c r="P880" s="63"/>
      <c r="Q880" s="63"/>
      <c r="R880" s="63"/>
      <c r="S880" s="70">
        <f>P880-M880</f>
        <v>-1000</v>
      </c>
      <c r="T880" s="70">
        <f>P880-N880</f>
        <v>0</v>
      </c>
      <c r="U880" s="63">
        <f>N880-G880</f>
        <v>0</v>
      </c>
      <c r="V880" s="506">
        <f t="shared" si="691"/>
        <v>-1000</v>
      </c>
      <c r="W880" s="506">
        <f t="shared" si="692"/>
        <v>0</v>
      </c>
      <c r="X880" s="31"/>
      <c r="Y880" s="486"/>
      <c r="Z880" s="31"/>
      <c r="AA880" s="31"/>
      <c r="AB880" s="31"/>
      <c r="AH880" s="457"/>
      <c r="AI880" s="457"/>
      <c r="AJ880" s="457"/>
      <c r="AK880" s="457"/>
      <c r="AL880" s="457"/>
    </row>
    <row r="881" spans="1:38" s="11" customFormat="1" hidden="1" x14ac:dyDescent="0.3">
      <c r="A881" s="541">
        <v>322</v>
      </c>
      <c r="B881" s="89" t="s">
        <v>16</v>
      </c>
      <c r="C881" s="559"/>
      <c r="D881" s="79"/>
      <c r="E881" s="79"/>
      <c r="F881" s="369"/>
      <c r="G881" s="369"/>
      <c r="H881" s="369">
        <f t="shared" ref="H881:U881" si="728">SUM(H882:H884)</f>
        <v>1000</v>
      </c>
      <c r="I881" s="369">
        <f t="shared" si="728"/>
        <v>0</v>
      </c>
      <c r="J881" s="369">
        <f t="shared" si="728"/>
        <v>0</v>
      </c>
      <c r="K881" s="369">
        <f t="shared" si="728"/>
        <v>0</v>
      </c>
      <c r="L881" s="369">
        <f t="shared" si="728"/>
        <v>0</v>
      </c>
      <c r="M881" s="369">
        <f t="shared" si="728"/>
        <v>1000</v>
      </c>
      <c r="N881" s="62">
        <f t="shared" si="728"/>
        <v>0</v>
      </c>
      <c r="O881" s="62">
        <f t="shared" si="728"/>
        <v>0</v>
      </c>
      <c r="P881" s="62">
        <f t="shared" si="728"/>
        <v>0</v>
      </c>
      <c r="Q881" s="62">
        <f t="shared" si="728"/>
        <v>0</v>
      </c>
      <c r="R881" s="62">
        <f t="shared" si="728"/>
        <v>0</v>
      </c>
      <c r="S881" s="62">
        <f t="shared" si="728"/>
        <v>-1000</v>
      </c>
      <c r="T881" s="62">
        <f t="shared" si="728"/>
        <v>0</v>
      </c>
      <c r="U881" s="62">
        <f t="shared" si="728"/>
        <v>0</v>
      </c>
      <c r="V881" s="506">
        <f t="shared" si="691"/>
        <v>-1000</v>
      </c>
      <c r="W881" s="506">
        <f t="shared" si="692"/>
        <v>0</v>
      </c>
      <c r="X881" s="34"/>
      <c r="Y881" s="490"/>
      <c r="Z881" s="34"/>
      <c r="AA881" s="34"/>
      <c r="AB881" s="34"/>
      <c r="AH881" s="549"/>
      <c r="AI881" s="549"/>
      <c r="AJ881" s="549"/>
      <c r="AK881" s="549"/>
      <c r="AL881" s="549"/>
    </row>
    <row r="882" spans="1:38" s="4" customFormat="1" ht="12.6" hidden="1" customHeight="1" x14ac:dyDescent="0.3">
      <c r="A882" s="542">
        <v>3222</v>
      </c>
      <c r="B882" s="535" t="s">
        <v>18</v>
      </c>
      <c r="C882" s="108"/>
      <c r="D882" s="102"/>
      <c r="E882" s="102"/>
      <c r="F882" s="109"/>
      <c r="G882" s="109"/>
      <c r="H882" s="109">
        <v>1000</v>
      </c>
      <c r="I882" s="102"/>
      <c r="J882" s="102"/>
      <c r="K882" s="102"/>
      <c r="L882" s="102"/>
      <c r="M882" s="63">
        <f>H882-I882+J882-K882+L882</f>
        <v>1000</v>
      </c>
      <c r="N882" s="63"/>
      <c r="O882" s="63"/>
      <c r="P882" s="63"/>
      <c r="Q882" s="63"/>
      <c r="R882" s="63"/>
      <c r="S882" s="70">
        <f>P882-M882</f>
        <v>-1000</v>
      </c>
      <c r="T882" s="70">
        <f>P882-N882</f>
        <v>0</v>
      </c>
      <c r="U882" s="63">
        <f>N882-G882</f>
        <v>0</v>
      </c>
      <c r="V882" s="506">
        <f t="shared" si="691"/>
        <v>-1000</v>
      </c>
      <c r="W882" s="506">
        <f t="shared" si="692"/>
        <v>0</v>
      </c>
      <c r="X882" s="31"/>
      <c r="Y882" s="486"/>
      <c r="Z882" s="31"/>
      <c r="AA882" s="31"/>
      <c r="AB882" s="31"/>
      <c r="AH882" s="457"/>
      <c r="AI882" s="457"/>
      <c r="AJ882" s="457"/>
      <c r="AK882" s="457"/>
      <c r="AL882" s="457"/>
    </row>
    <row r="883" spans="1:38" s="4" customFormat="1" ht="13.05" hidden="1" x14ac:dyDescent="0.3">
      <c r="A883" s="434">
        <v>3223</v>
      </c>
      <c r="B883" s="117" t="s">
        <v>19</v>
      </c>
      <c r="C883" s="108"/>
      <c r="D883" s="102"/>
      <c r="E883" s="102"/>
      <c r="F883" s="109"/>
      <c r="G883" s="109"/>
      <c r="H883" s="109"/>
      <c r="I883" s="102"/>
      <c r="J883" s="102"/>
      <c r="K883" s="102"/>
      <c r="L883" s="102"/>
      <c r="M883" s="63"/>
      <c r="N883" s="63"/>
      <c r="O883" s="63"/>
      <c r="P883" s="63"/>
      <c r="Q883" s="63"/>
      <c r="R883" s="63"/>
      <c r="S883" s="70">
        <f>P883-M883</f>
        <v>0</v>
      </c>
      <c r="T883" s="70">
        <f>P883-N883</f>
        <v>0</v>
      </c>
      <c r="U883" s="63">
        <f>N883-G883</f>
        <v>0</v>
      </c>
      <c r="V883" s="506">
        <f t="shared" si="691"/>
        <v>0</v>
      </c>
      <c r="W883" s="506">
        <f t="shared" si="692"/>
        <v>0</v>
      </c>
      <c r="X883" s="31"/>
      <c r="Y883" s="486"/>
      <c r="Z883" s="31"/>
      <c r="AA883" s="31"/>
      <c r="AB883" s="31"/>
      <c r="AH883" s="457"/>
      <c r="AI883" s="457"/>
      <c r="AJ883" s="457"/>
      <c r="AK883" s="457"/>
      <c r="AL883" s="457"/>
    </row>
    <row r="884" spans="1:38" s="4" customFormat="1" ht="13.05" hidden="1" x14ac:dyDescent="0.3">
      <c r="A884" s="434">
        <v>3225</v>
      </c>
      <c r="B884" s="117" t="s">
        <v>21</v>
      </c>
      <c r="C884" s="108"/>
      <c r="D884" s="102"/>
      <c r="E884" s="102"/>
      <c r="F884" s="109"/>
      <c r="G884" s="109"/>
      <c r="H884" s="109"/>
      <c r="I884" s="102"/>
      <c r="J884" s="102"/>
      <c r="K884" s="102"/>
      <c r="L884" s="102"/>
      <c r="M884" s="63"/>
      <c r="N884" s="63"/>
      <c r="O884" s="63"/>
      <c r="P884" s="63"/>
      <c r="Q884" s="63"/>
      <c r="R884" s="63"/>
      <c r="S884" s="70">
        <f>P884-M884</f>
        <v>0</v>
      </c>
      <c r="T884" s="70">
        <f>P884-N884</f>
        <v>0</v>
      </c>
      <c r="U884" s="63">
        <f>N884-G884</f>
        <v>0</v>
      </c>
      <c r="V884" s="506">
        <f t="shared" si="691"/>
        <v>0</v>
      </c>
      <c r="W884" s="506">
        <f t="shared" si="692"/>
        <v>0</v>
      </c>
      <c r="X884" s="31"/>
      <c r="Y884" s="486"/>
      <c r="Z884" s="31"/>
      <c r="AA884" s="31"/>
      <c r="AB884" s="31"/>
      <c r="AH884" s="457"/>
      <c r="AI884" s="457"/>
      <c r="AJ884" s="457"/>
      <c r="AK884" s="457"/>
      <c r="AL884" s="457"/>
    </row>
    <row r="885" spans="1:38" s="4" customFormat="1" hidden="1" x14ac:dyDescent="0.3">
      <c r="A885" s="607">
        <v>323</v>
      </c>
      <c r="B885" s="89" t="s">
        <v>23</v>
      </c>
      <c r="C885" s="559"/>
      <c r="D885" s="79"/>
      <c r="E885" s="79"/>
      <c r="F885" s="369"/>
      <c r="G885" s="369"/>
      <c r="H885" s="369">
        <f>SUM(H886:H889)</f>
        <v>50000</v>
      </c>
      <c r="I885" s="369">
        <f t="shared" ref="I885:L885" si="729">SUM(I886:I889)</f>
        <v>30000</v>
      </c>
      <c r="J885" s="369">
        <f t="shared" si="729"/>
        <v>0</v>
      </c>
      <c r="K885" s="369">
        <f t="shared" si="729"/>
        <v>0</v>
      </c>
      <c r="L885" s="369">
        <f t="shared" si="729"/>
        <v>0</v>
      </c>
      <c r="M885" s="369">
        <f>SUM(M886:M889)</f>
        <v>20000</v>
      </c>
      <c r="N885" s="62">
        <f t="shared" ref="N885:U885" si="730">SUM(N886:N889)</f>
        <v>4000</v>
      </c>
      <c r="O885" s="62">
        <f t="shared" si="730"/>
        <v>0</v>
      </c>
      <c r="P885" s="62">
        <f t="shared" si="730"/>
        <v>0</v>
      </c>
      <c r="Q885" s="62">
        <f t="shared" si="730"/>
        <v>0</v>
      </c>
      <c r="R885" s="62">
        <f t="shared" si="730"/>
        <v>0</v>
      </c>
      <c r="S885" s="62">
        <f t="shared" si="730"/>
        <v>-20000</v>
      </c>
      <c r="T885" s="62">
        <f t="shared" si="730"/>
        <v>-4000</v>
      </c>
      <c r="U885" s="62">
        <f t="shared" si="730"/>
        <v>0</v>
      </c>
      <c r="V885" s="506">
        <f t="shared" si="691"/>
        <v>-20000</v>
      </c>
      <c r="W885" s="506">
        <f t="shared" si="692"/>
        <v>0</v>
      </c>
      <c r="X885" s="31"/>
      <c r="Y885" s="486"/>
      <c r="Z885" s="31"/>
      <c r="AA885" s="31"/>
      <c r="AB885" s="31"/>
      <c r="AH885" s="457"/>
      <c r="AI885" s="457"/>
      <c r="AJ885" s="457"/>
      <c r="AK885" s="457"/>
      <c r="AL885" s="457"/>
    </row>
    <row r="886" spans="1:38" s="4" customFormat="1" hidden="1" x14ac:dyDescent="0.3">
      <c r="A886" s="434">
        <v>3233</v>
      </c>
      <c r="B886" s="117" t="s">
        <v>26</v>
      </c>
      <c r="C886" s="108"/>
      <c r="D886" s="102"/>
      <c r="E886" s="102"/>
      <c r="F886" s="109"/>
      <c r="G886" s="109"/>
      <c r="H886" s="109">
        <v>3000</v>
      </c>
      <c r="I886" s="102"/>
      <c r="J886" s="102"/>
      <c r="K886" s="102"/>
      <c r="L886" s="102"/>
      <c r="M886" s="63">
        <f>H886-I886+J886-K886+L886</f>
        <v>3000</v>
      </c>
      <c r="N886" s="63"/>
      <c r="O886" s="63"/>
      <c r="P886" s="63"/>
      <c r="Q886" s="63"/>
      <c r="R886" s="63"/>
      <c r="S886" s="70">
        <f>P886-M886</f>
        <v>-3000</v>
      </c>
      <c r="T886" s="70">
        <f>P886-N886</f>
        <v>0</v>
      </c>
      <c r="U886" s="63">
        <f>N886-G886</f>
        <v>0</v>
      </c>
      <c r="V886" s="506">
        <f t="shared" si="691"/>
        <v>-3000</v>
      </c>
      <c r="W886" s="506">
        <f t="shared" si="692"/>
        <v>0</v>
      </c>
      <c r="X886" s="31"/>
      <c r="Y886" s="486"/>
      <c r="Z886" s="31"/>
      <c r="AA886" s="31"/>
      <c r="AB886" s="31"/>
      <c r="AH886" s="457"/>
      <c r="AI886" s="457"/>
      <c r="AJ886" s="457"/>
      <c r="AK886" s="457"/>
      <c r="AL886" s="457"/>
    </row>
    <row r="887" spans="1:38" s="4" customFormat="1" hidden="1" x14ac:dyDescent="0.3">
      <c r="A887" s="434">
        <v>3235</v>
      </c>
      <c r="B887" s="117" t="s">
        <v>28</v>
      </c>
      <c r="C887" s="108"/>
      <c r="D887" s="102"/>
      <c r="E887" s="102"/>
      <c r="F887" s="109"/>
      <c r="G887" s="109"/>
      <c r="H887" s="109">
        <v>4000</v>
      </c>
      <c r="I887" s="102"/>
      <c r="J887" s="102"/>
      <c r="K887" s="102"/>
      <c r="L887" s="102"/>
      <c r="M887" s="63">
        <f>H887-I887+J887-K887+L887</f>
        <v>4000</v>
      </c>
      <c r="N887" s="63">
        <v>1000</v>
      </c>
      <c r="O887" s="63"/>
      <c r="P887" s="63"/>
      <c r="Q887" s="63"/>
      <c r="R887" s="63"/>
      <c r="S887" s="70">
        <f>P887-M887</f>
        <v>-4000</v>
      </c>
      <c r="T887" s="70">
        <f>P887-N887</f>
        <v>-1000</v>
      </c>
      <c r="U887" s="70">
        <f>Q887-O887</f>
        <v>0</v>
      </c>
      <c r="V887" s="506">
        <f t="shared" si="691"/>
        <v>-4000</v>
      </c>
      <c r="W887" s="506">
        <f t="shared" si="692"/>
        <v>0</v>
      </c>
      <c r="X887" s="31"/>
      <c r="Y887" s="486"/>
      <c r="Z887" s="31"/>
      <c r="AA887" s="31"/>
      <c r="AB887" s="31"/>
      <c r="AH887" s="457"/>
      <c r="AI887" s="457"/>
      <c r="AJ887" s="457"/>
      <c r="AK887" s="457"/>
      <c r="AL887" s="457"/>
    </row>
    <row r="888" spans="1:38" s="4" customFormat="1" hidden="1" x14ac:dyDescent="0.3">
      <c r="A888" s="434">
        <v>3237</v>
      </c>
      <c r="B888" s="614" t="s">
        <v>30</v>
      </c>
      <c r="C888" s="108"/>
      <c r="D888" s="102"/>
      <c r="E888" s="102"/>
      <c r="F888" s="109"/>
      <c r="G888" s="109"/>
      <c r="H888" s="109">
        <v>2000</v>
      </c>
      <c r="I888" s="102"/>
      <c r="J888" s="102"/>
      <c r="K888" s="102"/>
      <c r="L888" s="102"/>
      <c r="M888" s="63">
        <f>H888-I888+J888-K888+L888</f>
        <v>2000</v>
      </c>
      <c r="N888" s="63">
        <v>1000</v>
      </c>
      <c r="O888" s="63"/>
      <c r="P888" s="63"/>
      <c r="Q888" s="63"/>
      <c r="R888" s="63"/>
      <c r="S888" s="70">
        <f>P888-M888</f>
        <v>-2000</v>
      </c>
      <c r="T888" s="70">
        <f>P888-N888</f>
        <v>-1000</v>
      </c>
      <c r="U888" s="70">
        <f>Q888-O888</f>
        <v>0</v>
      </c>
      <c r="V888" s="506">
        <f t="shared" si="691"/>
        <v>-2000</v>
      </c>
      <c r="W888" s="506">
        <f t="shared" si="692"/>
        <v>0</v>
      </c>
      <c r="X888" s="31"/>
      <c r="Y888" s="486"/>
      <c r="Z888" s="31"/>
      <c r="AA888" s="31"/>
      <c r="AB888" s="31"/>
      <c r="AH888" s="457"/>
      <c r="AI888" s="457"/>
      <c r="AJ888" s="457"/>
      <c r="AK888" s="457"/>
      <c r="AL888" s="457"/>
    </row>
    <row r="889" spans="1:38" s="4" customFormat="1" hidden="1" x14ac:dyDescent="0.3">
      <c r="A889" s="434">
        <v>3239</v>
      </c>
      <c r="B889" s="614" t="s">
        <v>31</v>
      </c>
      <c r="C889" s="108"/>
      <c r="D889" s="102"/>
      <c r="E889" s="102"/>
      <c r="F889" s="109"/>
      <c r="G889" s="109"/>
      <c r="H889" s="109">
        <v>41000</v>
      </c>
      <c r="I889" s="102">
        <v>30000</v>
      </c>
      <c r="J889" s="102"/>
      <c r="K889" s="102"/>
      <c r="L889" s="102"/>
      <c r="M889" s="63">
        <f>H889-I889+J889-K889+L889</f>
        <v>11000</v>
      </c>
      <c r="N889" s="63">
        <v>2000</v>
      </c>
      <c r="O889" s="63"/>
      <c r="P889" s="63"/>
      <c r="Q889" s="63"/>
      <c r="R889" s="63"/>
      <c r="S889" s="70">
        <f>P889-M889</f>
        <v>-11000</v>
      </c>
      <c r="T889" s="70">
        <f>P889-N889</f>
        <v>-2000</v>
      </c>
      <c r="U889" s="70">
        <f>Q889-O889</f>
        <v>0</v>
      </c>
      <c r="V889" s="506">
        <f t="shared" si="691"/>
        <v>-11000</v>
      </c>
      <c r="W889" s="506">
        <f t="shared" si="692"/>
        <v>0</v>
      </c>
      <c r="X889" s="31"/>
      <c r="Y889" s="486"/>
      <c r="Z889" s="31"/>
      <c r="AA889" s="31"/>
      <c r="AB889" s="31"/>
      <c r="AH889" s="457"/>
      <c r="AI889" s="457"/>
      <c r="AJ889" s="457"/>
      <c r="AK889" s="457"/>
      <c r="AL889" s="457"/>
    </row>
    <row r="890" spans="1:38" s="4" customFormat="1" ht="24.6" hidden="1" customHeight="1" x14ac:dyDescent="0.3">
      <c r="A890" s="607">
        <v>324</v>
      </c>
      <c r="B890" s="119" t="s">
        <v>32</v>
      </c>
      <c r="C890" s="559"/>
      <c r="D890" s="79"/>
      <c r="E890" s="79"/>
      <c r="F890" s="369"/>
      <c r="G890" s="369"/>
      <c r="H890" s="369">
        <f>SUM(H891)</f>
        <v>4000</v>
      </c>
      <c r="I890" s="369">
        <f t="shared" ref="I890:L890" si="731">SUM(I891)</f>
        <v>3000</v>
      </c>
      <c r="J890" s="369">
        <f t="shared" si="731"/>
        <v>0</v>
      </c>
      <c r="K890" s="369">
        <f t="shared" si="731"/>
        <v>0</v>
      </c>
      <c r="L890" s="369">
        <f t="shared" si="731"/>
        <v>0</v>
      </c>
      <c r="M890" s="369">
        <f>SUM(M891)</f>
        <v>1000</v>
      </c>
      <c r="N890" s="62">
        <f t="shared" ref="N890:U890" si="732">SUM(N891)</f>
        <v>0</v>
      </c>
      <c r="O890" s="62">
        <f t="shared" si="732"/>
        <v>0</v>
      </c>
      <c r="P890" s="62">
        <f t="shared" si="732"/>
        <v>0</v>
      </c>
      <c r="Q890" s="62">
        <f t="shared" si="732"/>
        <v>0</v>
      </c>
      <c r="R890" s="62">
        <f t="shared" si="732"/>
        <v>0</v>
      </c>
      <c r="S890" s="62">
        <f t="shared" si="732"/>
        <v>-1000</v>
      </c>
      <c r="T890" s="62">
        <f t="shared" si="732"/>
        <v>0</v>
      </c>
      <c r="U890" s="62">
        <f t="shared" si="732"/>
        <v>0</v>
      </c>
      <c r="V890" s="506">
        <f t="shared" si="691"/>
        <v>-1000</v>
      </c>
      <c r="W890" s="506">
        <f t="shared" si="692"/>
        <v>0</v>
      </c>
      <c r="X890" s="31"/>
      <c r="Y890" s="486"/>
      <c r="Z890" s="31"/>
      <c r="AA890" s="31"/>
      <c r="AB890" s="31"/>
      <c r="AH890" s="457"/>
      <c r="AI890" s="457"/>
      <c r="AJ890" s="457"/>
      <c r="AK890" s="457"/>
      <c r="AL890" s="457"/>
    </row>
    <row r="891" spans="1:38" s="4" customFormat="1" hidden="1" x14ac:dyDescent="0.3">
      <c r="A891" s="434">
        <v>3241</v>
      </c>
      <c r="B891" s="117" t="s">
        <v>32</v>
      </c>
      <c r="C891" s="108"/>
      <c r="D891" s="102"/>
      <c r="E891" s="102"/>
      <c r="F891" s="109"/>
      <c r="G891" s="109"/>
      <c r="H891" s="109">
        <v>4000</v>
      </c>
      <c r="I891" s="102">
        <v>3000</v>
      </c>
      <c r="J891" s="102"/>
      <c r="K891" s="102"/>
      <c r="L891" s="102"/>
      <c r="M891" s="63">
        <f>H891-I891+J891-K891+L891</f>
        <v>1000</v>
      </c>
      <c r="N891" s="63"/>
      <c r="O891" s="63"/>
      <c r="P891" s="63"/>
      <c r="Q891" s="63"/>
      <c r="R891" s="63"/>
      <c r="S891" s="70">
        <f>P891-M891</f>
        <v>-1000</v>
      </c>
      <c r="T891" s="70">
        <f>P891-N891</f>
        <v>0</v>
      </c>
      <c r="U891" s="63">
        <f>N891-G891</f>
        <v>0</v>
      </c>
      <c r="V891" s="506">
        <f t="shared" si="691"/>
        <v>-1000</v>
      </c>
      <c r="W891" s="506">
        <f t="shared" si="692"/>
        <v>0</v>
      </c>
      <c r="X891" s="31"/>
      <c r="Y891" s="486"/>
      <c r="Z891" s="31"/>
      <c r="AA891" s="31"/>
      <c r="AB891" s="31"/>
      <c r="AH891" s="457"/>
      <c r="AI891" s="457"/>
      <c r="AJ891" s="457"/>
      <c r="AK891" s="457"/>
      <c r="AL891" s="457"/>
    </row>
    <row r="892" spans="1:38" s="4" customFormat="1" ht="26.4" x14ac:dyDescent="0.3">
      <c r="A892" s="579" t="s">
        <v>395</v>
      </c>
      <c r="B892" s="580" t="s">
        <v>394</v>
      </c>
      <c r="C892" s="630"/>
      <c r="D892" s="128"/>
      <c r="E892" s="128"/>
      <c r="F892" s="631"/>
      <c r="G892" s="631"/>
      <c r="H892" s="632">
        <f>SUM(H893)</f>
        <v>8409000</v>
      </c>
      <c r="I892" s="632">
        <f t="shared" ref="I892:U892" si="733">SUM(I893)</f>
        <v>159000</v>
      </c>
      <c r="J892" s="632">
        <f t="shared" si="733"/>
        <v>3089000</v>
      </c>
      <c r="K892" s="632">
        <f t="shared" si="733"/>
        <v>0</v>
      </c>
      <c r="L892" s="632">
        <f t="shared" si="733"/>
        <v>0</v>
      </c>
      <c r="M892" s="632">
        <f t="shared" si="733"/>
        <v>11339000</v>
      </c>
      <c r="N892" s="632">
        <f t="shared" si="733"/>
        <v>2401500</v>
      </c>
      <c r="O892" s="632">
        <f t="shared" si="733"/>
        <v>4284500</v>
      </c>
      <c r="P892" s="632">
        <f t="shared" si="733"/>
        <v>4168000</v>
      </c>
      <c r="Q892" s="632">
        <f t="shared" si="733"/>
        <v>0</v>
      </c>
      <c r="R892" s="632">
        <f t="shared" si="733"/>
        <v>0</v>
      </c>
      <c r="S892" s="632">
        <f t="shared" si="733"/>
        <v>-7171000</v>
      </c>
      <c r="T892" s="632">
        <f t="shared" si="733"/>
        <v>1766500</v>
      </c>
      <c r="U892" s="632">
        <f t="shared" si="733"/>
        <v>-4284500</v>
      </c>
      <c r="V892" s="506">
        <f t="shared" si="691"/>
        <v>-7171000</v>
      </c>
      <c r="W892" s="506">
        <f t="shared" si="692"/>
        <v>0</v>
      </c>
      <c r="X892" s="31"/>
      <c r="Y892" s="486"/>
      <c r="Z892" s="31"/>
      <c r="AA892" s="31"/>
      <c r="AB892" s="31"/>
      <c r="AD892" s="25"/>
      <c r="AH892" s="457"/>
      <c r="AI892" s="457"/>
      <c r="AJ892" s="457"/>
      <c r="AK892" s="457"/>
      <c r="AL892" s="457"/>
    </row>
    <row r="893" spans="1:38" s="4" customFormat="1" x14ac:dyDescent="0.3">
      <c r="A893" s="693" t="s">
        <v>77</v>
      </c>
      <c r="B893" s="694"/>
      <c r="C893" s="519"/>
      <c r="D893" s="519"/>
      <c r="E893" s="519"/>
      <c r="F893" s="519"/>
      <c r="G893" s="519"/>
      <c r="H893" s="633">
        <f>SUM(H894,H897,H923,H926,H929,H940)</f>
        <v>8409000</v>
      </c>
      <c r="I893" s="633">
        <f t="shared" ref="I893:U893" si="734">SUM(I894,I897,I923,I926,I929,I940)</f>
        <v>159000</v>
      </c>
      <c r="J893" s="633">
        <f t="shared" si="734"/>
        <v>3089000</v>
      </c>
      <c r="K893" s="633">
        <f t="shared" si="734"/>
        <v>0</v>
      </c>
      <c r="L893" s="633">
        <f t="shared" si="734"/>
        <v>0</v>
      </c>
      <c r="M893" s="633">
        <f t="shared" si="734"/>
        <v>11339000</v>
      </c>
      <c r="N893" s="633">
        <f t="shared" si="734"/>
        <v>2401500</v>
      </c>
      <c r="O893" s="633">
        <f t="shared" si="734"/>
        <v>4284500</v>
      </c>
      <c r="P893" s="633">
        <f t="shared" si="734"/>
        <v>4168000</v>
      </c>
      <c r="Q893" s="633">
        <f t="shared" si="734"/>
        <v>0</v>
      </c>
      <c r="R893" s="633">
        <f t="shared" si="734"/>
        <v>0</v>
      </c>
      <c r="S893" s="634">
        <f t="shared" si="734"/>
        <v>-7171000</v>
      </c>
      <c r="T893" s="634">
        <f t="shared" si="734"/>
        <v>1766500</v>
      </c>
      <c r="U893" s="634">
        <f t="shared" si="734"/>
        <v>-4284500</v>
      </c>
      <c r="V893" s="506">
        <f t="shared" si="691"/>
        <v>-7171000</v>
      </c>
      <c r="W893" s="506">
        <f t="shared" si="692"/>
        <v>0</v>
      </c>
      <c r="X893" s="31"/>
      <c r="Y893" s="486"/>
      <c r="Z893" s="31"/>
      <c r="AA893" s="31"/>
      <c r="AB893" s="31"/>
      <c r="AH893" s="457"/>
      <c r="AI893" s="457"/>
      <c r="AJ893" s="457"/>
      <c r="AK893" s="457"/>
      <c r="AL893" s="457"/>
    </row>
    <row r="894" spans="1:38" s="4" customFormat="1" hidden="1" x14ac:dyDescent="0.3">
      <c r="A894" s="540" t="s">
        <v>315</v>
      </c>
      <c r="B894" s="145" t="s">
        <v>316</v>
      </c>
      <c r="C894" s="157"/>
      <c r="D894" s="157"/>
      <c r="E894" s="157"/>
      <c r="F894" s="635"/>
      <c r="G894" s="636"/>
      <c r="H894" s="151">
        <f t="shared" ref="H894:U895" si="735">SUM(H895)</f>
        <v>149000</v>
      </c>
      <c r="I894" s="151">
        <f t="shared" si="735"/>
        <v>149000</v>
      </c>
      <c r="J894" s="151">
        <f t="shared" si="735"/>
        <v>0</v>
      </c>
      <c r="K894" s="151">
        <f t="shared" si="735"/>
        <v>0</v>
      </c>
      <c r="L894" s="151">
        <f t="shared" si="735"/>
        <v>0</v>
      </c>
      <c r="M894" s="151">
        <f t="shared" si="735"/>
        <v>0</v>
      </c>
      <c r="N894" s="151">
        <f t="shared" si="735"/>
        <v>189000</v>
      </c>
      <c r="O894" s="151">
        <f t="shared" si="735"/>
        <v>189000</v>
      </c>
      <c r="P894" s="151">
        <f t="shared" si="735"/>
        <v>0</v>
      </c>
      <c r="Q894" s="151">
        <f t="shared" si="735"/>
        <v>0</v>
      </c>
      <c r="R894" s="151">
        <f t="shared" si="735"/>
        <v>0</v>
      </c>
      <c r="S894" s="118">
        <f t="shared" si="735"/>
        <v>0</v>
      </c>
      <c r="T894" s="118">
        <f t="shared" si="735"/>
        <v>-189000</v>
      </c>
      <c r="U894" s="118">
        <f t="shared" si="735"/>
        <v>-189000</v>
      </c>
      <c r="V894" s="506">
        <f t="shared" si="691"/>
        <v>0</v>
      </c>
      <c r="W894" s="506">
        <f t="shared" si="692"/>
        <v>0</v>
      </c>
      <c r="X894" s="31"/>
      <c r="Y894" s="486"/>
      <c r="Z894" s="31"/>
      <c r="AA894" s="31"/>
      <c r="AB894" s="31"/>
      <c r="AH894" s="457"/>
      <c r="AI894" s="457"/>
      <c r="AJ894" s="457"/>
      <c r="AK894" s="457"/>
      <c r="AL894" s="457"/>
    </row>
    <row r="895" spans="1:38" s="4" customFormat="1" hidden="1" x14ac:dyDescent="0.3">
      <c r="A895" s="601" t="s">
        <v>143</v>
      </c>
      <c r="B895" s="601" t="s">
        <v>220</v>
      </c>
      <c r="C895" s="129"/>
      <c r="D895" s="129"/>
      <c r="E895" s="129"/>
      <c r="F895" s="121"/>
      <c r="G895" s="95"/>
      <c r="H895" s="120">
        <f t="shared" si="735"/>
        <v>149000</v>
      </c>
      <c r="I895" s="120">
        <f t="shared" si="735"/>
        <v>149000</v>
      </c>
      <c r="J895" s="120">
        <f t="shared" si="735"/>
        <v>0</v>
      </c>
      <c r="K895" s="120">
        <f t="shared" si="735"/>
        <v>0</v>
      </c>
      <c r="L895" s="120">
        <f t="shared" si="735"/>
        <v>0</v>
      </c>
      <c r="M895" s="120">
        <f t="shared" si="735"/>
        <v>0</v>
      </c>
      <c r="N895" s="120">
        <f t="shared" si="735"/>
        <v>189000</v>
      </c>
      <c r="O895" s="120">
        <f t="shared" si="735"/>
        <v>189000</v>
      </c>
      <c r="P895" s="120">
        <f t="shared" si="735"/>
        <v>0</v>
      </c>
      <c r="Q895" s="120">
        <f t="shared" si="735"/>
        <v>0</v>
      </c>
      <c r="R895" s="120">
        <f t="shared" si="735"/>
        <v>0</v>
      </c>
      <c r="S895" s="120">
        <f t="shared" si="735"/>
        <v>0</v>
      </c>
      <c r="T895" s="120">
        <f t="shared" si="735"/>
        <v>-189000</v>
      </c>
      <c r="U895" s="120">
        <f t="shared" si="735"/>
        <v>-189000</v>
      </c>
      <c r="V895" s="506">
        <f t="shared" si="691"/>
        <v>0</v>
      </c>
      <c r="W895" s="506">
        <f t="shared" si="692"/>
        <v>0</v>
      </c>
      <c r="X895" s="31"/>
      <c r="Y895" s="486"/>
      <c r="Z895" s="31"/>
      <c r="AA895" s="31"/>
      <c r="AB895" s="31"/>
      <c r="AH895" s="457"/>
      <c r="AI895" s="457"/>
      <c r="AJ895" s="457"/>
      <c r="AK895" s="457"/>
      <c r="AL895" s="457"/>
    </row>
    <row r="896" spans="1:38" s="4" customFormat="1" hidden="1" x14ac:dyDescent="0.3">
      <c r="A896" s="542" t="s">
        <v>144</v>
      </c>
      <c r="B896" s="637" t="s">
        <v>5</v>
      </c>
      <c r="C896" s="129"/>
      <c r="D896" s="129"/>
      <c r="E896" s="129"/>
      <c r="F896" s="121"/>
      <c r="G896" s="95"/>
      <c r="H896" s="121">
        <f>90000+20000+20000+9000+10000</f>
        <v>149000</v>
      </c>
      <c r="I896" s="383">
        <v>149000</v>
      </c>
      <c r="J896" s="121"/>
      <c r="K896" s="129"/>
      <c r="L896" s="129"/>
      <c r="M896" s="63">
        <f>H896-I896+J896-K896+L896</f>
        <v>0</v>
      </c>
      <c r="N896" s="121">
        <f>90000+40000+20000+20000+9000+10000</f>
        <v>189000</v>
      </c>
      <c r="O896" s="121">
        <f>90000+40000+20000+20000+9000+10000</f>
        <v>189000</v>
      </c>
      <c r="P896" s="129"/>
      <c r="Q896" s="129"/>
      <c r="R896" s="129"/>
      <c r="S896" s="70">
        <f>P896-M896</f>
        <v>0</v>
      </c>
      <c r="T896" s="70">
        <f>P896-N896</f>
        <v>-189000</v>
      </c>
      <c r="U896" s="70">
        <f>Q896-O896</f>
        <v>-189000</v>
      </c>
      <c r="V896" s="506">
        <f t="shared" si="691"/>
        <v>0</v>
      </c>
      <c r="W896" s="506">
        <f t="shared" si="692"/>
        <v>0</v>
      </c>
      <c r="X896" s="31"/>
      <c r="Y896" s="486"/>
      <c r="Z896" s="31"/>
      <c r="AA896" s="31"/>
      <c r="AB896" s="31"/>
      <c r="AH896" s="457"/>
      <c r="AI896" s="457"/>
      <c r="AJ896" s="457"/>
      <c r="AK896" s="457"/>
      <c r="AL896" s="457"/>
    </row>
    <row r="897" spans="1:38" s="4" customFormat="1" hidden="1" x14ac:dyDescent="0.3">
      <c r="A897" s="540" t="s">
        <v>317</v>
      </c>
      <c r="B897" s="540" t="s">
        <v>318</v>
      </c>
      <c r="C897" s="157"/>
      <c r="D897" s="157"/>
      <c r="E897" s="157"/>
      <c r="F897" s="635"/>
      <c r="G897" s="636"/>
      <c r="H897" s="151">
        <f>SUM(H898,H901,H907,H917,H919)</f>
        <v>10000</v>
      </c>
      <c r="I897" s="151">
        <f t="shared" ref="I897:L897" si="736">SUM(I898,I901,I907,I917,I919)</f>
        <v>10000</v>
      </c>
      <c r="J897" s="151">
        <f t="shared" si="736"/>
        <v>0</v>
      </c>
      <c r="K897" s="151">
        <f t="shared" si="736"/>
        <v>0</v>
      </c>
      <c r="L897" s="151">
        <f t="shared" si="736"/>
        <v>0</v>
      </c>
      <c r="M897" s="151">
        <f>SUM(M898,M901,M907,M917,M919)</f>
        <v>0</v>
      </c>
      <c r="N897" s="151">
        <f t="shared" ref="N897:U897" si="737">SUM(N898,N901,N907,N917,N919)</f>
        <v>1022500</v>
      </c>
      <c r="O897" s="151">
        <f t="shared" si="737"/>
        <v>908500</v>
      </c>
      <c r="P897" s="151">
        <f t="shared" si="737"/>
        <v>0</v>
      </c>
      <c r="Q897" s="151">
        <f t="shared" si="737"/>
        <v>0</v>
      </c>
      <c r="R897" s="151">
        <f t="shared" si="737"/>
        <v>0</v>
      </c>
      <c r="S897" s="118">
        <f t="shared" si="737"/>
        <v>0</v>
      </c>
      <c r="T897" s="118">
        <f t="shared" si="737"/>
        <v>-1022500</v>
      </c>
      <c r="U897" s="118">
        <f t="shared" si="737"/>
        <v>-908500</v>
      </c>
      <c r="V897" s="506">
        <f t="shared" si="691"/>
        <v>0</v>
      </c>
      <c r="W897" s="506">
        <f t="shared" si="692"/>
        <v>0</v>
      </c>
      <c r="X897" s="31"/>
      <c r="Y897" s="486"/>
      <c r="Z897" s="31"/>
      <c r="AA897" s="31"/>
      <c r="AB897" s="31"/>
      <c r="AH897" s="457"/>
      <c r="AI897" s="457"/>
      <c r="AJ897" s="457"/>
      <c r="AK897" s="457"/>
      <c r="AL897" s="457"/>
    </row>
    <row r="898" spans="1:38" s="4" customFormat="1" hidden="1" x14ac:dyDescent="0.3">
      <c r="A898" s="638" t="s">
        <v>149</v>
      </c>
      <c r="B898" s="119" t="s">
        <v>12</v>
      </c>
      <c r="C898" s="129"/>
      <c r="D898" s="129"/>
      <c r="E898" s="129"/>
      <c r="F898" s="121"/>
      <c r="G898" s="95"/>
      <c r="H898" s="120">
        <f>SUM(H899:H900)</f>
        <v>10000</v>
      </c>
      <c r="I898" s="120">
        <f t="shared" ref="I898:L898" si="738">SUM(I899:I900)</f>
        <v>10000</v>
      </c>
      <c r="J898" s="120">
        <f t="shared" si="738"/>
        <v>0</v>
      </c>
      <c r="K898" s="120">
        <f t="shared" si="738"/>
        <v>0</v>
      </c>
      <c r="L898" s="120">
        <f t="shared" si="738"/>
        <v>0</v>
      </c>
      <c r="M898" s="120">
        <f>SUM(M899:M900)</f>
        <v>0</v>
      </c>
      <c r="N898" s="120">
        <f t="shared" ref="N898:U898" si="739">SUM(N899:N900)</f>
        <v>20000</v>
      </c>
      <c r="O898" s="120">
        <f t="shared" si="739"/>
        <v>16000</v>
      </c>
      <c r="P898" s="120">
        <f t="shared" si="739"/>
        <v>0</v>
      </c>
      <c r="Q898" s="120">
        <f t="shared" si="739"/>
        <v>0</v>
      </c>
      <c r="R898" s="120">
        <f t="shared" si="739"/>
        <v>0</v>
      </c>
      <c r="S898" s="120">
        <f t="shared" si="739"/>
        <v>0</v>
      </c>
      <c r="T898" s="120">
        <f t="shared" si="739"/>
        <v>-20000</v>
      </c>
      <c r="U898" s="120">
        <f t="shared" si="739"/>
        <v>-16000</v>
      </c>
      <c r="V898" s="506">
        <f t="shared" si="691"/>
        <v>0</v>
      </c>
      <c r="W898" s="506">
        <f t="shared" si="692"/>
        <v>0</v>
      </c>
      <c r="X898" s="31"/>
      <c r="Y898" s="486"/>
      <c r="Z898" s="31"/>
      <c r="AA898" s="31"/>
      <c r="AB898" s="31"/>
      <c r="AH898" s="457"/>
      <c r="AI898" s="457"/>
      <c r="AJ898" s="457"/>
      <c r="AK898" s="457"/>
      <c r="AL898" s="457"/>
    </row>
    <row r="899" spans="1:38" s="4" customFormat="1" hidden="1" x14ac:dyDescent="0.3">
      <c r="A899" s="434">
        <v>3211</v>
      </c>
      <c r="B899" s="117" t="s">
        <v>13</v>
      </c>
      <c r="C899" s="129"/>
      <c r="D899" s="129"/>
      <c r="E899" s="129"/>
      <c r="F899" s="121"/>
      <c r="G899" s="95"/>
      <c r="H899" s="121">
        <v>4000</v>
      </c>
      <c r="I899" s="121">
        <v>4000</v>
      </c>
      <c r="J899" s="121"/>
      <c r="K899" s="129"/>
      <c r="L899" s="129"/>
      <c r="M899" s="63">
        <f>H899-I899+J899-K899+L899</f>
        <v>0</v>
      </c>
      <c r="N899" s="121">
        <f>2000+8000</f>
        <v>10000</v>
      </c>
      <c r="O899" s="121">
        <f>2000+8000</f>
        <v>10000</v>
      </c>
      <c r="P899" s="129"/>
      <c r="Q899" s="129"/>
      <c r="R899" s="129"/>
      <c r="S899" s="70">
        <f>P899-M899</f>
        <v>0</v>
      </c>
      <c r="T899" s="70">
        <f>P899-N899</f>
        <v>-10000</v>
      </c>
      <c r="U899" s="70">
        <f>Q899-O899</f>
        <v>-10000</v>
      </c>
      <c r="V899" s="506">
        <f t="shared" si="691"/>
        <v>0</v>
      </c>
      <c r="W899" s="506">
        <f t="shared" si="692"/>
        <v>0</v>
      </c>
      <c r="X899" s="31"/>
      <c r="Y899" s="486"/>
      <c r="Z899" s="31"/>
      <c r="AA899" s="31"/>
      <c r="AB899" s="31"/>
      <c r="AH899" s="457"/>
      <c r="AI899" s="457"/>
      <c r="AJ899" s="457"/>
      <c r="AK899" s="457"/>
      <c r="AL899" s="457"/>
    </row>
    <row r="900" spans="1:38" s="4" customFormat="1" ht="10.5" hidden="1" customHeight="1" x14ac:dyDescent="0.3">
      <c r="A900" s="434">
        <v>3213</v>
      </c>
      <c r="B900" s="117" t="s">
        <v>15</v>
      </c>
      <c r="C900" s="129"/>
      <c r="D900" s="129"/>
      <c r="E900" s="129"/>
      <c r="F900" s="121"/>
      <c r="G900" s="95"/>
      <c r="H900" s="121">
        <f>4000+2000</f>
        <v>6000</v>
      </c>
      <c r="I900" s="121">
        <v>6000</v>
      </c>
      <c r="J900" s="121"/>
      <c r="K900" s="129"/>
      <c r="L900" s="129"/>
      <c r="M900" s="63">
        <f>H900-I900+J900-K900+L900</f>
        <v>0</v>
      </c>
      <c r="N900" s="121">
        <f>4000+6000</f>
        <v>10000</v>
      </c>
      <c r="O900" s="121">
        <v>6000</v>
      </c>
      <c r="P900" s="129"/>
      <c r="Q900" s="129"/>
      <c r="R900" s="129"/>
      <c r="S900" s="70">
        <f>P900-M900</f>
        <v>0</v>
      </c>
      <c r="T900" s="70">
        <f>P900-N900</f>
        <v>-10000</v>
      </c>
      <c r="U900" s="70">
        <f>Q900-O900</f>
        <v>-6000</v>
      </c>
      <c r="V900" s="506">
        <f t="shared" si="691"/>
        <v>0</v>
      </c>
      <c r="W900" s="506">
        <f t="shared" si="692"/>
        <v>0</v>
      </c>
      <c r="X900" s="31"/>
      <c r="Y900" s="486"/>
      <c r="Z900" s="31"/>
      <c r="AA900" s="31"/>
      <c r="AB900" s="31"/>
      <c r="AH900" s="457"/>
      <c r="AI900" s="457"/>
      <c r="AJ900" s="457"/>
      <c r="AK900" s="457"/>
      <c r="AL900" s="457"/>
    </row>
    <row r="901" spans="1:38" s="4" customFormat="1" ht="13.05" hidden="1" x14ac:dyDescent="0.3">
      <c r="A901" s="639">
        <v>322</v>
      </c>
      <c r="B901" s="89" t="s">
        <v>16</v>
      </c>
      <c r="C901" s="129"/>
      <c r="D901" s="129"/>
      <c r="E901" s="129"/>
      <c r="F901" s="121"/>
      <c r="G901" s="95"/>
      <c r="H901" s="120">
        <f>SUM(H902:H906)</f>
        <v>0</v>
      </c>
      <c r="I901" s="120">
        <f t="shared" ref="I901:L901" si="740">SUM(I902:I906)</f>
        <v>0</v>
      </c>
      <c r="J901" s="120">
        <f t="shared" si="740"/>
        <v>0</v>
      </c>
      <c r="K901" s="120">
        <f t="shared" si="740"/>
        <v>0</v>
      </c>
      <c r="L901" s="120">
        <f t="shared" si="740"/>
        <v>0</v>
      </c>
      <c r="M901" s="120">
        <f>SUM(M902:M906)</f>
        <v>0</v>
      </c>
      <c r="N901" s="120">
        <f t="shared" ref="N901:U901" si="741">SUM(N902:N906)</f>
        <v>16000</v>
      </c>
      <c r="O901" s="120">
        <f t="shared" si="741"/>
        <v>16000</v>
      </c>
      <c r="P901" s="120">
        <f t="shared" si="741"/>
        <v>0</v>
      </c>
      <c r="Q901" s="120">
        <f t="shared" si="741"/>
        <v>0</v>
      </c>
      <c r="R901" s="120">
        <f t="shared" si="741"/>
        <v>0</v>
      </c>
      <c r="S901" s="120">
        <f t="shared" si="741"/>
        <v>0</v>
      </c>
      <c r="T901" s="120">
        <f t="shared" si="741"/>
        <v>-16000</v>
      </c>
      <c r="U901" s="120">
        <f t="shared" si="741"/>
        <v>-16000</v>
      </c>
      <c r="V901" s="506">
        <f t="shared" si="691"/>
        <v>0</v>
      </c>
      <c r="W901" s="506">
        <f t="shared" si="692"/>
        <v>0</v>
      </c>
      <c r="X901" s="31"/>
      <c r="Y901" s="486"/>
      <c r="Z901" s="31"/>
      <c r="AA901" s="31"/>
      <c r="AB901" s="31"/>
      <c r="AH901" s="457"/>
      <c r="AI901" s="457"/>
      <c r="AJ901" s="457"/>
      <c r="AK901" s="457"/>
      <c r="AL901" s="457"/>
    </row>
    <row r="902" spans="1:38" s="4" customFormat="1" ht="13.05" hidden="1" x14ac:dyDescent="0.3">
      <c r="A902" s="542">
        <v>3221</v>
      </c>
      <c r="B902" s="535" t="s">
        <v>17</v>
      </c>
      <c r="C902" s="129"/>
      <c r="D902" s="129"/>
      <c r="E902" s="129"/>
      <c r="F902" s="121"/>
      <c r="G902" s="95"/>
      <c r="H902" s="121"/>
      <c r="I902" s="121"/>
      <c r="J902" s="121"/>
      <c r="K902" s="129"/>
      <c r="L902" s="129"/>
      <c r="M902" s="63"/>
      <c r="N902" s="121">
        <v>5000</v>
      </c>
      <c r="O902" s="121">
        <v>5000</v>
      </c>
      <c r="P902" s="129"/>
      <c r="Q902" s="129"/>
      <c r="R902" s="129"/>
      <c r="S902" s="70">
        <f>P902-M902</f>
        <v>0</v>
      </c>
      <c r="T902" s="70">
        <f t="shared" ref="T902:U906" si="742">P902-N902</f>
        <v>-5000</v>
      </c>
      <c r="U902" s="70">
        <f t="shared" si="742"/>
        <v>-5000</v>
      </c>
      <c r="V902" s="506">
        <f t="shared" si="691"/>
        <v>0</v>
      </c>
      <c r="W902" s="506">
        <f t="shared" si="692"/>
        <v>0</v>
      </c>
      <c r="X902" s="31"/>
      <c r="Y902" s="486"/>
      <c r="Z902" s="31"/>
      <c r="AA902" s="31"/>
      <c r="AB902" s="31"/>
      <c r="AH902" s="457"/>
      <c r="AI902" s="457"/>
      <c r="AJ902" s="457"/>
      <c r="AK902" s="457"/>
      <c r="AL902" s="457"/>
    </row>
    <row r="903" spans="1:38" s="4" customFormat="1" ht="13.05" hidden="1" x14ac:dyDescent="0.3">
      <c r="A903" s="542">
        <v>3222</v>
      </c>
      <c r="B903" s="535" t="s">
        <v>18</v>
      </c>
      <c r="C903" s="129"/>
      <c r="D903" s="129"/>
      <c r="E903" s="129"/>
      <c r="F903" s="121"/>
      <c r="G903" s="95"/>
      <c r="H903" s="121"/>
      <c r="I903" s="121"/>
      <c r="J903" s="121"/>
      <c r="K903" s="129"/>
      <c r="L903" s="129"/>
      <c r="M903" s="63"/>
      <c r="N903" s="121">
        <v>1000</v>
      </c>
      <c r="O903" s="121">
        <v>1000</v>
      </c>
      <c r="P903" s="129"/>
      <c r="Q903" s="129"/>
      <c r="R903" s="129"/>
      <c r="S903" s="70">
        <f>P903-M903</f>
        <v>0</v>
      </c>
      <c r="T903" s="70">
        <f t="shared" si="742"/>
        <v>-1000</v>
      </c>
      <c r="U903" s="70">
        <f t="shared" si="742"/>
        <v>-1000</v>
      </c>
      <c r="V903" s="506">
        <f t="shared" si="691"/>
        <v>0</v>
      </c>
      <c r="W903" s="506">
        <f t="shared" si="692"/>
        <v>0</v>
      </c>
      <c r="X903" s="31"/>
      <c r="Y903" s="486"/>
      <c r="Z903" s="31"/>
      <c r="AA903" s="31"/>
      <c r="AB903" s="31"/>
      <c r="AH903" s="457"/>
      <c r="AI903" s="457"/>
      <c r="AJ903" s="457"/>
      <c r="AK903" s="457"/>
      <c r="AL903" s="457"/>
    </row>
    <row r="904" spans="1:38" s="4" customFormat="1" ht="13.05" hidden="1" x14ac:dyDescent="0.3">
      <c r="A904" s="434">
        <v>3223</v>
      </c>
      <c r="B904" s="117" t="s">
        <v>19</v>
      </c>
      <c r="C904" s="129"/>
      <c r="D904" s="129"/>
      <c r="E904" s="129"/>
      <c r="F904" s="121"/>
      <c r="G904" s="95"/>
      <c r="H904" s="121"/>
      <c r="I904" s="121"/>
      <c r="J904" s="121"/>
      <c r="K904" s="129"/>
      <c r="L904" s="129"/>
      <c r="M904" s="63"/>
      <c r="N904" s="121">
        <f>2000+1000</f>
        <v>3000</v>
      </c>
      <c r="O904" s="121">
        <f>2000+1000</f>
        <v>3000</v>
      </c>
      <c r="P904" s="129"/>
      <c r="Q904" s="129"/>
      <c r="R904" s="129"/>
      <c r="S904" s="70">
        <f>P904-M904</f>
        <v>0</v>
      </c>
      <c r="T904" s="70">
        <f t="shared" si="742"/>
        <v>-3000</v>
      </c>
      <c r="U904" s="70">
        <f t="shared" si="742"/>
        <v>-3000</v>
      </c>
      <c r="V904" s="506">
        <f t="shared" si="691"/>
        <v>0</v>
      </c>
      <c r="W904" s="506">
        <f t="shared" si="692"/>
        <v>0</v>
      </c>
      <c r="X904" s="31"/>
      <c r="Y904" s="486"/>
      <c r="Z904" s="31"/>
      <c r="AA904" s="31"/>
      <c r="AB904" s="31"/>
      <c r="AH904" s="457"/>
      <c r="AI904" s="457"/>
      <c r="AJ904" s="457"/>
      <c r="AK904" s="457"/>
      <c r="AL904" s="457"/>
    </row>
    <row r="905" spans="1:38" s="4" customFormat="1" ht="13.05" hidden="1" x14ac:dyDescent="0.3">
      <c r="A905" s="434">
        <v>3224</v>
      </c>
      <c r="B905" s="117" t="s">
        <v>112</v>
      </c>
      <c r="C905" s="129"/>
      <c r="D905" s="129"/>
      <c r="E905" s="129"/>
      <c r="F905" s="121"/>
      <c r="G905" s="95"/>
      <c r="H905" s="121"/>
      <c r="I905" s="121"/>
      <c r="J905" s="121"/>
      <c r="K905" s="129"/>
      <c r="L905" s="129"/>
      <c r="M905" s="63"/>
      <c r="N905" s="121">
        <v>3000</v>
      </c>
      <c r="O905" s="121">
        <v>3000</v>
      </c>
      <c r="P905" s="129"/>
      <c r="Q905" s="129"/>
      <c r="R905" s="129"/>
      <c r="S905" s="70">
        <f>P905-M905</f>
        <v>0</v>
      </c>
      <c r="T905" s="70">
        <f t="shared" si="742"/>
        <v>-3000</v>
      </c>
      <c r="U905" s="70">
        <f t="shared" si="742"/>
        <v>-3000</v>
      </c>
      <c r="V905" s="506">
        <f t="shared" si="691"/>
        <v>0</v>
      </c>
      <c r="W905" s="506">
        <f t="shared" si="692"/>
        <v>0</v>
      </c>
      <c r="X905" s="31"/>
      <c r="Y905" s="486"/>
      <c r="Z905" s="31"/>
      <c r="AA905" s="31"/>
      <c r="AB905" s="31"/>
      <c r="AH905" s="457"/>
      <c r="AI905" s="457"/>
      <c r="AJ905" s="457"/>
      <c r="AK905" s="457"/>
      <c r="AL905" s="457"/>
    </row>
    <row r="906" spans="1:38" s="4" customFormat="1" ht="13.05" hidden="1" x14ac:dyDescent="0.3">
      <c r="A906" s="434">
        <v>3225</v>
      </c>
      <c r="B906" s="117" t="s">
        <v>21</v>
      </c>
      <c r="C906" s="129"/>
      <c r="D906" s="129"/>
      <c r="E906" s="129"/>
      <c r="F906" s="121"/>
      <c r="G906" s="95"/>
      <c r="H906" s="121"/>
      <c r="I906" s="121"/>
      <c r="J906" s="121"/>
      <c r="K906" s="129"/>
      <c r="L906" s="129"/>
      <c r="M906" s="63"/>
      <c r="N906" s="121">
        <v>4000</v>
      </c>
      <c r="O906" s="121">
        <v>4000</v>
      </c>
      <c r="P906" s="129"/>
      <c r="Q906" s="129"/>
      <c r="R906" s="129"/>
      <c r="S906" s="70">
        <f>P906-M906</f>
        <v>0</v>
      </c>
      <c r="T906" s="70">
        <f t="shared" si="742"/>
        <v>-4000</v>
      </c>
      <c r="U906" s="70">
        <f t="shared" si="742"/>
        <v>-4000</v>
      </c>
      <c r="V906" s="506">
        <f t="shared" si="691"/>
        <v>0</v>
      </c>
      <c r="W906" s="506">
        <f t="shared" si="692"/>
        <v>0</v>
      </c>
      <c r="X906" s="31"/>
      <c r="Y906" s="486"/>
      <c r="Z906" s="31"/>
      <c r="AA906" s="31"/>
      <c r="AB906" s="31"/>
      <c r="AH906" s="457"/>
      <c r="AI906" s="457"/>
      <c r="AJ906" s="457"/>
      <c r="AK906" s="457"/>
      <c r="AL906" s="457"/>
    </row>
    <row r="907" spans="1:38" s="4" customFormat="1" ht="13.05" hidden="1" x14ac:dyDescent="0.3">
      <c r="A907" s="640" t="s">
        <v>159</v>
      </c>
      <c r="B907" s="558" t="s">
        <v>123</v>
      </c>
      <c r="C907" s="129"/>
      <c r="D907" s="129"/>
      <c r="E907" s="129"/>
      <c r="F907" s="121"/>
      <c r="G907" s="95"/>
      <c r="H907" s="120">
        <f>SUM(H908:H916)</f>
        <v>0</v>
      </c>
      <c r="I907" s="120">
        <f t="shared" ref="I907:L907" si="743">SUM(I908:I916)</f>
        <v>0</v>
      </c>
      <c r="J907" s="120">
        <f t="shared" si="743"/>
        <v>0</v>
      </c>
      <c r="K907" s="120">
        <f t="shared" si="743"/>
        <v>0</v>
      </c>
      <c r="L907" s="120">
        <f t="shared" si="743"/>
        <v>0</v>
      </c>
      <c r="M907" s="120">
        <f>SUM(M908:M916)</f>
        <v>0</v>
      </c>
      <c r="N907" s="120">
        <f t="shared" ref="N907:U907" si="744">SUM(N908:N916)</f>
        <v>959500</v>
      </c>
      <c r="O907" s="120">
        <f t="shared" si="744"/>
        <v>849500</v>
      </c>
      <c r="P907" s="120">
        <f t="shared" si="744"/>
        <v>0</v>
      </c>
      <c r="Q907" s="120">
        <f t="shared" si="744"/>
        <v>0</v>
      </c>
      <c r="R907" s="120">
        <f t="shared" si="744"/>
        <v>0</v>
      </c>
      <c r="S907" s="120">
        <f t="shared" si="744"/>
        <v>0</v>
      </c>
      <c r="T907" s="120">
        <f t="shared" si="744"/>
        <v>-959500</v>
      </c>
      <c r="U907" s="120">
        <f t="shared" si="744"/>
        <v>-849500</v>
      </c>
      <c r="V907" s="506">
        <f t="shared" si="691"/>
        <v>0</v>
      </c>
      <c r="W907" s="506">
        <f t="shared" si="692"/>
        <v>0</v>
      </c>
      <c r="X907" s="31"/>
      <c r="Y907" s="486"/>
      <c r="Z907" s="31"/>
      <c r="AA907" s="31"/>
      <c r="AB907" s="31"/>
      <c r="AH907" s="457"/>
      <c r="AI907" s="457"/>
      <c r="AJ907" s="457"/>
      <c r="AK907" s="457"/>
      <c r="AL907" s="457"/>
    </row>
    <row r="908" spans="1:38" s="4" customFormat="1" ht="13.05" hidden="1" x14ac:dyDescent="0.3">
      <c r="A908" s="130">
        <v>3231</v>
      </c>
      <c r="B908" s="107" t="s">
        <v>24</v>
      </c>
      <c r="C908" s="129"/>
      <c r="D908" s="129"/>
      <c r="E908" s="129"/>
      <c r="F908" s="121"/>
      <c r="G908" s="95"/>
      <c r="H908" s="121"/>
      <c r="I908" s="121"/>
      <c r="J908" s="121"/>
      <c r="K908" s="129"/>
      <c r="L908" s="129"/>
      <c r="M908" s="63"/>
      <c r="N908" s="121">
        <v>2000</v>
      </c>
      <c r="O908" s="121">
        <v>2000</v>
      </c>
      <c r="P908" s="129"/>
      <c r="Q908" s="129"/>
      <c r="R908" s="129"/>
      <c r="S908" s="70">
        <f>P908-M908</f>
        <v>0</v>
      </c>
      <c r="T908" s="70">
        <f t="shared" ref="T908:U916" si="745">P908-N908</f>
        <v>-2000</v>
      </c>
      <c r="U908" s="70">
        <f t="shared" si="745"/>
        <v>-2000</v>
      </c>
      <c r="V908" s="506">
        <f t="shared" ref="V908:V971" si="746">P908-M908</f>
        <v>0</v>
      </c>
      <c r="W908" s="506">
        <f t="shared" ref="W908:W971" si="747">S908-V908</f>
        <v>0</v>
      </c>
      <c r="X908" s="31"/>
      <c r="Y908" s="486"/>
      <c r="Z908" s="31"/>
      <c r="AA908" s="31"/>
      <c r="AB908" s="31"/>
      <c r="AH908" s="457"/>
      <c r="AI908" s="457"/>
      <c r="AJ908" s="457"/>
      <c r="AK908" s="457"/>
      <c r="AL908" s="457"/>
    </row>
    <row r="909" spans="1:38" s="4" customFormat="1" ht="13.05" hidden="1" x14ac:dyDescent="0.3">
      <c r="A909" s="130">
        <v>3232</v>
      </c>
      <c r="B909" s="107" t="s">
        <v>25</v>
      </c>
      <c r="C909" s="129"/>
      <c r="D909" s="129"/>
      <c r="E909" s="129"/>
      <c r="F909" s="121"/>
      <c r="G909" s="95"/>
      <c r="H909" s="121"/>
      <c r="I909" s="121"/>
      <c r="J909" s="121"/>
      <c r="K909" s="129"/>
      <c r="L909" s="129"/>
      <c r="M909" s="63"/>
      <c r="N909" s="121">
        <v>2000</v>
      </c>
      <c r="O909" s="121">
        <v>2000</v>
      </c>
      <c r="P909" s="129"/>
      <c r="Q909" s="129"/>
      <c r="R909" s="129"/>
      <c r="S909" s="70">
        <f>P909-M909</f>
        <v>0</v>
      </c>
      <c r="T909" s="70">
        <f t="shared" si="745"/>
        <v>-2000</v>
      </c>
      <c r="U909" s="70">
        <f t="shared" si="745"/>
        <v>-2000</v>
      </c>
      <c r="V909" s="506">
        <f t="shared" si="746"/>
        <v>0</v>
      </c>
      <c r="W909" s="506">
        <f t="shared" si="747"/>
        <v>0</v>
      </c>
      <c r="X909" s="31"/>
      <c r="Y909" s="486"/>
      <c r="Z909" s="31"/>
      <c r="AA909" s="31"/>
      <c r="AB909" s="31"/>
      <c r="AH909" s="457"/>
      <c r="AI909" s="457"/>
      <c r="AJ909" s="457"/>
      <c r="AK909" s="457"/>
      <c r="AL909" s="457"/>
    </row>
    <row r="910" spans="1:38" s="4" customFormat="1" ht="13.05" hidden="1" x14ac:dyDescent="0.3">
      <c r="A910" s="130">
        <v>3233</v>
      </c>
      <c r="B910" s="107" t="s">
        <v>26</v>
      </c>
      <c r="C910" s="129"/>
      <c r="D910" s="129"/>
      <c r="E910" s="129"/>
      <c r="F910" s="121"/>
      <c r="G910" s="95"/>
      <c r="H910" s="121"/>
      <c r="I910" s="121"/>
      <c r="J910" s="121"/>
      <c r="K910" s="129"/>
      <c r="L910" s="129"/>
      <c r="M910" s="63"/>
      <c r="N910" s="121">
        <f>8000+5000</f>
        <v>13000</v>
      </c>
      <c r="O910" s="121">
        <f>3000+8000+5000</f>
        <v>16000</v>
      </c>
      <c r="P910" s="129"/>
      <c r="Q910" s="129"/>
      <c r="R910" s="129"/>
      <c r="S910" s="70">
        <f>P910-M910</f>
        <v>0</v>
      </c>
      <c r="T910" s="70">
        <f t="shared" si="745"/>
        <v>-13000</v>
      </c>
      <c r="U910" s="70">
        <f t="shared" si="745"/>
        <v>-16000</v>
      </c>
      <c r="V910" s="506">
        <f t="shared" si="746"/>
        <v>0</v>
      </c>
      <c r="W910" s="506">
        <f t="shared" si="747"/>
        <v>0</v>
      </c>
      <c r="X910" s="31"/>
      <c r="Y910" s="486"/>
      <c r="Z910" s="31"/>
      <c r="AA910" s="31"/>
      <c r="AB910" s="31"/>
      <c r="AH910" s="457"/>
      <c r="AI910" s="457"/>
      <c r="AJ910" s="457"/>
      <c r="AK910" s="457"/>
      <c r="AL910" s="457"/>
    </row>
    <row r="911" spans="1:38" s="4" customFormat="1" ht="13.05" hidden="1" x14ac:dyDescent="0.3">
      <c r="A911" s="130">
        <v>3234</v>
      </c>
      <c r="B911" s="107" t="s">
        <v>27</v>
      </c>
      <c r="C911" s="129"/>
      <c r="D911" s="129"/>
      <c r="E911" s="129"/>
      <c r="F911" s="121"/>
      <c r="G911" s="95"/>
      <c r="H911" s="121"/>
      <c r="I911" s="121"/>
      <c r="J911" s="121"/>
      <c r="K911" s="129"/>
      <c r="L911" s="129"/>
      <c r="M911" s="63"/>
      <c r="N911" s="121">
        <v>7000</v>
      </c>
      <c r="O911" s="121">
        <v>7000</v>
      </c>
      <c r="P911" s="129"/>
      <c r="Q911" s="129"/>
      <c r="R911" s="129"/>
      <c r="S911" s="70">
        <f>P911-M911</f>
        <v>0</v>
      </c>
      <c r="T911" s="70">
        <f t="shared" si="745"/>
        <v>-7000</v>
      </c>
      <c r="U911" s="70">
        <f t="shared" si="745"/>
        <v>-7000</v>
      </c>
      <c r="V911" s="506">
        <f t="shared" si="746"/>
        <v>0</v>
      </c>
      <c r="W911" s="506">
        <f t="shared" si="747"/>
        <v>0</v>
      </c>
      <c r="X911" s="31"/>
      <c r="Y911" s="486"/>
      <c r="Z911" s="31"/>
      <c r="AA911" s="31"/>
      <c r="AB911" s="31"/>
      <c r="AH911" s="457"/>
      <c r="AI911" s="457"/>
      <c r="AJ911" s="457"/>
      <c r="AK911" s="457"/>
      <c r="AL911" s="457"/>
    </row>
    <row r="912" spans="1:38" s="4" customFormat="1" ht="9.6" hidden="1" customHeight="1" x14ac:dyDescent="0.3">
      <c r="A912" s="130">
        <v>3235</v>
      </c>
      <c r="B912" s="107" t="s">
        <v>28</v>
      </c>
      <c r="C912" s="129"/>
      <c r="D912" s="129"/>
      <c r="E912" s="129"/>
      <c r="F912" s="121"/>
      <c r="G912" s="95"/>
      <c r="H912" s="121"/>
      <c r="I912" s="121"/>
      <c r="J912" s="121"/>
      <c r="K912" s="129"/>
      <c r="L912" s="129"/>
      <c r="M912" s="63"/>
      <c r="N912" s="121">
        <f>9000+1000</f>
        <v>10000</v>
      </c>
      <c r="O912" s="121">
        <f>1000</f>
        <v>1000</v>
      </c>
      <c r="P912" s="129"/>
      <c r="Q912" s="129"/>
      <c r="R912" s="129"/>
      <c r="S912" s="63">
        <v>0</v>
      </c>
      <c r="T912" s="70">
        <f t="shared" si="745"/>
        <v>-10000</v>
      </c>
      <c r="U912" s="70">
        <f t="shared" si="745"/>
        <v>-1000</v>
      </c>
      <c r="V912" s="506">
        <f t="shared" si="746"/>
        <v>0</v>
      </c>
      <c r="W912" s="506">
        <f t="shared" si="747"/>
        <v>0</v>
      </c>
      <c r="X912" s="31"/>
      <c r="Y912" s="486"/>
      <c r="Z912" s="31"/>
      <c r="AA912" s="31"/>
      <c r="AB912" s="31"/>
      <c r="AH912" s="457"/>
      <c r="AI912" s="457"/>
      <c r="AJ912" s="457"/>
      <c r="AK912" s="457"/>
      <c r="AL912" s="457"/>
    </row>
    <row r="913" spans="1:38" s="4" customFormat="1" ht="13.05" hidden="1" x14ac:dyDescent="0.3">
      <c r="A913" s="130">
        <v>3236</v>
      </c>
      <c r="B913" s="107" t="s">
        <v>29</v>
      </c>
      <c r="C913" s="129"/>
      <c r="D913" s="129"/>
      <c r="E913" s="129"/>
      <c r="F913" s="121"/>
      <c r="G913" s="95"/>
      <c r="H913" s="121"/>
      <c r="I913" s="121"/>
      <c r="J913" s="121"/>
      <c r="K913" s="129"/>
      <c r="L913" s="129"/>
      <c r="M913" s="63"/>
      <c r="N913" s="121">
        <v>1000</v>
      </c>
      <c r="O913" s="121">
        <v>1000</v>
      </c>
      <c r="P913" s="129"/>
      <c r="Q913" s="129"/>
      <c r="R913" s="129"/>
      <c r="S913" s="70">
        <f>P913-M913</f>
        <v>0</v>
      </c>
      <c r="T913" s="70">
        <f t="shared" si="745"/>
        <v>-1000</v>
      </c>
      <c r="U913" s="70">
        <f t="shared" si="745"/>
        <v>-1000</v>
      </c>
      <c r="V913" s="506">
        <f t="shared" si="746"/>
        <v>0</v>
      </c>
      <c r="W913" s="506">
        <f t="shared" si="747"/>
        <v>0</v>
      </c>
      <c r="X913" s="31"/>
      <c r="Y913" s="486"/>
      <c r="Z913" s="31"/>
      <c r="AA913" s="31"/>
      <c r="AB913" s="31"/>
      <c r="AH913" s="457"/>
      <c r="AI913" s="457"/>
      <c r="AJ913" s="457"/>
      <c r="AK913" s="457"/>
      <c r="AL913" s="457"/>
    </row>
    <row r="914" spans="1:38" s="4" customFormat="1" ht="13.05" hidden="1" x14ac:dyDescent="0.3">
      <c r="A914" s="130">
        <v>3237</v>
      </c>
      <c r="B914" s="107" t="s">
        <v>30</v>
      </c>
      <c r="C914" s="129"/>
      <c r="D914" s="129"/>
      <c r="E914" s="129"/>
      <c r="F914" s="121"/>
      <c r="G914" s="95"/>
      <c r="H914" s="121"/>
      <c r="I914" s="121"/>
      <c r="J914" s="121"/>
      <c r="K914" s="121"/>
      <c r="L914" s="121"/>
      <c r="M914" s="121"/>
      <c r="N914" s="121">
        <f>30000+24000+10000+71000+28000</f>
        <v>163000</v>
      </c>
      <c r="O914" s="121">
        <f>30000+24000+10000+71000+28000</f>
        <v>163000</v>
      </c>
      <c r="P914" s="129"/>
      <c r="Q914" s="129"/>
      <c r="R914" s="129"/>
      <c r="S914" s="70">
        <f>P914-M914</f>
        <v>0</v>
      </c>
      <c r="T914" s="70">
        <f t="shared" si="745"/>
        <v>-163000</v>
      </c>
      <c r="U914" s="70">
        <f t="shared" si="745"/>
        <v>-163000</v>
      </c>
      <c r="V914" s="506">
        <f t="shared" si="746"/>
        <v>0</v>
      </c>
      <c r="W914" s="506">
        <f t="shared" si="747"/>
        <v>0</v>
      </c>
      <c r="X914" s="31"/>
      <c r="Y914" s="486"/>
      <c r="Z914" s="31"/>
      <c r="AA914" s="31"/>
      <c r="AB914" s="31"/>
      <c r="AH914" s="457"/>
      <c r="AI914" s="457"/>
      <c r="AJ914" s="457"/>
      <c r="AK914" s="457"/>
      <c r="AL914" s="457"/>
    </row>
    <row r="915" spans="1:38" s="4" customFormat="1" ht="13.05" hidden="1" x14ac:dyDescent="0.3">
      <c r="A915" s="130">
        <v>3238</v>
      </c>
      <c r="B915" s="107" t="s">
        <v>70</v>
      </c>
      <c r="C915" s="129"/>
      <c r="D915" s="129"/>
      <c r="E915" s="129"/>
      <c r="F915" s="121"/>
      <c r="G915" s="95"/>
      <c r="H915" s="121"/>
      <c r="I915" s="121"/>
      <c r="J915" s="121"/>
      <c r="K915" s="129"/>
      <c r="L915" s="129"/>
      <c r="M915" s="63"/>
      <c r="N915" s="121">
        <v>75000</v>
      </c>
      <c r="O915" s="121">
        <v>75000</v>
      </c>
      <c r="P915" s="129"/>
      <c r="Q915" s="129"/>
      <c r="R915" s="129"/>
      <c r="S915" s="70">
        <f>P915-M915</f>
        <v>0</v>
      </c>
      <c r="T915" s="70">
        <f t="shared" si="745"/>
        <v>-75000</v>
      </c>
      <c r="U915" s="70">
        <f t="shared" si="745"/>
        <v>-75000</v>
      </c>
      <c r="V915" s="506">
        <f t="shared" si="746"/>
        <v>0</v>
      </c>
      <c r="W915" s="506">
        <f t="shared" si="747"/>
        <v>0</v>
      </c>
      <c r="X915" s="31"/>
      <c r="Y915" s="486"/>
      <c r="Z915" s="31"/>
      <c r="AA915" s="31"/>
      <c r="AB915" s="31"/>
      <c r="AH915" s="457"/>
      <c r="AI915" s="457"/>
      <c r="AJ915" s="457"/>
      <c r="AK915" s="457"/>
      <c r="AL915" s="457"/>
    </row>
    <row r="916" spans="1:38" s="4" customFormat="1" ht="13.05" hidden="1" x14ac:dyDescent="0.3">
      <c r="A916" s="130">
        <v>3239</v>
      </c>
      <c r="B916" s="107" t="s">
        <v>31</v>
      </c>
      <c r="C916" s="129"/>
      <c r="D916" s="129"/>
      <c r="E916" s="129"/>
      <c r="F916" s="121"/>
      <c r="G916" s="95"/>
      <c r="H916" s="121"/>
      <c r="I916" s="121"/>
      <c r="J916" s="121"/>
      <c r="K916" s="129"/>
      <c r="L916" s="129"/>
      <c r="M916" s="63"/>
      <c r="N916" s="121">
        <f>2000+450000+142000+50000+35000+7500</f>
        <v>686500</v>
      </c>
      <c r="O916" s="121">
        <f>2000+450000+20000+50000+53000+7500</f>
        <v>582500</v>
      </c>
      <c r="P916" s="129"/>
      <c r="Q916" s="129"/>
      <c r="R916" s="129"/>
      <c r="S916" s="70">
        <f>P916-M916</f>
        <v>0</v>
      </c>
      <c r="T916" s="70">
        <f t="shared" si="745"/>
        <v>-686500</v>
      </c>
      <c r="U916" s="70">
        <f t="shared" si="745"/>
        <v>-582500</v>
      </c>
      <c r="V916" s="506">
        <f t="shared" si="746"/>
        <v>0</v>
      </c>
      <c r="W916" s="506">
        <f t="shared" si="747"/>
        <v>0</v>
      </c>
      <c r="X916" s="31"/>
      <c r="Y916" s="486"/>
      <c r="Z916" s="31"/>
      <c r="AA916" s="31"/>
      <c r="AB916" s="31"/>
      <c r="AH916" s="457"/>
      <c r="AI916" s="457"/>
      <c r="AJ916" s="457"/>
      <c r="AK916" s="457"/>
      <c r="AL916" s="457"/>
    </row>
    <row r="917" spans="1:38" s="4" customFormat="1" ht="13.05" hidden="1" x14ac:dyDescent="0.3">
      <c r="A917" s="638">
        <v>324</v>
      </c>
      <c r="B917" s="119" t="s">
        <v>32</v>
      </c>
      <c r="C917" s="129"/>
      <c r="D917" s="129"/>
      <c r="E917" s="129"/>
      <c r="F917" s="121"/>
      <c r="G917" s="95"/>
      <c r="H917" s="120">
        <f>SUM(H918)</f>
        <v>0</v>
      </c>
      <c r="I917" s="120">
        <f t="shared" ref="I917:L917" si="748">SUM(I918)</f>
        <v>0</v>
      </c>
      <c r="J917" s="120">
        <f t="shared" si="748"/>
        <v>0</v>
      </c>
      <c r="K917" s="120">
        <f t="shared" si="748"/>
        <v>0</v>
      </c>
      <c r="L917" s="120">
        <f t="shared" si="748"/>
        <v>0</v>
      </c>
      <c r="M917" s="120">
        <f>SUM(M918)</f>
        <v>0</v>
      </c>
      <c r="N917" s="120">
        <f t="shared" ref="N917:U917" si="749">SUM(N918)</f>
        <v>5000</v>
      </c>
      <c r="O917" s="120">
        <f t="shared" si="749"/>
        <v>5000</v>
      </c>
      <c r="P917" s="120">
        <f t="shared" si="749"/>
        <v>0</v>
      </c>
      <c r="Q917" s="120">
        <f t="shared" si="749"/>
        <v>0</v>
      </c>
      <c r="R917" s="120">
        <f t="shared" si="749"/>
        <v>0</v>
      </c>
      <c r="S917" s="120">
        <f t="shared" si="749"/>
        <v>0</v>
      </c>
      <c r="T917" s="120">
        <f t="shared" si="749"/>
        <v>-5000</v>
      </c>
      <c r="U917" s="120">
        <f t="shared" si="749"/>
        <v>-5000</v>
      </c>
      <c r="V917" s="506">
        <f t="shared" si="746"/>
        <v>0</v>
      </c>
      <c r="W917" s="506">
        <f t="shared" si="747"/>
        <v>0</v>
      </c>
      <c r="X917" s="31"/>
      <c r="Y917" s="486"/>
      <c r="Z917" s="31"/>
      <c r="AA917" s="31"/>
      <c r="AB917" s="31"/>
      <c r="AH917" s="457"/>
      <c r="AI917" s="457"/>
      <c r="AJ917" s="457"/>
      <c r="AK917" s="457"/>
      <c r="AL917" s="457"/>
    </row>
    <row r="918" spans="1:38" s="4" customFormat="1" ht="13.05" hidden="1" x14ac:dyDescent="0.3">
      <c r="A918" s="434">
        <v>3241</v>
      </c>
      <c r="B918" s="117" t="s">
        <v>32</v>
      </c>
      <c r="C918" s="129"/>
      <c r="D918" s="129"/>
      <c r="E918" s="129"/>
      <c r="F918" s="121"/>
      <c r="G918" s="95"/>
      <c r="H918" s="121"/>
      <c r="I918" s="121"/>
      <c r="J918" s="121"/>
      <c r="K918" s="129"/>
      <c r="L918" s="129"/>
      <c r="M918" s="63"/>
      <c r="N918" s="121">
        <v>5000</v>
      </c>
      <c r="O918" s="121">
        <v>5000</v>
      </c>
      <c r="P918" s="129"/>
      <c r="Q918" s="129"/>
      <c r="R918" s="129"/>
      <c r="S918" s="70">
        <f>P918-M918</f>
        <v>0</v>
      </c>
      <c r="T918" s="70">
        <f>P918-N918</f>
        <v>-5000</v>
      </c>
      <c r="U918" s="70">
        <f>Q918-O918</f>
        <v>-5000</v>
      </c>
      <c r="V918" s="506">
        <f t="shared" si="746"/>
        <v>0</v>
      </c>
      <c r="W918" s="506">
        <f t="shared" si="747"/>
        <v>0</v>
      </c>
      <c r="X918" s="31"/>
      <c r="Y918" s="486"/>
      <c r="Z918" s="31"/>
      <c r="AA918" s="31"/>
      <c r="AB918" s="31"/>
      <c r="AH918" s="457"/>
      <c r="AI918" s="457"/>
      <c r="AJ918" s="457"/>
      <c r="AK918" s="457"/>
      <c r="AL918" s="457"/>
    </row>
    <row r="919" spans="1:38" s="4" customFormat="1" ht="13.05" hidden="1" x14ac:dyDescent="0.3">
      <c r="A919" s="639" t="s">
        <v>170</v>
      </c>
      <c r="B919" s="601" t="s">
        <v>33</v>
      </c>
      <c r="C919" s="129"/>
      <c r="D919" s="129"/>
      <c r="E919" s="129"/>
      <c r="F919" s="121"/>
      <c r="G919" s="95"/>
      <c r="H919" s="120">
        <f>SUM(H920:H922)</f>
        <v>0</v>
      </c>
      <c r="I919" s="120">
        <f t="shared" ref="I919:L919" si="750">SUM(I920:I922)</f>
        <v>0</v>
      </c>
      <c r="J919" s="120">
        <f t="shared" si="750"/>
        <v>0</v>
      </c>
      <c r="K919" s="120">
        <f t="shared" si="750"/>
        <v>0</v>
      </c>
      <c r="L919" s="120">
        <f t="shared" si="750"/>
        <v>0</v>
      </c>
      <c r="M919" s="120">
        <f>SUM(M920:M922)</f>
        <v>0</v>
      </c>
      <c r="N919" s="120">
        <f t="shared" ref="N919:U919" si="751">SUM(N920:N922)</f>
        <v>22000</v>
      </c>
      <c r="O919" s="120">
        <f t="shared" si="751"/>
        <v>22000</v>
      </c>
      <c r="P919" s="120">
        <f t="shared" si="751"/>
        <v>0</v>
      </c>
      <c r="Q919" s="120">
        <f t="shared" si="751"/>
        <v>0</v>
      </c>
      <c r="R919" s="120">
        <f t="shared" si="751"/>
        <v>0</v>
      </c>
      <c r="S919" s="120">
        <f t="shared" si="751"/>
        <v>0</v>
      </c>
      <c r="T919" s="120">
        <f t="shared" si="751"/>
        <v>-22000</v>
      </c>
      <c r="U919" s="120">
        <f t="shared" si="751"/>
        <v>-22000</v>
      </c>
      <c r="V919" s="506">
        <f t="shared" si="746"/>
        <v>0</v>
      </c>
      <c r="W919" s="506">
        <f t="shared" si="747"/>
        <v>0</v>
      </c>
      <c r="X919" s="31"/>
      <c r="Y919" s="486"/>
      <c r="Z919" s="31"/>
      <c r="AA919" s="31"/>
      <c r="AB919" s="31"/>
      <c r="AH919" s="457"/>
      <c r="AI919" s="457"/>
      <c r="AJ919" s="457"/>
      <c r="AK919" s="457"/>
      <c r="AL919" s="457"/>
    </row>
    <row r="920" spans="1:38" s="4" customFormat="1" ht="17.100000000000001" hidden="1" customHeight="1" x14ac:dyDescent="0.3">
      <c r="A920" s="542">
        <v>3292</v>
      </c>
      <c r="B920" s="637" t="s">
        <v>35</v>
      </c>
      <c r="C920" s="129"/>
      <c r="D920" s="129"/>
      <c r="E920" s="129"/>
      <c r="F920" s="121"/>
      <c r="G920" s="95"/>
      <c r="H920" s="121"/>
      <c r="I920" s="121"/>
      <c r="J920" s="121"/>
      <c r="K920" s="129"/>
      <c r="L920" s="129"/>
      <c r="M920" s="63"/>
      <c r="N920" s="121">
        <f>4000+6000</f>
        <v>10000</v>
      </c>
      <c r="O920" s="121">
        <f>4000+6000</f>
        <v>10000</v>
      </c>
      <c r="P920" s="129"/>
      <c r="Q920" s="129"/>
      <c r="R920" s="129"/>
      <c r="S920" s="70">
        <f>P920-M920</f>
        <v>0</v>
      </c>
      <c r="T920" s="70">
        <f t="shared" ref="T920:U922" si="752">P920-N920</f>
        <v>-10000</v>
      </c>
      <c r="U920" s="70">
        <f t="shared" si="752"/>
        <v>-10000</v>
      </c>
      <c r="V920" s="506">
        <f t="shared" si="746"/>
        <v>0</v>
      </c>
      <c r="W920" s="506">
        <f t="shared" si="747"/>
        <v>0</v>
      </c>
      <c r="X920" s="31"/>
      <c r="Y920" s="486"/>
      <c r="Z920" s="31"/>
      <c r="AA920" s="31"/>
      <c r="AB920" s="31"/>
      <c r="AH920" s="457"/>
      <c r="AI920" s="457"/>
      <c r="AJ920" s="457"/>
      <c r="AK920" s="457"/>
      <c r="AL920" s="457"/>
    </row>
    <row r="921" spans="1:38" s="4" customFormat="1" ht="13.05" hidden="1" x14ac:dyDescent="0.3">
      <c r="A921" s="92" t="s">
        <v>172</v>
      </c>
      <c r="B921" s="93" t="s">
        <v>36</v>
      </c>
      <c r="C921" s="129"/>
      <c r="D921" s="129"/>
      <c r="E921" s="129"/>
      <c r="F921" s="121"/>
      <c r="G921" s="95"/>
      <c r="H921" s="121"/>
      <c r="I921" s="121"/>
      <c r="J921" s="121"/>
      <c r="K921" s="129"/>
      <c r="L921" s="129"/>
      <c r="M921" s="63"/>
      <c r="N921" s="121">
        <f>6000+3000</f>
        <v>9000</v>
      </c>
      <c r="O921" s="121">
        <f>6000+3000</f>
        <v>9000</v>
      </c>
      <c r="P921" s="129"/>
      <c r="Q921" s="129"/>
      <c r="R921" s="129"/>
      <c r="S921" s="70">
        <f>P921-M921</f>
        <v>0</v>
      </c>
      <c r="T921" s="70">
        <f t="shared" si="752"/>
        <v>-9000</v>
      </c>
      <c r="U921" s="70">
        <f t="shared" si="752"/>
        <v>-9000</v>
      </c>
      <c r="V921" s="506">
        <f t="shared" si="746"/>
        <v>0</v>
      </c>
      <c r="W921" s="506">
        <f t="shared" si="747"/>
        <v>0</v>
      </c>
      <c r="X921" s="31"/>
      <c r="Y921" s="486"/>
      <c r="Z921" s="31"/>
      <c r="AA921" s="31"/>
      <c r="AB921" s="31"/>
      <c r="AH921" s="457"/>
      <c r="AI921" s="457"/>
      <c r="AJ921" s="457"/>
      <c r="AK921" s="457"/>
      <c r="AL921" s="457"/>
    </row>
    <row r="922" spans="1:38" s="4" customFormat="1" ht="13.05" hidden="1" x14ac:dyDescent="0.3">
      <c r="A922" s="92">
        <v>3299</v>
      </c>
      <c r="B922" s="93" t="s">
        <v>33</v>
      </c>
      <c r="C922" s="129"/>
      <c r="D922" s="129"/>
      <c r="E922" s="129"/>
      <c r="F922" s="121"/>
      <c r="G922" s="95"/>
      <c r="H922" s="121"/>
      <c r="I922" s="121"/>
      <c r="J922" s="121"/>
      <c r="K922" s="129"/>
      <c r="L922" s="129"/>
      <c r="M922" s="63"/>
      <c r="N922" s="121">
        <f>3000</f>
        <v>3000</v>
      </c>
      <c r="O922" s="121">
        <f>3000</f>
        <v>3000</v>
      </c>
      <c r="P922" s="129"/>
      <c r="Q922" s="129"/>
      <c r="R922" s="129"/>
      <c r="S922" s="70">
        <f>P922-M922</f>
        <v>0</v>
      </c>
      <c r="T922" s="70">
        <f t="shared" si="752"/>
        <v>-3000</v>
      </c>
      <c r="U922" s="70">
        <f t="shared" si="752"/>
        <v>-3000</v>
      </c>
      <c r="V922" s="506">
        <f t="shared" si="746"/>
        <v>0</v>
      </c>
      <c r="W922" s="506">
        <f t="shared" si="747"/>
        <v>0</v>
      </c>
      <c r="X922" s="31"/>
      <c r="Y922" s="486"/>
      <c r="Z922" s="31"/>
      <c r="AA922" s="31"/>
      <c r="AB922" s="31"/>
      <c r="AH922" s="457"/>
      <c r="AI922" s="457"/>
      <c r="AJ922" s="457"/>
      <c r="AK922" s="457"/>
      <c r="AL922" s="457"/>
    </row>
    <row r="923" spans="1:38" s="4" customFormat="1" ht="13.05" hidden="1" x14ac:dyDescent="0.3">
      <c r="A923" s="144" t="s">
        <v>319</v>
      </c>
      <c r="B923" s="145" t="s">
        <v>320</v>
      </c>
      <c r="C923" s="157"/>
      <c r="D923" s="157"/>
      <c r="E923" s="157"/>
      <c r="F923" s="635"/>
      <c r="G923" s="636"/>
      <c r="H923" s="151">
        <f>SUM(H924)</f>
        <v>0</v>
      </c>
      <c r="I923" s="151">
        <f t="shared" ref="I923:L924" si="753">SUM(I924)</f>
        <v>0</v>
      </c>
      <c r="J923" s="151">
        <f t="shared" si="753"/>
        <v>0</v>
      </c>
      <c r="K923" s="151">
        <f t="shared" si="753"/>
        <v>0</v>
      </c>
      <c r="L923" s="151">
        <f t="shared" si="753"/>
        <v>0</v>
      </c>
      <c r="M923" s="151">
        <f>SUM(M924)</f>
        <v>0</v>
      </c>
      <c r="N923" s="151">
        <f t="shared" ref="N923:U924" si="754">SUM(N924)</f>
        <v>5000</v>
      </c>
      <c r="O923" s="151">
        <f t="shared" si="754"/>
        <v>5000</v>
      </c>
      <c r="P923" s="151">
        <f t="shared" si="754"/>
        <v>0</v>
      </c>
      <c r="Q923" s="151">
        <f t="shared" si="754"/>
        <v>0</v>
      </c>
      <c r="R923" s="151">
        <f t="shared" si="754"/>
        <v>0</v>
      </c>
      <c r="S923" s="118">
        <f t="shared" si="754"/>
        <v>0</v>
      </c>
      <c r="T923" s="118">
        <f t="shared" si="754"/>
        <v>-5000</v>
      </c>
      <c r="U923" s="118">
        <f t="shared" si="754"/>
        <v>-5000</v>
      </c>
      <c r="V923" s="506">
        <f t="shared" si="746"/>
        <v>0</v>
      </c>
      <c r="W923" s="506">
        <f t="shared" si="747"/>
        <v>0</v>
      </c>
      <c r="X923" s="31"/>
      <c r="Y923" s="486"/>
      <c r="Z923" s="31"/>
      <c r="AA923" s="31"/>
      <c r="AB923" s="31"/>
      <c r="AH923" s="457"/>
      <c r="AI923" s="457"/>
      <c r="AJ923" s="457"/>
      <c r="AK923" s="457"/>
      <c r="AL923" s="457"/>
    </row>
    <row r="924" spans="1:38" s="4" customFormat="1" ht="13.05" hidden="1" x14ac:dyDescent="0.3">
      <c r="A924" s="541">
        <v>343</v>
      </c>
      <c r="B924" s="89" t="s">
        <v>40</v>
      </c>
      <c r="C924" s="129"/>
      <c r="D924" s="129"/>
      <c r="E924" s="129"/>
      <c r="F924" s="121"/>
      <c r="G924" s="95"/>
      <c r="H924" s="120">
        <f>SUM(H925)</f>
        <v>0</v>
      </c>
      <c r="I924" s="120">
        <f t="shared" si="753"/>
        <v>0</v>
      </c>
      <c r="J924" s="120">
        <f t="shared" si="753"/>
        <v>0</v>
      </c>
      <c r="K924" s="120">
        <f t="shared" si="753"/>
        <v>0</v>
      </c>
      <c r="L924" s="120">
        <f t="shared" si="753"/>
        <v>0</v>
      </c>
      <c r="M924" s="120">
        <f>SUM(M925)</f>
        <v>0</v>
      </c>
      <c r="N924" s="120">
        <f t="shared" si="754"/>
        <v>5000</v>
      </c>
      <c r="O924" s="120">
        <f t="shared" si="754"/>
        <v>5000</v>
      </c>
      <c r="P924" s="120">
        <f t="shared" si="754"/>
        <v>0</v>
      </c>
      <c r="Q924" s="120">
        <f t="shared" si="754"/>
        <v>0</v>
      </c>
      <c r="R924" s="120">
        <f t="shared" si="754"/>
        <v>0</v>
      </c>
      <c r="S924" s="120">
        <f t="shared" si="754"/>
        <v>0</v>
      </c>
      <c r="T924" s="120">
        <f t="shared" si="754"/>
        <v>-5000</v>
      </c>
      <c r="U924" s="120">
        <f t="shared" si="754"/>
        <v>-5000</v>
      </c>
      <c r="V924" s="506">
        <f t="shared" si="746"/>
        <v>0</v>
      </c>
      <c r="W924" s="506">
        <f t="shared" si="747"/>
        <v>0</v>
      </c>
      <c r="X924" s="31"/>
      <c r="Y924" s="486"/>
      <c r="Z924" s="31"/>
      <c r="AA924" s="31"/>
      <c r="AB924" s="31"/>
      <c r="AH924" s="457"/>
      <c r="AI924" s="457"/>
      <c r="AJ924" s="457"/>
      <c r="AK924" s="457"/>
      <c r="AL924" s="457"/>
    </row>
    <row r="925" spans="1:38" s="4" customFormat="1" ht="13.05" hidden="1" x14ac:dyDescent="0.3">
      <c r="A925" s="542">
        <v>3434</v>
      </c>
      <c r="B925" s="535" t="s">
        <v>43</v>
      </c>
      <c r="C925" s="129"/>
      <c r="D925" s="129"/>
      <c r="E925" s="129"/>
      <c r="F925" s="121"/>
      <c r="G925" s="95"/>
      <c r="H925" s="121"/>
      <c r="I925" s="121"/>
      <c r="J925" s="121"/>
      <c r="K925" s="129"/>
      <c r="L925" s="129"/>
      <c r="M925" s="63"/>
      <c r="N925" s="121">
        <v>5000</v>
      </c>
      <c r="O925" s="121">
        <v>5000</v>
      </c>
      <c r="P925" s="129"/>
      <c r="Q925" s="129"/>
      <c r="R925" s="129"/>
      <c r="S925" s="70">
        <f>P925-M925</f>
        <v>0</v>
      </c>
      <c r="T925" s="70">
        <f>P925-N925</f>
        <v>-5000</v>
      </c>
      <c r="U925" s="70">
        <f>Q925-O925</f>
        <v>-5000</v>
      </c>
      <c r="V925" s="506">
        <f t="shared" si="746"/>
        <v>0</v>
      </c>
      <c r="W925" s="506">
        <f t="shared" si="747"/>
        <v>0</v>
      </c>
      <c r="X925" s="31"/>
      <c r="Y925" s="486"/>
      <c r="Z925" s="31"/>
      <c r="AA925" s="31"/>
      <c r="AB925" s="31"/>
      <c r="AH925" s="457"/>
      <c r="AI925" s="457"/>
      <c r="AJ925" s="457"/>
      <c r="AK925" s="457"/>
      <c r="AL925" s="457"/>
    </row>
    <row r="926" spans="1:38" s="4" customFormat="1" ht="25.95" hidden="1" x14ac:dyDescent="0.3">
      <c r="A926" s="144">
        <v>41</v>
      </c>
      <c r="B926" s="145" t="s">
        <v>328</v>
      </c>
      <c r="C926" s="157"/>
      <c r="D926" s="157"/>
      <c r="E926" s="157"/>
      <c r="F926" s="635"/>
      <c r="G926" s="636"/>
      <c r="H926" s="151">
        <f>SUM(H927)</f>
        <v>0</v>
      </c>
      <c r="I926" s="151">
        <f t="shared" ref="I926:L927" si="755">SUM(I927)</f>
        <v>0</v>
      </c>
      <c r="J926" s="151">
        <f t="shared" si="755"/>
        <v>0</v>
      </c>
      <c r="K926" s="151">
        <f t="shared" si="755"/>
        <v>0</v>
      </c>
      <c r="L926" s="151">
        <f t="shared" si="755"/>
        <v>0</v>
      </c>
      <c r="M926" s="151">
        <f>SUM(M927)</f>
        <v>0</v>
      </c>
      <c r="N926" s="151">
        <f t="shared" ref="N926:U927" si="756">SUM(N927)</f>
        <v>15000</v>
      </c>
      <c r="O926" s="151">
        <f t="shared" si="756"/>
        <v>6000</v>
      </c>
      <c r="P926" s="151">
        <f t="shared" si="756"/>
        <v>0</v>
      </c>
      <c r="Q926" s="151">
        <f t="shared" si="756"/>
        <v>0</v>
      </c>
      <c r="R926" s="151">
        <f t="shared" si="756"/>
        <v>0</v>
      </c>
      <c r="S926" s="118">
        <f t="shared" si="756"/>
        <v>0</v>
      </c>
      <c r="T926" s="118">
        <f t="shared" si="756"/>
        <v>-15000</v>
      </c>
      <c r="U926" s="118">
        <f t="shared" si="756"/>
        <v>-6000</v>
      </c>
      <c r="V926" s="506">
        <f t="shared" si="746"/>
        <v>0</v>
      </c>
      <c r="W926" s="506">
        <f t="shared" si="747"/>
        <v>0</v>
      </c>
      <c r="X926" s="31"/>
      <c r="Y926" s="486"/>
      <c r="Z926" s="31"/>
      <c r="AA926" s="31"/>
      <c r="AB926" s="31"/>
      <c r="AH926" s="457"/>
      <c r="AI926" s="457"/>
      <c r="AJ926" s="457"/>
      <c r="AK926" s="457"/>
      <c r="AL926" s="457"/>
    </row>
    <row r="927" spans="1:38" s="4" customFormat="1" ht="13.05" hidden="1" x14ac:dyDescent="0.3">
      <c r="A927" s="607">
        <v>412</v>
      </c>
      <c r="B927" s="119" t="s">
        <v>67</v>
      </c>
      <c r="C927" s="129"/>
      <c r="D927" s="129"/>
      <c r="E927" s="129"/>
      <c r="F927" s="121"/>
      <c r="G927" s="95"/>
      <c r="H927" s="120">
        <f>SUM(H928)</f>
        <v>0</v>
      </c>
      <c r="I927" s="120">
        <f t="shared" si="755"/>
        <v>0</v>
      </c>
      <c r="J927" s="120">
        <f t="shared" si="755"/>
        <v>0</v>
      </c>
      <c r="K927" s="120"/>
      <c r="L927" s="120"/>
      <c r="M927" s="120">
        <f>SUM(M928)</f>
        <v>0</v>
      </c>
      <c r="N927" s="120">
        <f t="shared" si="756"/>
        <v>15000</v>
      </c>
      <c r="O927" s="120">
        <f t="shared" si="756"/>
        <v>6000</v>
      </c>
      <c r="P927" s="120">
        <f t="shared" si="756"/>
        <v>0</v>
      </c>
      <c r="Q927" s="120">
        <f t="shared" si="756"/>
        <v>0</v>
      </c>
      <c r="R927" s="120">
        <f t="shared" si="756"/>
        <v>0</v>
      </c>
      <c r="S927" s="120">
        <f t="shared" si="756"/>
        <v>0</v>
      </c>
      <c r="T927" s="120">
        <f t="shared" si="756"/>
        <v>-15000</v>
      </c>
      <c r="U927" s="120">
        <f t="shared" si="756"/>
        <v>-6000</v>
      </c>
      <c r="V927" s="506">
        <f t="shared" si="746"/>
        <v>0</v>
      </c>
      <c r="W927" s="506">
        <f t="shared" si="747"/>
        <v>0</v>
      </c>
      <c r="X927" s="31"/>
      <c r="Y927" s="486"/>
      <c r="Z927" s="31"/>
      <c r="AA927" s="31"/>
      <c r="AB927" s="31"/>
      <c r="AH927" s="457"/>
      <c r="AI927" s="457"/>
      <c r="AJ927" s="457"/>
      <c r="AK927" s="457"/>
      <c r="AL927" s="457"/>
    </row>
    <row r="928" spans="1:38" s="4" customFormat="1" ht="13.05" hidden="1" x14ac:dyDescent="0.3">
      <c r="A928" s="434">
        <v>4123</v>
      </c>
      <c r="B928" s="117" t="s">
        <v>68</v>
      </c>
      <c r="C928" s="129"/>
      <c r="D928" s="129"/>
      <c r="E928" s="129"/>
      <c r="F928" s="121"/>
      <c r="G928" s="95"/>
      <c r="H928" s="121"/>
      <c r="I928" s="121"/>
      <c r="J928" s="121"/>
      <c r="K928" s="129"/>
      <c r="L928" s="129"/>
      <c r="M928" s="63"/>
      <c r="N928" s="121">
        <f>9000+6000</f>
        <v>15000</v>
      </c>
      <c r="O928" s="121">
        <v>6000</v>
      </c>
      <c r="P928" s="129"/>
      <c r="Q928" s="129"/>
      <c r="R928" s="129"/>
      <c r="S928" s="70">
        <f>P928-M928</f>
        <v>0</v>
      </c>
      <c r="T928" s="70">
        <f>P928-N928</f>
        <v>-15000</v>
      </c>
      <c r="U928" s="70">
        <f>Q928-O928</f>
        <v>-6000</v>
      </c>
      <c r="V928" s="506">
        <f t="shared" si="746"/>
        <v>0</v>
      </c>
      <c r="W928" s="506">
        <f t="shared" si="747"/>
        <v>0</v>
      </c>
      <c r="X928" s="31"/>
      <c r="Y928" s="486"/>
      <c r="Z928" s="31"/>
      <c r="AA928" s="31"/>
      <c r="AB928" s="31"/>
      <c r="AH928" s="457"/>
      <c r="AI928" s="457"/>
      <c r="AJ928" s="457"/>
      <c r="AK928" s="457"/>
      <c r="AL928" s="457"/>
    </row>
    <row r="929" spans="1:38" s="4" customFormat="1" ht="25.95" customHeight="1" x14ac:dyDescent="0.3">
      <c r="A929" s="144" t="s">
        <v>323</v>
      </c>
      <c r="B929" s="145" t="s">
        <v>324</v>
      </c>
      <c r="C929" s="157"/>
      <c r="D929" s="157"/>
      <c r="E929" s="157"/>
      <c r="F929" s="635"/>
      <c r="G929" s="636"/>
      <c r="H929" s="151">
        <f>SUM(H930,H936,H938)</f>
        <v>8250000</v>
      </c>
      <c r="I929" s="151">
        <f t="shared" ref="I929:L929" si="757">SUM(I930,I936,I938)</f>
        <v>0</v>
      </c>
      <c r="J929" s="151">
        <f t="shared" si="757"/>
        <v>3089000</v>
      </c>
      <c r="K929" s="151">
        <f t="shared" si="757"/>
        <v>0</v>
      </c>
      <c r="L929" s="151">
        <f t="shared" si="757"/>
        <v>0</v>
      </c>
      <c r="M929" s="151">
        <f>SUM(M930,M936,M938)</f>
        <v>11339000</v>
      </c>
      <c r="N929" s="151">
        <f t="shared" ref="N929:U929" si="758">SUM(N930,N936,N938)</f>
        <v>968000</v>
      </c>
      <c r="O929" s="151">
        <f t="shared" si="758"/>
        <v>2965000</v>
      </c>
      <c r="P929" s="151">
        <f t="shared" si="758"/>
        <v>4168000</v>
      </c>
      <c r="Q929" s="151">
        <f t="shared" si="758"/>
        <v>0</v>
      </c>
      <c r="R929" s="151">
        <f t="shared" si="758"/>
        <v>0</v>
      </c>
      <c r="S929" s="118">
        <f t="shared" si="758"/>
        <v>-7171000</v>
      </c>
      <c r="T929" s="118">
        <f t="shared" si="758"/>
        <v>3200000</v>
      </c>
      <c r="U929" s="118">
        <f t="shared" si="758"/>
        <v>-2965000</v>
      </c>
      <c r="V929" s="506">
        <f t="shared" si="746"/>
        <v>-7171000</v>
      </c>
      <c r="W929" s="506">
        <f t="shared" si="747"/>
        <v>0</v>
      </c>
      <c r="X929" s="31"/>
      <c r="Y929" s="486"/>
      <c r="Z929" s="31"/>
      <c r="AA929" s="31"/>
      <c r="AB929" s="31"/>
      <c r="AH929" s="457"/>
      <c r="AI929" s="457"/>
      <c r="AJ929" s="457"/>
      <c r="AK929" s="457"/>
      <c r="AL929" s="457"/>
    </row>
    <row r="930" spans="1:38" s="4" customFormat="1" ht="13.05" hidden="1" x14ac:dyDescent="0.3">
      <c r="A930" s="639" t="s">
        <v>177</v>
      </c>
      <c r="B930" s="601" t="s">
        <v>129</v>
      </c>
      <c r="C930" s="129"/>
      <c r="D930" s="129"/>
      <c r="E930" s="129"/>
      <c r="F930" s="121"/>
      <c r="G930" s="95"/>
      <c r="H930" s="120">
        <f>SUM(H931:H935)</f>
        <v>0</v>
      </c>
      <c r="I930" s="120">
        <f t="shared" ref="I930:J930" si="759">SUM(I931:I935)</f>
        <v>0</v>
      </c>
      <c r="J930" s="120">
        <f t="shared" si="759"/>
        <v>0</v>
      </c>
      <c r="K930" s="120"/>
      <c r="L930" s="120"/>
      <c r="M930" s="120">
        <f>SUM(M931:M935)</f>
        <v>0</v>
      </c>
      <c r="N930" s="120">
        <f t="shared" ref="N930:U930" si="760">SUM(N931:N935)</f>
        <v>844000</v>
      </c>
      <c r="O930" s="120">
        <f t="shared" si="760"/>
        <v>518000</v>
      </c>
      <c r="P930" s="120">
        <f t="shared" si="760"/>
        <v>0</v>
      </c>
      <c r="Q930" s="120">
        <f t="shared" si="760"/>
        <v>0</v>
      </c>
      <c r="R930" s="120">
        <f t="shared" si="760"/>
        <v>0</v>
      </c>
      <c r="S930" s="120">
        <f t="shared" si="760"/>
        <v>0</v>
      </c>
      <c r="T930" s="120">
        <f t="shared" si="760"/>
        <v>-844000</v>
      </c>
      <c r="U930" s="120">
        <f t="shared" si="760"/>
        <v>-518000</v>
      </c>
      <c r="V930" s="506">
        <f t="shared" si="746"/>
        <v>0</v>
      </c>
      <c r="W930" s="506">
        <f t="shared" si="747"/>
        <v>0</v>
      </c>
      <c r="X930" s="31"/>
      <c r="Y930" s="486"/>
      <c r="Z930" s="31"/>
      <c r="AA930" s="31"/>
      <c r="AB930" s="31"/>
      <c r="AH930" s="457"/>
      <c r="AI930" s="457"/>
      <c r="AJ930" s="457"/>
      <c r="AK930" s="457"/>
      <c r="AL930" s="457"/>
    </row>
    <row r="931" spans="1:38" s="4" customFormat="1" ht="13.05" hidden="1" x14ac:dyDescent="0.3">
      <c r="A931" s="542">
        <v>4221</v>
      </c>
      <c r="B931" s="637" t="s">
        <v>54</v>
      </c>
      <c r="C931" s="129"/>
      <c r="D931" s="129"/>
      <c r="E931" s="129"/>
      <c r="F931" s="121"/>
      <c r="G931" s="95"/>
      <c r="H931" s="121"/>
      <c r="I931" s="121"/>
      <c r="J931" s="121"/>
      <c r="K931" s="129"/>
      <c r="L931" s="129"/>
      <c r="M931" s="63"/>
      <c r="N931" s="121">
        <f>31000+75000</f>
        <v>106000</v>
      </c>
      <c r="O931" s="121">
        <v>75000</v>
      </c>
      <c r="P931" s="129"/>
      <c r="Q931" s="129"/>
      <c r="R931" s="129"/>
      <c r="S931" s="70">
        <f>P931-M931</f>
        <v>0</v>
      </c>
      <c r="T931" s="70">
        <f t="shared" ref="T931:U935" si="761">P931-N931</f>
        <v>-106000</v>
      </c>
      <c r="U931" s="70">
        <f t="shared" si="761"/>
        <v>-75000</v>
      </c>
      <c r="V931" s="506">
        <f t="shared" si="746"/>
        <v>0</v>
      </c>
      <c r="W931" s="506">
        <f t="shared" si="747"/>
        <v>0</v>
      </c>
      <c r="X931" s="31"/>
      <c r="Y931" s="486"/>
      <c r="Z931" s="31"/>
      <c r="AA931" s="31"/>
      <c r="AB931" s="31"/>
      <c r="AH931" s="457"/>
      <c r="AI931" s="457"/>
      <c r="AJ931" s="457"/>
      <c r="AK931" s="457"/>
      <c r="AL931" s="457"/>
    </row>
    <row r="932" spans="1:38" s="4" customFormat="1" ht="13.05" hidden="1" x14ac:dyDescent="0.3">
      <c r="A932" s="542">
        <v>4222</v>
      </c>
      <c r="B932" s="637" t="s">
        <v>58</v>
      </c>
      <c r="C932" s="129"/>
      <c r="D932" s="129"/>
      <c r="E932" s="129"/>
      <c r="F932" s="121"/>
      <c r="G932" s="95"/>
      <c r="H932" s="121"/>
      <c r="I932" s="121"/>
      <c r="J932" s="121"/>
      <c r="K932" s="129"/>
      <c r="L932" s="129"/>
      <c r="M932" s="63"/>
      <c r="N932" s="121">
        <v>28000</v>
      </c>
      <c r="O932" s="121">
        <v>28000</v>
      </c>
      <c r="P932" s="129"/>
      <c r="Q932" s="129"/>
      <c r="R932" s="129"/>
      <c r="S932" s="70">
        <f>P932-M932</f>
        <v>0</v>
      </c>
      <c r="T932" s="70">
        <f t="shared" si="761"/>
        <v>-28000</v>
      </c>
      <c r="U932" s="70">
        <f t="shared" si="761"/>
        <v>-28000</v>
      </c>
      <c r="V932" s="506">
        <f t="shared" si="746"/>
        <v>0</v>
      </c>
      <c r="W932" s="506">
        <f t="shared" si="747"/>
        <v>0</v>
      </c>
      <c r="X932" s="31"/>
      <c r="Y932" s="486"/>
      <c r="Z932" s="31"/>
      <c r="AA932" s="31"/>
      <c r="AB932" s="31"/>
      <c r="AH932" s="457"/>
      <c r="AI932" s="457"/>
      <c r="AJ932" s="457"/>
      <c r="AK932" s="457"/>
      <c r="AL932" s="457"/>
    </row>
    <row r="933" spans="1:38" s="4" customFormat="1" ht="13.05" hidden="1" x14ac:dyDescent="0.3">
      <c r="A933" s="542">
        <v>4223</v>
      </c>
      <c r="B933" s="637" t="s">
        <v>59</v>
      </c>
      <c r="C933" s="129"/>
      <c r="D933" s="129"/>
      <c r="E933" s="129"/>
      <c r="F933" s="121"/>
      <c r="G933" s="95"/>
      <c r="H933" s="121"/>
      <c r="I933" s="121"/>
      <c r="J933" s="121"/>
      <c r="K933" s="129"/>
      <c r="L933" s="129"/>
      <c r="M933" s="63"/>
      <c r="N933" s="121">
        <f>25000+6000</f>
        <v>31000</v>
      </c>
      <c r="O933" s="121">
        <v>6000</v>
      </c>
      <c r="P933" s="129"/>
      <c r="Q933" s="129"/>
      <c r="R933" s="129"/>
      <c r="S933" s="70">
        <f>P933-M933</f>
        <v>0</v>
      </c>
      <c r="T933" s="70">
        <f t="shared" si="761"/>
        <v>-31000</v>
      </c>
      <c r="U933" s="70">
        <f t="shared" si="761"/>
        <v>-6000</v>
      </c>
      <c r="V933" s="506">
        <f t="shared" si="746"/>
        <v>0</v>
      </c>
      <c r="W933" s="506">
        <f t="shared" si="747"/>
        <v>0</v>
      </c>
      <c r="X933" s="31"/>
      <c r="Y933" s="486"/>
      <c r="Z933" s="31"/>
      <c r="AA933" s="31"/>
      <c r="AB933" s="31"/>
      <c r="AH933" s="457"/>
      <c r="AI933" s="457"/>
      <c r="AJ933" s="457"/>
      <c r="AK933" s="457"/>
      <c r="AL933" s="457"/>
    </row>
    <row r="934" spans="1:38" s="4" customFormat="1" ht="13.05" hidden="1" x14ac:dyDescent="0.3">
      <c r="A934" s="542">
        <v>4225</v>
      </c>
      <c r="B934" s="637" t="s">
        <v>105</v>
      </c>
      <c r="C934" s="129"/>
      <c r="D934" s="129"/>
      <c r="E934" s="129"/>
      <c r="F934" s="121"/>
      <c r="G934" s="95"/>
      <c r="H934" s="121"/>
      <c r="I934" s="121"/>
      <c r="J934" s="121"/>
      <c r="K934" s="129"/>
      <c r="L934" s="129"/>
      <c r="M934" s="63"/>
      <c r="N934" s="121"/>
      <c r="O934" s="121"/>
      <c r="P934" s="129"/>
      <c r="Q934" s="129"/>
      <c r="R934" s="129"/>
      <c r="S934" s="70">
        <f>P934-M934</f>
        <v>0</v>
      </c>
      <c r="T934" s="70">
        <f t="shared" si="761"/>
        <v>0</v>
      </c>
      <c r="U934" s="70">
        <f t="shared" si="761"/>
        <v>0</v>
      </c>
      <c r="V934" s="506">
        <f t="shared" si="746"/>
        <v>0</v>
      </c>
      <c r="W934" s="506">
        <f t="shared" si="747"/>
        <v>0</v>
      </c>
      <c r="X934" s="31"/>
      <c r="Y934" s="486"/>
      <c r="Z934" s="31"/>
      <c r="AA934" s="31"/>
      <c r="AB934" s="31"/>
      <c r="AH934" s="457"/>
      <c r="AI934" s="457"/>
      <c r="AJ934" s="457"/>
      <c r="AK934" s="457"/>
      <c r="AL934" s="457"/>
    </row>
    <row r="935" spans="1:38" s="4" customFormat="1" ht="8.5500000000000007" hidden="1" customHeight="1" x14ac:dyDescent="0.3">
      <c r="A935" s="542" t="s">
        <v>180</v>
      </c>
      <c r="B935" s="637" t="s">
        <v>60</v>
      </c>
      <c r="C935" s="129"/>
      <c r="D935" s="129"/>
      <c r="E935" s="129"/>
      <c r="F935" s="121"/>
      <c r="G935" s="95"/>
      <c r="H935" s="121"/>
      <c r="I935" s="121"/>
      <c r="J935" s="121"/>
      <c r="K935" s="129"/>
      <c r="L935" s="129"/>
      <c r="M935" s="63"/>
      <c r="N935" s="121">
        <f>270000+399000+10000</f>
        <v>679000</v>
      </c>
      <c r="O935" s="121">
        <f>399000+10000</f>
        <v>409000</v>
      </c>
      <c r="P935" s="129"/>
      <c r="Q935" s="129"/>
      <c r="R935" s="129"/>
      <c r="S935" s="70">
        <f>P935-M935</f>
        <v>0</v>
      </c>
      <c r="T935" s="70">
        <f t="shared" si="761"/>
        <v>-679000</v>
      </c>
      <c r="U935" s="70">
        <f t="shared" si="761"/>
        <v>-409000</v>
      </c>
      <c r="V935" s="506">
        <f t="shared" si="746"/>
        <v>0</v>
      </c>
      <c r="W935" s="506">
        <f t="shared" si="747"/>
        <v>0</v>
      </c>
      <c r="X935" s="31"/>
      <c r="Y935" s="486"/>
      <c r="Z935" s="31"/>
      <c r="AA935" s="31"/>
      <c r="AB935" s="31"/>
      <c r="AH935" s="457"/>
      <c r="AI935" s="457"/>
      <c r="AJ935" s="457"/>
      <c r="AK935" s="457"/>
      <c r="AL935" s="457"/>
    </row>
    <row r="936" spans="1:38" s="4" customFormat="1" ht="14.55" customHeight="1" x14ac:dyDescent="0.3">
      <c r="A936" s="639" t="s">
        <v>181</v>
      </c>
      <c r="B936" s="601" t="s">
        <v>61</v>
      </c>
      <c r="C936" s="129"/>
      <c r="D936" s="129"/>
      <c r="E936" s="129"/>
      <c r="F936" s="121"/>
      <c r="G936" s="95"/>
      <c r="H936" s="120">
        <f t="shared" ref="H936:U936" si="762">SUM(H937)</f>
        <v>8250000</v>
      </c>
      <c r="I936" s="120">
        <f t="shared" si="762"/>
        <v>0</v>
      </c>
      <c r="J936" s="120">
        <f t="shared" si="762"/>
        <v>3089000</v>
      </c>
      <c r="K936" s="120">
        <f t="shared" si="762"/>
        <v>0</v>
      </c>
      <c r="L936" s="120">
        <f t="shared" si="762"/>
        <v>0</v>
      </c>
      <c r="M936" s="120">
        <f t="shared" si="762"/>
        <v>11339000</v>
      </c>
      <c r="N936" s="120">
        <f t="shared" si="762"/>
        <v>105000</v>
      </c>
      <c r="O936" s="120">
        <f t="shared" si="762"/>
        <v>2428000</v>
      </c>
      <c r="P936" s="120">
        <f t="shared" si="762"/>
        <v>4168000</v>
      </c>
      <c r="Q936" s="120">
        <f t="shared" si="762"/>
        <v>0</v>
      </c>
      <c r="R936" s="120">
        <f t="shared" si="762"/>
        <v>0</v>
      </c>
      <c r="S936" s="120">
        <f t="shared" si="762"/>
        <v>-7171000</v>
      </c>
      <c r="T936" s="120">
        <f t="shared" si="762"/>
        <v>4063000</v>
      </c>
      <c r="U936" s="120">
        <f t="shared" si="762"/>
        <v>-2428000</v>
      </c>
      <c r="V936" s="506">
        <f t="shared" si="746"/>
        <v>-7171000</v>
      </c>
      <c r="W936" s="506">
        <f t="shared" si="747"/>
        <v>0</v>
      </c>
      <c r="X936" s="31"/>
      <c r="Y936" s="486"/>
      <c r="Z936" s="31"/>
      <c r="AA936" s="31"/>
      <c r="AB936" s="31"/>
      <c r="AD936" s="4" t="s">
        <v>453</v>
      </c>
      <c r="AE936" s="4" t="s">
        <v>452</v>
      </c>
      <c r="AH936" s="457"/>
      <c r="AI936" s="457"/>
      <c r="AJ936" s="457"/>
      <c r="AK936" s="457"/>
      <c r="AL936" s="457"/>
    </row>
    <row r="937" spans="1:38" s="4" customFormat="1" ht="15" customHeight="1" x14ac:dyDescent="0.3">
      <c r="A937" s="542">
        <v>4234</v>
      </c>
      <c r="B937" s="637" t="s">
        <v>279</v>
      </c>
      <c r="C937" s="129"/>
      <c r="D937" s="129"/>
      <c r="E937" s="129"/>
      <c r="F937" s="121"/>
      <c r="G937" s="95"/>
      <c r="H937" s="383">
        <v>8250000</v>
      </c>
      <c r="I937" s="383"/>
      <c r="J937" s="383">
        <v>3089000</v>
      </c>
      <c r="K937" s="426"/>
      <c r="L937" s="426"/>
      <c r="M937" s="63">
        <f>H937-I937+J937-K937+L937</f>
        <v>11339000</v>
      </c>
      <c r="N937" s="121">
        <f>77000+28000</f>
        <v>105000</v>
      </c>
      <c r="O937" s="121">
        <f>2400000+28000</f>
        <v>2428000</v>
      </c>
      <c r="P937" s="129">
        <v>4168000</v>
      </c>
      <c r="Q937" s="129"/>
      <c r="R937" s="129"/>
      <c r="S937" s="70">
        <f>P937-M937</f>
        <v>-7171000</v>
      </c>
      <c r="T937" s="70">
        <f>P937-N937</f>
        <v>4063000</v>
      </c>
      <c r="U937" s="70">
        <f>Q937-O937</f>
        <v>-2428000</v>
      </c>
      <c r="V937" s="506">
        <f t="shared" si="746"/>
        <v>-7171000</v>
      </c>
      <c r="W937" s="506">
        <f t="shared" si="747"/>
        <v>0</v>
      </c>
      <c r="X937" s="31"/>
      <c r="Y937" s="486"/>
      <c r="Z937" s="31"/>
      <c r="AA937" s="31"/>
      <c r="AB937" s="31"/>
      <c r="AD937" s="25">
        <v>7204282</v>
      </c>
      <c r="AE937" s="457">
        <v>4134235.33</v>
      </c>
      <c r="AF937" s="457">
        <f>AD937+AE937</f>
        <v>11338517.33</v>
      </c>
      <c r="AH937" s="457"/>
      <c r="AI937" s="457"/>
      <c r="AJ937" s="457"/>
      <c r="AK937" s="457"/>
      <c r="AL937" s="457"/>
    </row>
    <row r="938" spans="1:38" s="4" customFormat="1" ht="13.05" hidden="1" x14ac:dyDescent="0.3">
      <c r="A938" s="638">
        <v>426</v>
      </c>
      <c r="B938" s="119" t="s">
        <v>73</v>
      </c>
      <c r="C938" s="129"/>
      <c r="D938" s="129"/>
      <c r="E938" s="129"/>
      <c r="F938" s="121"/>
      <c r="G938" s="95"/>
      <c r="H938" s="120">
        <f>SUM(H939)</f>
        <v>0</v>
      </c>
      <c r="I938" s="120">
        <f t="shared" ref="I938:L938" si="763">SUM(I939)</f>
        <v>0</v>
      </c>
      <c r="J938" s="120">
        <f t="shared" si="763"/>
        <v>0</v>
      </c>
      <c r="K938" s="120">
        <f t="shared" si="763"/>
        <v>0</v>
      </c>
      <c r="L938" s="120">
        <f t="shared" si="763"/>
        <v>0</v>
      </c>
      <c r="M938" s="120">
        <f>SUM(M939)</f>
        <v>0</v>
      </c>
      <c r="N938" s="120">
        <f t="shared" ref="N938:U938" si="764">SUM(N939)</f>
        <v>19000</v>
      </c>
      <c r="O938" s="120">
        <f t="shared" si="764"/>
        <v>19000</v>
      </c>
      <c r="P938" s="120">
        <f t="shared" si="764"/>
        <v>0</v>
      </c>
      <c r="Q938" s="120">
        <f t="shared" si="764"/>
        <v>0</v>
      </c>
      <c r="R938" s="120">
        <f t="shared" si="764"/>
        <v>0</v>
      </c>
      <c r="S938" s="120">
        <f t="shared" si="764"/>
        <v>0</v>
      </c>
      <c r="T938" s="120">
        <f t="shared" si="764"/>
        <v>-19000</v>
      </c>
      <c r="U938" s="120">
        <f t="shared" si="764"/>
        <v>-19000</v>
      </c>
      <c r="V938" s="506">
        <f t="shared" si="746"/>
        <v>0</v>
      </c>
      <c r="W938" s="506">
        <f t="shared" si="747"/>
        <v>0</v>
      </c>
      <c r="X938" s="31"/>
      <c r="Y938" s="486"/>
      <c r="Z938" s="31"/>
      <c r="AA938" s="31"/>
      <c r="AB938" s="31"/>
      <c r="AF938" s="25">
        <v>11339000</v>
      </c>
      <c r="AH938" s="457"/>
      <c r="AI938" s="457"/>
      <c r="AJ938" s="457"/>
      <c r="AK938" s="457"/>
      <c r="AL938" s="457"/>
    </row>
    <row r="939" spans="1:38" s="4" customFormat="1" ht="13.05" hidden="1" x14ac:dyDescent="0.3">
      <c r="A939" s="434">
        <v>4262</v>
      </c>
      <c r="B939" s="117" t="s">
        <v>88</v>
      </c>
      <c r="C939" s="129"/>
      <c r="D939" s="129"/>
      <c r="E939" s="129"/>
      <c r="F939" s="121"/>
      <c r="G939" s="95"/>
      <c r="H939" s="121"/>
      <c r="I939" s="121"/>
      <c r="J939" s="121"/>
      <c r="K939" s="129"/>
      <c r="L939" s="129"/>
      <c r="M939" s="63"/>
      <c r="N939" s="121">
        <v>19000</v>
      </c>
      <c r="O939" s="121">
        <v>19000</v>
      </c>
      <c r="P939" s="129"/>
      <c r="Q939" s="129"/>
      <c r="R939" s="129"/>
      <c r="S939" s="70">
        <f>P939-M939</f>
        <v>0</v>
      </c>
      <c r="T939" s="70">
        <f>P939-N939</f>
        <v>-19000</v>
      </c>
      <c r="U939" s="70">
        <f>Q939-O939</f>
        <v>-19000</v>
      </c>
      <c r="V939" s="506">
        <f t="shared" si="746"/>
        <v>0</v>
      </c>
      <c r="W939" s="506">
        <f t="shared" si="747"/>
        <v>0</v>
      </c>
      <c r="X939" s="31"/>
      <c r="Y939" s="486"/>
      <c r="Z939" s="31"/>
      <c r="AA939" s="31"/>
      <c r="AB939" s="31"/>
      <c r="AF939" s="25">
        <f>AF938-H937</f>
        <v>3089000</v>
      </c>
      <c r="AH939" s="457"/>
      <c r="AI939" s="457"/>
      <c r="AJ939" s="457"/>
      <c r="AK939" s="457"/>
      <c r="AL939" s="457"/>
    </row>
    <row r="940" spans="1:38" s="4" customFormat="1" ht="25.95" hidden="1" x14ac:dyDescent="0.3">
      <c r="A940" s="610">
        <v>45</v>
      </c>
      <c r="B940" s="571" t="s">
        <v>326</v>
      </c>
      <c r="C940" s="157"/>
      <c r="D940" s="157"/>
      <c r="E940" s="157"/>
      <c r="F940" s="635"/>
      <c r="G940" s="636"/>
      <c r="H940" s="151">
        <f>SUM(H941,H943)</f>
        <v>0</v>
      </c>
      <c r="I940" s="151">
        <f t="shared" ref="I940:L940" si="765">SUM(I941,I943)</f>
        <v>0</v>
      </c>
      <c r="J940" s="151">
        <f t="shared" si="765"/>
        <v>0</v>
      </c>
      <c r="K940" s="151">
        <f t="shared" si="765"/>
        <v>0</v>
      </c>
      <c r="L940" s="151">
        <f t="shared" si="765"/>
        <v>0</v>
      </c>
      <c r="M940" s="151">
        <f>SUM(M941,M943)</f>
        <v>0</v>
      </c>
      <c r="N940" s="151">
        <f t="shared" ref="N940:U940" si="766">SUM(N941,N943)</f>
        <v>202000</v>
      </c>
      <c r="O940" s="151">
        <f t="shared" si="766"/>
        <v>211000</v>
      </c>
      <c r="P940" s="151">
        <f t="shared" si="766"/>
        <v>0</v>
      </c>
      <c r="Q940" s="151">
        <f t="shared" si="766"/>
        <v>0</v>
      </c>
      <c r="R940" s="151">
        <f t="shared" si="766"/>
        <v>0</v>
      </c>
      <c r="S940" s="118">
        <f t="shared" si="766"/>
        <v>0</v>
      </c>
      <c r="T940" s="118">
        <f t="shared" si="766"/>
        <v>-202000</v>
      </c>
      <c r="U940" s="118">
        <f t="shared" si="766"/>
        <v>-211000</v>
      </c>
      <c r="V940" s="506">
        <f t="shared" si="746"/>
        <v>0</v>
      </c>
      <c r="W940" s="506">
        <f t="shared" si="747"/>
        <v>0</v>
      </c>
      <c r="X940" s="31"/>
      <c r="Y940" s="486"/>
      <c r="Z940" s="31"/>
      <c r="AA940" s="31"/>
      <c r="AB940" s="31"/>
      <c r="AH940" s="457"/>
      <c r="AI940" s="457"/>
      <c r="AJ940" s="457"/>
      <c r="AK940" s="457"/>
      <c r="AL940" s="457"/>
    </row>
    <row r="941" spans="1:38" s="4" customFormat="1" ht="13.05" hidden="1" x14ac:dyDescent="0.3">
      <c r="A941" s="638">
        <v>451</v>
      </c>
      <c r="B941" s="119" t="s">
        <v>55</v>
      </c>
      <c r="C941" s="129"/>
      <c r="D941" s="129"/>
      <c r="E941" s="129"/>
      <c r="F941" s="121"/>
      <c r="G941" s="95"/>
      <c r="H941" s="120">
        <f>SUM(H942)</f>
        <v>0</v>
      </c>
      <c r="I941" s="120">
        <f t="shared" ref="I941:L941" si="767">SUM(I942)</f>
        <v>0</v>
      </c>
      <c r="J941" s="120">
        <f t="shared" si="767"/>
        <v>0</v>
      </c>
      <c r="K941" s="120"/>
      <c r="L941" s="120">
        <f t="shared" si="767"/>
        <v>0</v>
      </c>
      <c r="M941" s="120">
        <f>SUM(M942)</f>
        <v>0</v>
      </c>
      <c r="N941" s="120">
        <f t="shared" ref="N941:U941" si="768">SUM(N942)</f>
        <v>194000</v>
      </c>
      <c r="O941" s="120">
        <f t="shared" si="768"/>
        <v>203000</v>
      </c>
      <c r="P941" s="120">
        <f t="shared" si="768"/>
        <v>0</v>
      </c>
      <c r="Q941" s="120">
        <f t="shared" si="768"/>
        <v>0</v>
      </c>
      <c r="R941" s="120">
        <f t="shared" si="768"/>
        <v>0</v>
      </c>
      <c r="S941" s="120">
        <f t="shared" si="768"/>
        <v>0</v>
      </c>
      <c r="T941" s="120">
        <f t="shared" si="768"/>
        <v>-194000</v>
      </c>
      <c r="U941" s="120">
        <f t="shared" si="768"/>
        <v>-203000</v>
      </c>
      <c r="V941" s="506">
        <f t="shared" si="746"/>
        <v>0</v>
      </c>
      <c r="W941" s="506">
        <f t="shared" si="747"/>
        <v>0</v>
      </c>
      <c r="X941" s="31"/>
      <c r="Y941" s="486"/>
      <c r="Z941" s="31"/>
      <c r="AA941" s="31"/>
      <c r="AB941" s="31"/>
      <c r="AH941" s="457"/>
      <c r="AI941" s="457"/>
      <c r="AJ941" s="457"/>
      <c r="AK941" s="457"/>
      <c r="AL941" s="457"/>
    </row>
    <row r="942" spans="1:38" s="4" customFormat="1" ht="13.05" hidden="1" x14ac:dyDescent="0.3">
      <c r="A942" s="434">
        <v>4511</v>
      </c>
      <c r="B942" s="117" t="s">
        <v>55</v>
      </c>
      <c r="C942" s="129"/>
      <c r="D942" s="129"/>
      <c r="E942" s="129"/>
      <c r="F942" s="121"/>
      <c r="G942" s="95"/>
      <c r="H942" s="121"/>
      <c r="I942" s="121"/>
      <c r="J942" s="121"/>
      <c r="K942" s="129"/>
      <c r="L942" s="129"/>
      <c r="M942" s="63"/>
      <c r="N942" s="121">
        <f>6000+188000</f>
        <v>194000</v>
      </c>
      <c r="O942" s="121">
        <f>15000+188000</f>
        <v>203000</v>
      </c>
      <c r="P942" s="129"/>
      <c r="Q942" s="129"/>
      <c r="R942" s="129"/>
      <c r="S942" s="70">
        <f>P942-M942</f>
        <v>0</v>
      </c>
      <c r="T942" s="70">
        <f t="shared" ref="T942:U944" si="769">P942-N942</f>
        <v>-194000</v>
      </c>
      <c r="U942" s="70">
        <f t="shared" si="769"/>
        <v>-203000</v>
      </c>
      <c r="V942" s="506">
        <f t="shared" si="746"/>
        <v>0</v>
      </c>
      <c r="W942" s="506">
        <f t="shared" si="747"/>
        <v>0</v>
      </c>
      <c r="X942" s="31"/>
      <c r="Y942" s="486"/>
      <c r="Z942" s="31"/>
      <c r="AA942" s="31"/>
      <c r="AB942" s="31"/>
      <c r="AH942" s="457"/>
      <c r="AI942" s="457"/>
      <c r="AJ942" s="457"/>
      <c r="AK942" s="457"/>
      <c r="AL942" s="457"/>
    </row>
    <row r="943" spans="1:38" s="4" customFormat="1" ht="13.05" hidden="1" x14ac:dyDescent="0.3">
      <c r="A943" s="638">
        <v>453</v>
      </c>
      <c r="B943" s="119" t="s">
        <v>287</v>
      </c>
      <c r="C943" s="129"/>
      <c r="D943" s="129"/>
      <c r="E943" s="129"/>
      <c r="F943" s="121"/>
      <c r="G943" s="95"/>
      <c r="H943" s="254">
        <f>SUM(H944)</f>
        <v>0</v>
      </c>
      <c r="I943" s="254">
        <f t="shared" ref="I943:O943" si="770">SUM(I944)</f>
        <v>0</v>
      </c>
      <c r="J943" s="254">
        <f t="shared" si="770"/>
        <v>0</v>
      </c>
      <c r="K943" s="254">
        <f t="shared" si="770"/>
        <v>0</v>
      </c>
      <c r="L943" s="254">
        <f t="shared" si="770"/>
        <v>0</v>
      </c>
      <c r="M943" s="254">
        <f t="shared" si="770"/>
        <v>0</v>
      </c>
      <c r="N943" s="121">
        <f t="shared" si="770"/>
        <v>8000</v>
      </c>
      <c r="O943" s="121">
        <f t="shared" si="770"/>
        <v>8000</v>
      </c>
      <c r="P943" s="129"/>
      <c r="Q943" s="129"/>
      <c r="R943" s="129"/>
      <c r="S943" s="70">
        <f>P943-M943</f>
        <v>0</v>
      </c>
      <c r="T943" s="70">
        <f t="shared" si="769"/>
        <v>-8000</v>
      </c>
      <c r="U943" s="70">
        <f t="shared" si="769"/>
        <v>-8000</v>
      </c>
      <c r="V943" s="506">
        <f t="shared" si="746"/>
        <v>0</v>
      </c>
      <c r="W943" s="506">
        <f t="shared" si="747"/>
        <v>0</v>
      </c>
      <c r="X943" s="31"/>
      <c r="Y943" s="486"/>
      <c r="Z943" s="31"/>
      <c r="AA943" s="31"/>
      <c r="AB943" s="31"/>
      <c r="AH943" s="457"/>
      <c r="AI943" s="457"/>
      <c r="AJ943" s="457"/>
      <c r="AK943" s="457"/>
      <c r="AL943" s="457"/>
    </row>
    <row r="944" spans="1:38" s="4" customFormat="1" ht="13.05" hidden="1" x14ac:dyDescent="0.3">
      <c r="A944" s="434">
        <v>4531</v>
      </c>
      <c r="B944" s="117" t="s">
        <v>287</v>
      </c>
      <c r="C944" s="129"/>
      <c r="D944" s="129"/>
      <c r="E944" s="129"/>
      <c r="F944" s="121"/>
      <c r="G944" s="95"/>
      <c r="H944" s="121"/>
      <c r="I944" s="121"/>
      <c r="J944" s="121"/>
      <c r="K944" s="129"/>
      <c r="L944" s="129"/>
      <c r="M944" s="63"/>
      <c r="N944" s="121">
        <v>8000</v>
      </c>
      <c r="O944" s="121">
        <v>8000</v>
      </c>
      <c r="P944" s="129"/>
      <c r="Q944" s="129"/>
      <c r="R944" s="129"/>
      <c r="S944" s="70">
        <f>P944-M944</f>
        <v>0</v>
      </c>
      <c r="T944" s="70">
        <f t="shared" si="769"/>
        <v>-8000</v>
      </c>
      <c r="U944" s="70">
        <f t="shared" si="769"/>
        <v>-8000</v>
      </c>
      <c r="V944" s="506">
        <f t="shared" si="746"/>
        <v>0</v>
      </c>
      <c r="W944" s="506">
        <f t="shared" si="747"/>
        <v>0</v>
      </c>
      <c r="X944" s="31"/>
      <c r="Y944" s="486"/>
      <c r="Z944" s="31"/>
      <c r="AA944" s="31"/>
      <c r="AB944" s="31"/>
      <c r="AH944" s="457"/>
      <c r="AI944" s="457"/>
      <c r="AJ944" s="457"/>
      <c r="AK944" s="457"/>
      <c r="AL944" s="457"/>
    </row>
    <row r="945" spans="1:38" s="4" customFormat="1" ht="39.6" x14ac:dyDescent="0.3">
      <c r="A945" s="579" t="s">
        <v>419</v>
      </c>
      <c r="B945" s="580" t="s">
        <v>411</v>
      </c>
      <c r="C945" s="630"/>
      <c r="D945" s="128"/>
      <c r="E945" s="128"/>
      <c r="F945" s="631"/>
      <c r="G945" s="631"/>
      <c r="H945" s="632">
        <f>SUM(H946)</f>
        <v>26000</v>
      </c>
      <c r="I945" s="632">
        <f t="shared" ref="I945:L945" si="771">SUM(I946)</f>
        <v>26000</v>
      </c>
      <c r="J945" s="632">
        <f t="shared" si="771"/>
        <v>0</v>
      </c>
      <c r="K945" s="632">
        <f t="shared" si="771"/>
        <v>0</v>
      </c>
      <c r="L945" s="632">
        <f t="shared" si="771"/>
        <v>0</v>
      </c>
      <c r="M945" s="632">
        <f>SUM(M946)</f>
        <v>0</v>
      </c>
      <c r="N945" s="632">
        <f t="shared" ref="N945:U945" si="772">SUM(N946)</f>
        <v>30000</v>
      </c>
      <c r="O945" s="632">
        <f t="shared" si="772"/>
        <v>16000</v>
      </c>
      <c r="P945" s="632">
        <f t="shared" si="772"/>
        <v>42000</v>
      </c>
      <c r="Q945" s="632">
        <f t="shared" si="772"/>
        <v>5000</v>
      </c>
      <c r="R945" s="632">
        <f t="shared" si="772"/>
        <v>5000</v>
      </c>
      <c r="S945" s="632">
        <f t="shared" si="772"/>
        <v>42000</v>
      </c>
      <c r="T945" s="632">
        <f t="shared" si="772"/>
        <v>12000</v>
      </c>
      <c r="U945" s="632">
        <f t="shared" si="772"/>
        <v>-11000</v>
      </c>
      <c r="V945" s="506">
        <f t="shared" si="746"/>
        <v>42000</v>
      </c>
      <c r="W945" s="506">
        <f t="shared" si="747"/>
        <v>0</v>
      </c>
      <c r="X945" s="31"/>
      <c r="Y945" s="486"/>
      <c r="Z945" s="31"/>
      <c r="AA945" s="31"/>
      <c r="AB945" s="31"/>
      <c r="AH945" s="457"/>
      <c r="AI945" s="457"/>
      <c r="AJ945" s="457"/>
      <c r="AK945" s="457"/>
      <c r="AL945" s="457"/>
    </row>
    <row r="946" spans="1:38" s="4" customFormat="1" x14ac:dyDescent="0.3">
      <c r="A946" s="693" t="s">
        <v>77</v>
      </c>
      <c r="B946" s="694"/>
      <c r="C946" s="519"/>
      <c r="D946" s="519"/>
      <c r="E946" s="519"/>
      <c r="F946" s="519"/>
      <c r="G946" s="519"/>
      <c r="H946" s="633">
        <f>SUM(H947,H950,H966)</f>
        <v>26000</v>
      </c>
      <c r="I946" s="633">
        <f t="shared" ref="I946:L946" si="773">SUM(I947,I950,I966)</f>
        <v>26000</v>
      </c>
      <c r="J946" s="633">
        <f t="shared" si="773"/>
        <v>0</v>
      </c>
      <c r="K946" s="633">
        <f t="shared" si="773"/>
        <v>0</v>
      </c>
      <c r="L946" s="633">
        <f t="shared" si="773"/>
        <v>0</v>
      </c>
      <c r="M946" s="633">
        <f>SUM(M947,M950,M966)</f>
        <v>0</v>
      </c>
      <c r="N946" s="633">
        <f t="shared" ref="N946:U946" si="774">SUM(N947,N950,N966)</f>
        <v>30000</v>
      </c>
      <c r="O946" s="633">
        <f t="shared" si="774"/>
        <v>16000</v>
      </c>
      <c r="P946" s="633">
        <f t="shared" si="774"/>
        <v>42000</v>
      </c>
      <c r="Q946" s="633">
        <f t="shared" si="774"/>
        <v>5000</v>
      </c>
      <c r="R946" s="633">
        <f t="shared" si="774"/>
        <v>5000</v>
      </c>
      <c r="S946" s="633">
        <f t="shared" si="774"/>
        <v>42000</v>
      </c>
      <c r="T946" s="633">
        <f t="shared" si="774"/>
        <v>12000</v>
      </c>
      <c r="U946" s="633">
        <f t="shared" si="774"/>
        <v>-11000</v>
      </c>
      <c r="V946" s="506">
        <f t="shared" si="746"/>
        <v>42000</v>
      </c>
      <c r="W946" s="506">
        <f t="shared" si="747"/>
        <v>0</v>
      </c>
      <c r="X946" s="31"/>
      <c r="Y946" s="486"/>
      <c r="Z946" s="31"/>
      <c r="AA946" s="31"/>
      <c r="AB946" s="31"/>
      <c r="AH946" s="457"/>
      <c r="AI946" s="457"/>
      <c r="AJ946" s="457"/>
      <c r="AK946" s="457"/>
      <c r="AL946" s="457"/>
    </row>
    <row r="947" spans="1:38" s="4" customFormat="1" x14ac:dyDescent="0.3">
      <c r="A947" s="540" t="s">
        <v>315</v>
      </c>
      <c r="B947" s="145" t="s">
        <v>316</v>
      </c>
      <c r="C947" s="157"/>
      <c r="D947" s="157"/>
      <c r="E947" s="157"/>
      <c r="F947" s="635"/>
      <c r="G947" s="636"/>
      <c r="H947" s="151">
        <f t="shared" ref="H947:U948" si="775">SUM(H948)</f>
        <v>10000</v>
      </c>
      <c r="I947" s="151">
        <f t="shared" si="775"/>
        <v>10000</v>
      </c>
      <c r="J947" s="151">
        <f t="shared" si="775"/>
        <v>0</v>
      </c>
      <c r="K947" s="151">
        <f t="shared" si="775"/>
        <v>0</v>
      </c>
      <c r="L947" s="151">
        <f t="shared" si="775"/>
        <v>0</v>
      </c>
      <c r="M947" s="151">
        <f t="shared" si="775"/>
        <v>0</v>
      </c>
      <c r="N947" s="151">
        <f t="shared" si="775"/>
        <v>10000</v>
      </c>
      <c r="O947" s="151">
        <f t="shared" si="775"/>
        <v>10000</v>
      </c>
      <c r="P947" s="151">
        <f t="shared" si="775"/>
        <v>4500</v>
      </c>
      <c r="Q947" s="151">
        <f t="shared" si="775"/>
        <v>1500</v>
      </c>
      <c r="R947" s="151">
        <f t="shared" si="775"/>
        <v>1000</v>
      </c>
      <c r="S947" s="151">
        <f t="shared" si="775"/>
        <v>4500</v>
      </c>
      <c r="T947" s="151">
        <f t="shared" si="775"/>
        <v>-5500</v>
      </c>
      <c r="U947" s="151">
        <f t="shared" si="775"/>
        <v>-8500</v>
      </c>
      <c r="V947" s="506">
        <f t="shared" si="746"/>
        <v>4500</v>
      </c>
      <c r="W947" s="506">
        <f t="shared" si="747"/>
        <v>0</v>
      </c>
      <c r="X947" s="31"/>
      <c r="Y947" s="486"/>
      <c r="Z947" s="31"/>
      <c r="AA947" s="31"/>
      <c r="AB947" s="31"/>
      <c r="AH947" s="457"/>
      <c r="AI947" s="457"/>
      <c r="AJ947" s="457"/>
      <c r="AK947" s="457"/>
      <c r="AL947" s="457"/>
    </row>
    <row r="948" spans="1:38" s="4" customFormat="1" x14ac:dyDescent="0.3">
      <c r="A948" s="601" t="s">
        <v>143</v>
      </c>
      <c r="B948" s="601" t="s">
        <v>220</v>
      </c>
      <c r="C948" s="129"/>
      <c r="D948" s="129"/>
      <c r="E948" s="129"/>
      <c r="F948" s="121"/>
      <c r="G948" s="95"/>
      <c r="H948" s="120">
        <f t="shared" si="775"/>
        <v>10000</v>
      </c>
      <c r="I948" s="120">
        <f t="shared" si="775"/>
        <v>10000</v>
      </c>
      <c r="J948" s="120">
        <f t="shared" si="775"/>
        <v>0</v>
      </c>
      <c r="K948" s="120">
        <f t="shared" si="775"/>
        <v>0</v>
      </c>
      <c r="L948" s="120">
        <f t="shared" si="775"/>
        <v>0</v>
      </c>
      <c r="M948" s="120">
        <f t="shared" si="775"/>
        <v>0</v>
      </c>
      <c r="N948" s="120">
        <f t="shared" si="775"/>
        <v>10000</v>
      </c>
      <c r="O948" s="120">
        <f t="shared" si="775"/>
        <v>10000</v>
      </c>
      <c r="P948" s="120">
        <f t="shared" si="775"/>
        <v>4500</v>
      </c>
      <c r="Q948" s="120">
        <f t="shared" si="775"/>
        <v>1500</v>
      </c>
      <c r="R948" s="120">
        <f t="shared" si="775"/>
        <v>1000</v>
      </c>
      <c r="S948" s="120">
        <f t="shared" si="775"/>
        <v>4500</v>
      </c>
      <c r="T948" s="120">
        <f t="shared" si="775"/>
        <v>-5500</v>
      </c>
      <c r="U948" s="120">
        <f t="shared" si="775"/>
        <v>-8500</v>
      </c>
      <c r="V948" s="506">
        <f t="shared" si="746"/>
        <v>4500</v>
      </c>
      <c r="W948" s="506">
        <f t="shared" si="747"/>
        <v>0</v>
      </c>
      <c r="X948" s="31"/>
      <c r="Y948" s="486"/>
      <c r="Z948" s="31"/>
      <c r="AA948" s="31"/>
      <c r="AB948" s="31"/>
      <c r="AH948" s="457"/>
      <c r="AI948" s="457"/>
      <c r="AJ948" s="457"/>
      <c r="AK948" s="457"/>
      <c r="AL948" s="457"/>
    </row>
    <row r="949" spans="1:38" s="4" customFormat="1" x14ac:dyDescent="0.3">
      <c r="A949" s="542" t="s">
        <v>144</v>
      </c>
      <c r="B949" s="637" t="s">
        <v>5</v>
      </c>
      <c r="C949" s="129"/>
      <c r="D949" s="129"/>
      <c r="E949" s="129"/>
      <c r="F949" s="121"/>
      <c r="G949" s="95"/>
      <c r="H949" s="121">
        <v>10000</v>
      </c>
      <c r="I949" s="383">
        <v>10000</v>
      </c>
      <c r="J949" s="121"/>
      <c r="K949" s="129"/>
      <c r="L949" s="129"/>
      <c r="M949" s="63">
        <f>H949-I949+J949-K949+L949</f>
        <v>0</v>
      </c>
      <c r="N949" s="121">
        <v>10000</v>
      </c>
      <c r="O949" s="121">
        <v>10000</v>
      </c>
      <c r="P949" s="129">
        <v>4500</v>
      </c>
      <c r="Q949" s="129">
        <v>1500</v>
      </c>
      <c r="R949" s="129">
        <v>1000</v>
      </c>
      <c r="S949" s="70">
        <f>P949-M949</f>
        <v>4500</v>
      </c>
      <c r="T949" s="70">
        <f>P949-N949</f>
        <v>-5500</v>
      </c>
      <c r="U949" s="70">
        <f>Q949-O949</f>
        <v>-8500</v>
      </c>
      <c r="V949" s="506">
        <f t="shared" si="746"/>
        <v>4500</v>
      </c>
      <c r="W949" s="506">
        <f t="shared" si="747"/>
        <v>0</v>
      </c>
      <c r="X949" s="31"/>
      <c r="Y949" s="486"/>
      <c r="Z949" s="31"/>
      <c r="AA949" s="31"/>
      <c r="AB949" s="31"/>
      <c r="AH949" s="457"/>
      <c r="AI949" s="457"/>
      <c r="AJ949" s="457"/>
      <c r="AK949" s="457"/>
      <c r="AL949" s="457"/>
    </row>
    <row r="950" spans="1:38" s="4" customFormat="1" x14ac:dyDescent="0.3">
      <c r="A950" s="540" t="s">
        <v>317</v>
      </c>
      <c r="B950" s="540" t="s">
        <v>318</v>
      </c>
      <c r="C950" s="157"/>
      <c r="D950" s="157"/>
      <c r="E950" s="157"/>
      <c r="F950" s="635"/>
      <c r="G950" s="636"/>
      <c r="H950" s="151">
        <f>SUM(H951,H954,H957,H964)</f>
        <v>8000</v>
      </c>
      <c r="I950" s="151">
        <f t="shared" ref="I950:L950" si="776">SUM(I951,I954,I957,I964)</f>
        <v>8000</v>
      </c>
      <c r="J950" s="151">
        <f t="shared" si="776"/>
        <v>0</v>
      </c>
      <c r="K950" s="151">
        <f t="shared" si="776"/>
        <v>0</v>
      </c>
      <c r="L950" s="151">
        <f t="shared" si="776"/>
        <v>0</v>
      </c>
      <c r="M950" s="151">
        <f>SUM(M951,M954,M957,M962,M964)</f>
        <v>0</v>
      </c>
      <c r="N950" s="151">
        <f t="shared" ref="N950:U950" si="777">SUM(N951,N954,N957,N962,N964)</f>
        <v>12000</v>
      </c>
      <c r="O950" s="151">
        <f t="shared" si="777"/>
        <v>4000</v>
      </c>
      <c r="P950" s="151">
        <f t="shared" si="777"/>
        <v>11000</v>
      </c>
      <c r="Q950" s="151">
        <f t="shared" si="777"/>
        <v>3500</v>
      </c>
      <c r="R950" s="151">
        <f t="shared" si="777"/>
        <v>4000</v>
      </c>
      <c r="S950" s="151">
        <f t="shared" si="777"/>
        <v>11000</v>
      </c>
      <c r="T950" s="151">
        <f t="shared" si="777"/>
        <v>-1000</v>
      </c>
      <c r="U950" s="151">
        <f t="shared" si="777"/>
        <v>-500</v>
      </c>
      <c r="V950" s="506">
        <f t="shared" si="746"/>
        <v>11000</v>
      </c>
      <c r="W950" s="506">
        <f t="shared" si="747"/>
        <v>0</v>
      </c>
      <c r="X950" s="31"/>
      <c r="Y950" s="486"/>
      <c r="Z950" s="31"/>
      <c r="AA950" s="31"/>
      <c r="AB950" s="31"/>
      <c r="AH950" s="457"/>
      <c r="AI950" s="457"/>
      <c r="AJ950" s="457"/>
      <c r="AK950" s="457"/>
      <c r="AL950" s="457"/>
    </row>
    <row r="951" spans="1:38" s="4" customFormat="1" x14ac:dyDescent="0.3">
      <c r="A951" s="638" t="s">
        <v>149</v>
      </c>
      <c r="B951" s="119" t="s">
        <v>12</v>
      </c>
      <c r="C951" s="129"/>
      <c r="D951" s="129"/>
      <c r="E951" s="129"/>
      <c r="F951" s="121"/>
      <c r="G951" s="95"/>
      <c r="H951" s="120">
        <f>SUM(H952:H953)</f>
        <v>1000</v>
      </c>
      <c r="I951" s="120">
        <f t="shared" ref="I951:L951" si="778">SUM(I952:I953)</f>
        <v>1000</v>
      </c>
      <c r="J951" s="120">
        <f t="shared" si="778"/>
        <v>0</v>
      </c>
      <c r="K951" s="120">
        <f t="shared" si="778"/>
        <v>0</v>
      </c>
      <c r="L951" s="120">
        <f t="shared" si="778"/>
        <v>0</v>
      </c>
      <c r="M951" s="120">
        <f>SUM(M952:M953)</f>
        <v>0</v>
      </c>
      <c r="N951" s="120">
        <f t="shared" ref="N951:U951" si="779">SUM(N952:N953)</f>
        <v>5000</v>
      </c>
      <c r="O951" s="120">
        <f t="shared" si="779"/>
        <v>1000</v>
      </c>
      <c r="P951" s="120">
        <f t="shared" si="779"/>
        <v>2500</v>
      </c>
      <c r="Q951" s="120">
        <f t="shared" si="779"/>
        <v>500</v>
      </c>
      <c r="R951" s="120">
        <f t="shared" si="779"/>
        <v>500</v>
      </c>
      <c r="S951" s="120">
        <f t="shared" si="779"/>
        <v>2500</v>
      </c>
      <c r="T951" s="120">
        <f t="shared" si="779"/>
        <v>-2500</v>
      </c>
      <c r="U951" s="120">
        <f t="shared" si="779"/>
        <v>-500</v>
      </c>
      <c r="V951" s="506">
        <f t="shared" si="746"/>
        <v>2500</v>
      </c>
      <c r="W951" s="506">
        <f t="shared" si="747"/>
        <v>0</v>
      </c>
      <c r="X951" s="31"/>
      <c r="Y951" s="486"/>
      <c r="Z951" s="31"/>
      <c r="AA951" s="31"/>
      <c r="AB951" s="31"/>
      <c r="AH951" s="457"/>
      <c r="AI951" s="457"/>
      <c r="AJ951" s="457"/>
      <c r="AK951" s="457"/>
      <c r="AL951" s="457"/>
    </row>
    <row r="952" spans="1:38" s="4" customFormat="1" x14ac:dyDescent="0.3">
      <c r="A952" s="434">
        <v>3211</v>
      </c>
      <c r="B952" s="117" t="s">
        <v>13</v>
      </c>
      <c r="C952" s="129"/>
      <c r="D952" s="129"/>
      <c r="E952" s="129"/>
      <c r="F952" s="121"/>
      <c r="G952" s="95"/>
      <c r="H952" s="121">
        <v>1000</v>
      </c>
      <c r="I952" s="383">
        <v>1000</v>
      </c>
      <c r="J952" s="121"/>
      <c r="K952" s="129"/>
      <c r="L952" s="129"/>
      <c r="M952" s="63">
        <f>H952-I952+J952-K952+L952</f>
        <v>0</v>
      </c>
      <c r="N952" s="121">
        <v>1000</v>
      </c>
      <c r="O952" s="121">
        <v>1000</v>
      </c>
      <c r="P952" s="129">
        <v>500</v>
      </c>
      <c r="Q952" s="129">
        <v>500</v>
      </c>
      <c r="R952" s="129">
        <v>500</v>
      </c>
      <c r="S952" s="70">
        <f>P952-M952</f>
        <v>500</v>
      </c>
      <c r="T952" s="70">
        <f>P952-N952</f>
        <v>-500</v>
      </c>
      <c r="U952" s="70">
        <f>Q952-O952</f>
        <v>-500</v>
      </c>
      <c r="V952" s="506">
        <f t="shared" si="746"/>
        <v>500</v>
      </c>
      <c r="W952" s="506">
        <f t="shared" si="747"/>
        <v>0</v>
      </c>
      <c r="X952" s="31"/>
      <c r="Y952" s="486"/>
      <c r="Z952" s="31"/>
      <c r="AA952" s="31"/>
      <c r="AB952" s="31"/>
      <c r="AH952" s="457"/>
      <c r="AI952" s="457"/>
      <c r="AJ952" s="457"/>
      <c r="AK952" s="457"/>
      <c r="AL952" s="457"/>
    </row>
    <row r="953" spans="1:38" s="4" customFormat="1" x14ac:dyDescent="0.3">
      <c r="A953" s="434">
        <v>3213</v>
      </c>
      <c r="B953" s="117" t="s">
        <v>15</v>
      </c>
      <c r="C953" s="129"/>
      <c r="D953" s="129"/>
      <c r="E953" s="129"/>
      <c r="F953" s="121"/>
      <c r="G953" s="95"/>
      <c r="H953" s="121"/>
      <c r="I953" s="121"/>
      <c r="J953" s="121"/>
      <c r="K953" s="129"/>
      <c r="L953" s="129"/>
      <c r="M953" s="63"/>
      <c r="N953" s="121">
        <v>4000</v>
      </c>
      <c r="O953" s="121"/>
      <c r="P953" s="129">
        <v>2000</v>
      </c>
      <c r="Q953" s="129"/>
      <c r="R953" s="129"/>
      <c r="S953" s="70">
        <f>P953-M953</f>
        <v>2000</v>
      </c>
      <c r="T953" s="70">
        <f>P953-N953</f>
        <v>-2000</v>
      </c>
      <c r="U953" s="70">
        <f>Q953-O953</f>
        <v>0</v>
      </c>
      <c r="V953" s="506">
        <f t="shared" si="746"/>
        <v>2000</v>
      </c>
      <c r="W953" s="506">
        <f t="shared" si="747"/>
        <v>0</v>
      </c>
      <c r="X953" s="31"/>
      <c r="Y953" s="486"/>
      <c r="Z953" s="31"/>
      <c r="AA953" s="31"/>
      <c r="AB953" s="31"/>
      <c r="AH953" s="457"/>
      <c r="AI953" s="457"/>
      <c r="AJ953" s="457"/>
      <c r="AK953" s="457"/>
      <c r="AL953" s="457"/>
    </row>
    <row r="954" spans="1:38" s="4" customFormat="1" ht="15" customHeight="1" x14ac:dyDescent="0.3">
      <c r="A954" s="639">
        <v>322</v>
      </c>
      <c r="B954" s="89" t="s">
        <v>16</v>
      </c>
      <c r="C954" s="129"/>
      <c r="D954" s="129"/>
      <c r="E954" s="129"/>
      <c r="F954" s="121"/>
      <c r="G954" s="95"/>
      <c r="H954" s="120">
        <f>SUM(H955:H956)</f>
        <v>1000</v>
      </c>
      <c r="I954" s="120">
        <f t="shared" ref="I954:L954" si="780">SUM(I955:I956)</f>
        <v>1000</v>
      </c>
      <c r="J954" s="120">
        <f t="shared" si="780"/>
        <v>0</v>
      </c>
      <c r="K954" s="120">
        <f t="shared" si="780"/>
        <v>0</v>
      </c>
      <c r="L954" s="120">
        <f t="shared" si="780"/>
        <v>0</v>
      </c>
      <c r="M954" s="120">
        <f>SUM(M955:M956)</f>
        <v>0</v>
      </c>
      <c r="N954" s="120">
        <f>SUM(N955:N956)</f>
        <v>1000</v>
      </c>
      <c r="O954" s="120">
        <f>SUM(O955:O956)</f>
        <v>1000</v>
      </c>
      <c r="P954" s="120">
        <f t="shared" ref="P954:U954" si="781">SUM(P955:P956)</f>
        <v>1000</v>
      </c>
      <c r="Q954" s="120">
        <f t="shared" si="781"/>
        <v>1000</v>
      </c>
      <c r="R954" s="120">
        <f t="shared" si="781"/>
        <v>1000</v>
      </c>
      <c r="S954" s="120">
        <f t="shared" si="781"/>
        <v>1000</v>
      </c>
      <c r="T954" s="120">
        <f t="shared" si="781"/>
        <v>0</v>
      </c>
      <c r="U954" s="120">
        <f t="shared" si="781"/>
        <v>0</v>
      </c>
      <c r="V954" s="506">
        <f t="shared" si="746"/>
        <v>1000</v>
      </c>
      <c r="W954" s="506">
        <f t="shared" si="747"/>
        <v>0</v>
      </c>
      <c r="X954" s="31"/>
      <c r="Y954" s="486"/>
      <c r="Z954" s="31"/>
      <c r="AA954" s="31"/>
      <c r="AB954" s="31"/>
      <c r="AH954" s="457"/>
      <c r="AI954" s="457"/>
      <c r="AJ954" s="457"/>
      <c r="AK954" s="457"/>
      <c r="AL954" s="457"/>
    </row>
    <row r="955" spans="1:38" s="4" customFormat="1" x14ac:dyDescent="0.3">
      <c r="A955" s="542">
        <v>3221</v>
      </c>
      <c r="B955" s="535" t="s">
        <v>17</v>
      </c>
      <c r="C955" s="129"/>
      <c r="D955" s="129"/>
      <c r="E955" s="129"/>
      <c r="F955" s="121"/>
      <c r="G955" s="95"/>
      <c r="H955" s="121">
        <v>1000</v>
      </c>
      <c r="I955" s="383">
        <v>1000</v>
      </c>
      <c r="J955" s="121"/>
      <c r="K955" s="129"/>
      <c r="L955" s="129"/>
      <c r="M955" s="63">
        <f>H955-I955+J955-K955+L955</f>
        <v>0</v>
      </c>
      <c r="N955" s="121"/>
      <c r="O955" s="121"/>
      <c r="P955" s="129">
        <v>500</v>
      </c>
      <c r="Q955" s="129">
        <v>500</v>
      </c>
      <c r="R955" s="129">
        <v>500</v>
      </c>
      <c r="S955" s="70">
        <f>P955-M955</f>
        <v>500</v>
      </c>
      <c r="T955" s="70">
        <f>P955-N955</f>
        <v>500</v>
      </c>
      <c r="U955" s="70">
        <f>Q955-O955</f>
        <v>500</v>
      </c>
      <c r="V955" s="506">
        <f t="shared" si="746"/>
        <v>500</v>
      </c>
      <c r="W955" s="506">
        <f t="shared" si="747"/>
        <v>0</v>
      </c>
      <c r="X955" s="31"/>
      <c r="Y955" s="486"/>
      <c r="Z955" s="31"/>
      <c r="AA955" s="31"/>
      <c r="AB955" s="31"/>
      <c r="AH955" s="457"/>
      <c r="AI955" s="457"/>
      <c r="AJ955" s="457"/>
      <c r="AK955" s="457"/>
      <c r="AL955" s="457"/>
    </row>
    <row r="956" spans="1:38" s="4" customFormat="1" x14ac:dyDescent="0.3">
      <c r="A956" s="434">
        <v>3223</v>
      </c>
      <c r="B956" s="117" t="s">
        <v>19</v>
      </c>
      <c r="C956" s="129"/>
      <c r="D956" s="129"/>
      <c r="E956" s="129"/>
      <c r="F956" s="121"/>
      <c r="G956" s="95"/>
      <c r="H956" s="121"/>
      <c r="I956" s="121"/>
      <c r="J956" s="121"/>
      <c r="K956" s="129"/>
      <c r="L956" s="129"/>
      <c r="M956" s="63"/>
      <c r="N956" s="121">
        <v>1000</v>
      </c>
      <c r="O956" s="121">
        <v>1000</v>
      </c>
      <c r="P956" s="129">
        <v>500</v>
      </c>
      <c r="Q956" s="129">
        <v>500</v>
      </c>
      <c r="R956" s="129">
        <v>500</v>
      </c>
      <c r="S956" s="70">
        <f>P956-M956</f>
        <v>500</v>
      </c>
      <c r="T956" s="70">
        <f>P956-N956</f>
        <v>-500</v>
      </c>
      <c r="U956" s="70">
        <f>Q956-O956</f>
        <v>-500</v>
      </c>
      <c r="V956" s="506">
        <f t="shared" si="746"/>
        <v>500</v>
      </c>
      <c r="W956" s="506">
        <f t="shared" si="747"/>
        <v>0</v>
      </c>
      <c r="X956" s="31"/>
      <c r="Y956" s="486"/>
      <c r="Z956" s="31"/>
      <c r="AA956" s="31"/>
      <c r="AB956" s="31"/>
      <c r="AH956" s="457"/>
      <c r="AI956" s="457"/>
      <c r="AJ956" s="457"/>
      <c r="AK956" s="457"/>
      <c r="AL956" s="457"/>
    </row>
    <row r="957" spans="1:38" s="4" customFormat="1" x14ac:dyDescent="0.3">
      <c r="A957" s="640" t="s">
        <v>159</v>
      </c>
      <c r="B957" s="558" t="s">
        <v>123</v>
      </c>
      <c r="C957" s="129"/>
      <c r="D957" s="129"/>
      <c r="E957" s="129"/>
      <c r="F957" s="121"/>
      <c r="G957" s="95"/>
      <c r="H957" s="120">
        <f>SUM(H958:H961)</f>
        <v>5000</v>
      </c>
      <c r="I957" s="120">
        <f t="shared" ref="I957:M957" si="782">SUM(I958:I961)</f>
        <v>5000</v>
      </c>
      <c r="J957" s="120">
        <f t="shared" si="782"/>
        <v>0</v>
      </c>
      <c r="K957" s="120">
        <f t="shared" si="782"/>
        <v>0</v>
      </c>
      <c r="L957" s="120">
        <f t="shared" si="782"/>
        <v>0</v>
      </c>
      <c r="M957" s="120">
        <f t="shared" si="782"/>
        <v>0</v>
      </c>
      <c r="N957" s="120">
        <f t="shared" ref="N957:O957" si="783">SUM(N958:N960)</f>
        <v>5000</v>
      </c>
      <c r="O957" s="120">
        <f t="shared" si="783"/>
        <v>1000</v>
      </c>
      <c r="P957" s="120">
        <f>SUM(P958:P961)</f>
        <v>6500</v>
      </c>
      <c r="Q957" s="120">
        <f t="shared" ref="Q957:U957" si="784">SUM(Q958:Q961)</f>
        <v>1000</v>
      </c>
      <c r="R957" s="120">
        <f t="shared" si="784"/>
        <v>0</v>
      </c>
      <c r="S957" s="120">
        <f t="shared" si="784"/>
        <v>6500</v>
      </c>
      <c r="T957" s="120">
        <f t="shared" si="784"/>
        <v>1500</v>
      </c>
      <c r="U957" s="120">
        <f t="shared" si="784"/>
        <v>0</v>
      </c>
      <c r="V957" s="506">
        <f t="shared" si="746"/>
        <v>6500</v>
      </c>
      <c r="W957" s="506">
        <f t="shared" si="747"/>
        <v>0</v>
      </c>
      <c r="X957" s="31"/>
      <c r="Y957" s="486"/>
      <c r="Z957" s="31"/>
      <c r="AA957" s="31"/>
      <c r="AB957" s="31"/>
      <c r="AH957" s="457"/>
      <c r="AI957" s="457"/>
      <c r="AJ957" s="457"/>
      <c r="AK957" s="457"/>
      <c r="AL957" s="457"/>
    </row>
    <row r="958" spans="1:38" s="4" customFormat="1" x14ac:dyDescent="0.3">
      <c r="A958" s="130">
        <v>3233</v>
      </c>
      <c r="B958" s="107" t="s">
        <v>26</v>
      </c>
      <c r="C958" s="129"/>
      <c r="D958" s="129"/>
      <c r="E958" s="129"/>
      <c r="F958" s="121"/>
      <c r="G958" s="95"/>
      <c r="H958" s="121">
        <v>2000</v>
      </c>
      <c r="I958" s="383">
        <v>2000</v>
      </c>
      <c r="J958" s="121"/>
      <c r="K958" s="129"/>
      <c r="L958" s="129"/>
      <c r="M958" s="63">
        <f>H958-I958+J958-K958+L958</f>
        <v>0</v>
      </c>
      <c r="N958" s="121">
        <v>2000</v>
      </c>
      <c r="O958" s="121"/>
      <c r="P958" s="129">
        <v>2500</v>
      </c>
      <c r="Q958" s="129"/>
      <c r="R958" s="129"/>
      <c r="S958" s="70">
        <f>P958-M958</f>
        <v>2500</v>
      </c>
      <c r="T958" s="70">
        <f t="shared" ref="T958:U961" si="785">P958-N958</f>
        <v>500</v>
      </c>
      <c r="U958" s="70">
        <f t="shared" si="785"/>
        <v>0</v>
      </c>
      <c r="V958" s="506">
        <f t="shared" si="746"/>
        <v>2500</v>
      </c>
      <c r="W958" s="506">
        <f t="shared" si="747"/>
        <v>0</v>
      </c>
      <c r="X958" s="31"/>
      <c r="Y958" s="486"/>
      <c r="Z958" s="31"/>
      <c r="AA958" s="31"/>
      <c r="AB958" s="31"/>
      <c r="AH958" s="457"/>
      <c r="AI958" s="457"/>
      <c r="AJ958" s="457"/>
      <c r="AK958" s="457"/>
      <c r="AL958" s="457"/>
    </row>
    <row r="959" spans="1:38" s="4" customFormat="1" x14ac:dyDescent="0.3">
      <c r="A959" s="130">
        <v>3235</v>
      </c>
      <c r="B959" s="107" t="s">
        <v>28</v>
      </c>
      <c r="C959" s="129"/>
      <c r="D959" s="129"/>
      <c r="E959" s="129"/>
      <c r="F959" s="121"/>
      <c r="G959" s="95"/>
      <c r="H959" s="121">
        <v>1000</v>
      </c>
      <c r="I959" s="383">
        <v>1000</v>
      </c>
      <c r="J959" s="121"/>
      <c r="K959" s="129"/>
      <c r="L959" s="129"/>
      <c r="M959" s="63">
        <f>H959-I959+J959-K959+L959</f>
        <v>0</v>
      </c>
      <c r="N959" s="121">
        <v>1000</v>
      </c>
      <c r="O959" s="121">
        <v>1000</v>
      </c>
      <c r="P959" s="129"/>
      <c r="Q959" s="129">
        <v>500</v>
      </c>
      <c r="R959" s="129"/>
      <c r="S959" s="70">
        <f>P959-M959</f>
        <v>0</v>
      </c>
      <c r="T959" s="70">
        <f t="shared" si="785"/>
        <v>-1000</v>
      </c>
      <c r="U959" s="70">
        <f t="shared" si="785"/>
        <v>-500</v>
      </c>
      <c r="V959" s="506">
        <f t="shared" si="746"/>
        <v>0</v>
      </c>
      <c r="W959" s="506">
        <f t="shared" si="747"/>
        <v>0</v>
      </c>
      <c r="X959" s="31"/>
      <c r="Y959" s="486"/>
      <c r="Z959" s="31"/>
      <c r="AA959" s="31"/>
      <c r="AB959" s="31"/>
      <c r="AH959" s="457"/>
      <c r="AI959" s="457"/>
      <c r="AJ959" s="457"/>
      <c r="AK959" s="457"/>
      <c r="AL959" s="457"/>
    </row>
    <row r="960" spans="1:38" s="4" customFormat="1" x14ac:dyDescent="0.3">
      <c r="A960" s="130">
        <v>3237</v>
      </c>
      <c r="B960" s="107" t="s">
        <v>30</v>
      </c>
      <c r="C960" s="129"/>
      <c r="D960" s="129"/>
      <c r="E960" s="129"/>
      <c r="F960" s="121"/>
      <c r="G960" s="95"/>
      <c r="H960" s="121">
        <v>2000</v>
      </c>
      <c r="I960" s="383">
        <v>2000</v>
      </c>
      <c r="J960" s="121"/>
      <c r="K960" s="129"/>
      <c r="L960" s="129"/>
      <c r="M960" s="63">
        <f>H960-I960+J960-K960+L960</f>
        <v>0</v>
      </c>
      <c r="N960" s="121">
        <v>2000</v>
      </c>
      <c r="O960" s="121"/>
      <c r="P960" s="129">
        <v>4000</v>
      </c>
      <c r="Q960" s="129"/>
      <c r="R960" s="129"/>
      <c r="S960" s="70">
        <f>P960-M960</f>
        <v>4000</v>
      </c>
      <c r="T960" s="70">
        <f t="shared" si="785"/>
        <v>2000</v>
      </c>
      <c r="U960" s="70">
        <f t="shared" si="785"/>
        <v>0</v>
      </c>
      <c r="V960" s="506">
        <f t="shared" si="746"/>
        <v>4000</v>
      </c>
      <c r="W960" s="506">
        <f t="shared" si="747"/>
        <v>0</v>
      </c>
      <c r="X960" s="31"/>
      <c r="Y960" s="486"/>
      <c r="Z960" s="47"/>
      <c r="AA960" s="47"/>
      <c r="AB960" s="47"/>
      <c r="AC960" s="25"/>
      <c r="AD960" s="25"/>
      <c r="AE960" s="25"/>
      <c r="AH960" s="457"/>
      <c r="AI960" s="457"/>
      <c r="AJ960" s="457"/>
      <c r="AK960" s="457"/>
      <c r="AL960" s="457"/>
    </row>
    <row r="961" spans="1:38" s="4" customFormat="1" x14ac:dyDescent="0.3">
      <c r="A961" s="130">
        <v>3239</v>
      </c>
      <c r="B961" s="107" t="s">
        <v>31</v>
      </c>
      <c r="C961" s="129"/>
      <c r="D961" s="129"/>
      <c r="E961" s="129"/>
      <c r="F961" s="121"/>
      <c r="G961" s="95"/>
      <c r="H961" s="121"/>
      <c r="I961" s="121"/>
      <c r="J961" s="121"/>
      <c r="K961" s="129"/>
      <c r="L961" s="129"/>
      <c r="M961" s="63"/>
      <c r="N961" s="121"/>
      <c r="O961" s="121"/>
      <c r="P961" s="129"/>
      <c r="Q961" s="129">
        <v>500</v>
      </c>
      <c r="R961" s="129"/>
      <c r="S961" s="70">
        <f>P961-M961</f>
        <v>0</v>
      </c>
      <c r="T961" s="70">
        <f t="shared" si="785"/>
        <v>0</v>
      </c>
      <c r="U961" s="70">
        <f t="shared" si="785"/>
        <v>500</v>
      </c>
      <c r="V961" s="506">
        <f t="shared" si="746"/>
        <v>0</v>
      </c>
      <c r="W961" s="506">
        <f t="shared" si="747"/>
        <v>0</v>
      </c>
      <c r="X961" s="31"/>
      <c r="Y961" s="486"/>
      <c r="Z961" s="31"/>
      <c r="AA961" s="31"/>
      <c r="AB961" s="31"/>
      <c r="AH961" s="457"/>
      <c r="AI961" s="457"/>
      <c r="AJ961" s="457"/>
      <c r="AK961" s="457"/>
      <c r="AL961" s="457"/>
    </row>
    <row r="962" spans="1:38" s="4" customFormat="1" ht="24.6" customHeight="1" x14ac:dyDescent="0.3">
      <c r="A962" s="638">
        <v>324</v>
      </c>
      <c r="B962" s="119" t="s">
        <v>32</v>
      </c>
      <c r="C962" s="129"/>
      <c r="D962" s="129"/>
      <c r="E962" s="129"/>
      <c r="F962" s="121"/>
      <c r="G962" s="95"/>
      <c r="H962" s="120">
        <f>SUM(H963)</f>
        <v>0</v>
      </c>
      <c r="I962" s="120">
        <f t="shared" ref="I962:L962" si="786">SUM(I963)</f>
        <v>0</v>
      </c>
      <c r="J962" s="120">
        <f t="shared" si="786"/>
        <v>0</v>
      </c>
      <c r="K962" s="120">
        <f t="shared" si="786"/>
        <v>0</v>
      </c>
      <c r="L962" s="120">
        <f t="shared" si="786"/>
        <v>0</v>
      </c>
      <c r="M962" s="120">
        <f>SUM(M963)</f>
        <v>0</v>
      </c>
      <c r="N962" s="120">
        <f t="shared" ref="N962:U962" si="787">SUM(N963)</f>
        <v>0</v>
      </c>
      <c r="O962" s="120">
        <f t="shared" si="787"/>
        <v>0</v>
      </c>
      <c r="P962" s="120">
        <f t="shared" si="787"/>
        <v>0</v>
      </c>
      <c r="Q962" s="120">
        <f t="shared" si="787"/>
        <v>1000</v>
      </c>
      <c r="R962" s="120">
        <f t="shared" si="787"/>
        <v>1000</v>
      </c>
      <c r="S962" s="120">
        <f t="shared" si="787"/>
        <v>0</v>
      </c>
      <c r="T962" s="120">
        <f t="shared" si="787"/>
        <v>0</v>
      </c>
      <c r="U962" s="120">
        <f t="shared" si="787"/>
        <v>1000</v>
      </c>
      <c r="V962" s="506">
        <f t="shared" si="746"/>
        <v>0</v>
      </c>
      <c r="W962" s="506">
        <f t="shared" si="747"/>
        <v>0</v>
      </c>
      <c r="X962" s="31"/>
      <c r="Y962" s="486"/>
      <c r="Z962" s="31"/>
      <c r="AA962" s="31"/>
      <c r="AB962" s="31"/>
      <c r="AH962" s="457"/>
      <c r="AI962" s="457"/>
      <c r="AJ962" s="457"/>
      <c r="AK962" s="457"/>
      <c r="AL962" s="457"/>
    </row>
    <row r="963" spans="1:38" s="4" customFormat="1" x14ac:dyDescent="0.3">
      <c r="A963" s="434">
        <v>3241</v>
      </c>
      <c r="B963" s="117" t="s">
        <v>32</v>
      </c>
      <c r="C963" s="129"/>
      <c r="D963" s="129"/>
      <c r="E963" s="129"/>
      <c r="F963" s="121"/>
      <c r="G963" s="95"/>
      <c r="H963" s="121"/>
      <c r="I963" s="121"/>
      <c r="J963" s="121"/>
      <c r="K963" s="129"/>
      <c r="L963" s="129"/>
      <c r="M963" s="63"/>
      <c r="N963" s="121"/>
      <c r="O963" s="121"/>
      <c r="P963" s="129"/>
      <c r="Q963" s="129">
        <v>1000</v>
      </c>
      <c r="R963" s="129">
        <v>1000</v>
      </c>
      <c r="S963" s="70">
        <f>P963-M963</f>
        <v>0</v>
      </c>
      <c r="T963" s="70">
        <f>P963-N963</f>
        <v>0</v>
      </c>
      <c r="U963" s="70">
        <f>Q963-O963</f>
        <v>1000</v>
      </c>
      <c r="V963" s="506">
        <f t="shared" si="746"/>
        <v>0</v>
      </c>
      <c r="W963" s="506">
        <f t="shared" si="747"/>
        <v>0</v>
      </c>
      <c r="X963" s="31"/>
      <c r="Y963" s="486"/>
      <c r="Z963" s="31"/>
      <c r="AA963" s="31"/>
      <c r="AB963" s="31"/>
      <c r="AH963" s="457"/>
      <c r="AI963" s="457"/>
      <c r="AJ963" s="457"/>
      <c r="AK963" s="457"/>
      <c r="AL963" s="457"/>
    </row>
    <row r="964" spans="1:38" s="4" customFormat="1" ht="16.5" customHeight="1" x14ac:dyDescent="0.3">
      <c r="A964" s="639" t="s">
        <v>170</v>
      </c>
      <c r="B964" s="601" t="s">
        <v>33</v>
      </c>
      <c r="C964" s="129"/>
      <c r="D964" s="129"/>
      <c r="E964" s="129"/>
      <c r="F964" s="121"/>
      <c r="G964" s="95"/>
      <c r="H964" s="120">
        <f>SUM(H965:H965)</f>
        <v>1000</v>
      </c>
      <c r="I964" s="120">
        <f t="shared" ref="I964:L964" si="788">SUM(I965:I965)</f>
        <v>1000</v>
      </c>
      <c r="J964" s="120">
        <f t="shared" si="788"/>
        <v>0</v>
      </c>
      <c r="K964" s="120">
        <f t="shared" si="788"/>
        <v>0</v>
      </c>
      <c r="L964" s="120">
        <f t="shared" si="788"/>
        <v>0</v>
      </c>
      <c r="M964" s="120">
        <f>SUM(M965:M965)</f>
        <v>0</v>
      </c>
      <c r="N964" s="120">
        <f>SUM(N965:N965)</f>
        <v>1000</v>
      </c>
      <c r="O964" s="120">
        <f>SUM(O965:O965)</f>
        <v>1000</v>
      </c>
      <c r="P964" s="120">
        <f t="shared" ref="P964:U964" si="789">SUM(P965:P965)</f>
        <v>1000</v>
      </c>
      <c r="Q964" s="120">
        <f t="shared" si="789"/>
        <v>0</v>
      </c>
      <c r="R964" s="120">
        <f t="shared" si="789"/>
        <v>1500</v>
      </c>
      <c r="S964" s="120">
        <f t="shared" si="789"/>
        <v>1000</v>
      </c>
      <c r="T964" s="120">
        <f t="shared" si="789"/>
        <v>0</v>
      </c>
      <c r="U964" s="120">
        <f t="shared" si="789"/>
        <v>-1000</v>
      </c>
      <c r="V964" s="506">
        <f t="shared" si="746"/>
        <v>1000</v>
      </c>
      <c r="W964" s="506">
        <f t="shared" si="747"/>
        <v>0</v>
      </c>
      <c r="X964" s="31"/>
      <c r="Y964" s="486"/>
      <c r="Z964" s="47"/>
      <c r="AA964" s="47"/>
      <c r="AB964" s="47"/>
      <c r="AH964" s="457"/>
      <c r="AI964" s="457"/>
      <c r="AJ964" s="457"/>
      <c r="AK964" s="457"/>
      <c r="AL964" s="457"/>
    </row>
    <row r="965" spans="1:38" s="5" customFormat="1" x14ac:dyDescent="0.3">
      <c r="A965" s="92" t="s">
        <v>172</v>
      </c>
      <c r="B965" s="93" t="s">
        <v>36</v>
      </c>
      <c r="C965" s="129"/>
      <c r="D965" s="129"/>
      <c r="E965" s="129"/>
      <c r="F965" s="121"/>
      <c r="G965" s="95"/>
      <c r="H965" s="121">
        <v>1000</v>
      </c>
      <c r="I965" s="383">
        <v>1000</v>
      </c>
      <c r="J965" s="121"/>
      <c r="K965" s="129"/>
      <c r="L965" s="129"/>
      <c r="M965" s="63">
        <f>H965-I965+J965-K965+L965</f>
        <v>0</v>
      </c>
      <c r="N965" s="121">
        <v>1000</v>
      </c>
      <c r="O965" s="121">
        <v>1000</v>
      </c>
      <c r="P965" s="129">
        <v>1000</v>
      </c>
      <c r="Q965" s="129"/>
      <c r="R965" s="129">
        <v>1500</v>
      </c>
      <c r="S965" s="70">
        <f>P965-M965</f>
        <v>1000</v>
      </c>
      <c r="T965" s="70">
        <f>P965-N965</f>
        <v>0</v>
      </c>
      <c r="U965" s="70">
        <f>Q965-O965</f>
        <v>-1000</v>
      </c>
      <c r="V965" s="506">
        <f t="shared" si="746"/>
        <v>1000</v>
      </c>
      <c r="W965" s="506">
        <f t="shared" si="747"/>
        <v>0</v>
      </c>
      <c r="X965" s="39"/>
      <c r="Y965" s="502"/>
      <c r="Z965" s="39"/>
      <c r="AA965" s="39"/>
      <c r="AB965" s="39"/>
      <c r="AH965" s="641"/>
      <c r="AI965" s="641"/>
      <c r="AJ965" s="641"/>
      <c r="AK965" s="641"/>
      <c r="AL965" s="641"/>
    </row>
    <row r="966" spans="1:38" s="5" customFormat="1" ht="26.55" customHeight="1" x14ac:dyDescent="0.3">
      <c r="A966" s="144" t="s">
        <v>323</v>
      </c>
      <c r="B966" s="145" t="s">
        <v>324</v>
      </c>
      <c r="C966" s="157"/>
      <c r="D966" s="157"/>
      <c r="E966" s="157"/>
      <c r="F966" s="635"/>
      <c r="G966" s="636"/>
      <c r="H966" s="151">
        <f>SUM(H971,H967)</f>
        <v>8000</v>
      </c>
      <c r="I966" s="151">
        <f t="shared" ref="I966:L966" si="790">SUM(I971,I967)</f>
        <v>8000</v>
      </c>
      <c r="J966" s="151">
        <f t="shared" si="790"/>
        <v>0</v>
      </c>
      <c r="K966" s="151">
        <f t="shared" si="790"/>
        <v>0</v>
      </c>
      <c r="L966" s="151">
        <f t="shared" si="790"/>
        <v>0</v>
      </c>
      <c r="M966" s="151">
        <f>SUM(M971,M967)</f>
        <v>0</v>
      </c>
      <c r="N966" s="151">
        <f t="shared" ref="N966:U966" si="791">SUM(N971,N967)</f>
        <v>8000</v>
      </c>
      <c r="O966" s="151">
        <f t="shared" si="791"/>
        <v>2000</v>
      </c>
      <c r="P966" s="151">
        <f t="shared" si="791"/>
        <v>26500</v>
      </c>
      <c r="Q966" s="151">
        <f t="shared" si="791"/>
        <v>0</v>
      </c>
      <c r="R966" s="151">
        <f t="shared" si="791"/>
        <v>0</v>
      </c>
      <c r="S966" s="151">
        <f t="shared" si="791"/>
        <v>26500</v>
      </c>
      <c r="T966" s="151">
        <f t="shared" si="791"/>
        <v>18500</v>
      </c>
      <c r="U966" s="151">
        <f t="shared" si="791"/>
        <v>-2000</v>
      </c>
      <c r="V966" s="506">
        <f t="shared" si="746"/>
        <v>26500</v>
      </c>
      <c r="W966" s="506">
        <f t="shared" si="747"/>
        <v>0</v>
      </c>
      <c r="X966" s="39"/>
      <c r="Y966" s="502"/>
      <c r="Z966" s="39"/>
      <c r="AA966" s="39"/>
      <c r="AB966" s="39"/>
      <c r="AH966" s="641"/>
      <c r="AI966" s="641"/>
      <c r="AJ966" s="641"/>
      <c r="AK966" s="641"/>
      <c r="AL966" s="641"/>
    </row>
    <row r="967" spans="1:38" s="8" customFormat="1" ht="15" customHeight="1" x14ac:dyDescent="0.3">
      <c r="A967" s="639" t="s">
        <v>177</v>
      </c>
      <c r="B967" s="601" t="s">
        <v>129</v>
      </c>
      <c r="C967" s="129"/>
      <c r="D967" s="129"/>
      <c r="E967" s="129"/>
      <c r="F967" s="121"/>
      <c r="G967" s="95"/>
      <c r="H967" s="120">
        <f>SUM(H968:H970)</f>
        <v>6000</v>
      </c>
      <c r="I967" s="120">
        <f t="shared" ref="I967:L967" si="792">SUM(I968:I969)</f>
        <v>6000</v>
      </c>
      <c r="J967" s="120">
        <f t="shared" si="792"/>
        <v>0</v>
      </c>
      <c r="K967" s="120">
        <f t="shared" si="792"/>
        <v>0</v>
      </c>
      <c r="L967" s="120">
        <f t="shared" si="792"/>
        <v>0</v>
      </c>
      <c r="M967" s="120">
        <f>SUM(M968:M969)</f>
        <v>0</v>
      </c>
      <c r="N967" s="120">
        <f>SUM(N968:N969)</f>
        <v>6000</v>
      </c>
      <c r="O967" s="120">
        <f>SUM(O968:O969)</f>
        <v>0</v>
      </c>
      <c r="P967" s="120">
        <f>SUM(P968:P970)</f>
        <v>13500</v>
      </c>
      <c r="Q967" s="120">
        <f t="shared" ref="Q967:U967" si="793">SUM(Q968:Q970)</f>
        <v>0</v>
      </c>
      <c r="R967" s="120">
        <f t="shared" si="793"/>
        <v>0</v>
      </c>
      <c r="S967" s="120">
        <f t="shared" si="793"/>
        <v>13500</v>
      </c>
      <c r="T967" s="120">
        <f t="shared" si="793"/>
        <v>7500</v>
      </c>
      <c r="U967" s="120">
        <f t="shared" si="793"/>
        <v>0</v>
      </c>
      <c r="V967" s="506">
        <f t="shared" si="746"/>
        <v>13500</v>
      </c>
      <c r="W967" s="506">
        <f t="shared" si="747"/>
        <v>0</v>
      </c>
      <c r="Y967" s="503"/>
      <c r="AH967" s="503"/>
      <c r="AI967" s="503"/>
      <c r="AJ967" s="503"/>
      <c r="AK967" s="503"/>
      <c r="AL967" s="503"/>
    </row>
    <row r="968" spans="1:38" x14ac:dyDescent="0.3">
      <c r="A968" s="542">
        <v>4221</v>
      </c>
      <c r="B968" s="637" t="s">
        <v>54</v>
      </c>
      <c r="C968" s="129"/>
      <c r="D968" s="129"/>
      <c r="E968" s="129"/>
      <c r="F968" s="121"/>
      <c r="G968" s="95"/>
      <c r="H968" s="121">
        <v>5000</v>
      </c>
      <c r="I968" s="383">
        <v>5000</v>
      </c>
      <c r="J968" s="121"/>
      <c r="K968" s="129"/>
      <c r="L968" s="129"/>
      <c r="M968" s="63">
        <f>H968-I968+J968-K968+L968</f>
        <v>0</v>
      </c>
      <c r="N968" s="121">
        <v>5000</v>
      </c>
      <c r="O968" s="121"/>
      <c r="P968" s="129">
        <v>10500</v>
      </c>
      <c r="Q968" s="129"/>
      <c r="R968" s="129"/>
      <c r="S968" s="70">
        <f>P968-M968</f>
        <v>10500</v>
      </c>
      <c r="T968" s="70">
        <f>P968-N968</f>
        <v>5500</v>
      </c>
      <c r="U968" s="70">
        <f>Q968-O968</f>
        <v>0</v>
      </c>
      <c r="V968" s="506">
        <f t="shared" si="746"/>
        <v>10500</v>
      </c>
      <c r="W968" s="506">
        <f t="shared" si="747"/>
        <v>0</v>
      </c>
    </row>
    <row r="969" spans="1:38" hidden="1" x14ac:dyDescent="0.3">
      <c r="A969" s="542">
        <v>4225</v>
      </c>
      <c r="B969" s="637" t="s">
        <v>105</v>
      </c>
      <c r="C969" s="129"/>
      <c r="D969" s="129"/>
      <c r="E969" s="129"/>
      <c r="F969" s="121"/>
      <c r="G969" s="95"/>
      <c r="H969" s="121">
        <v>1000</v>
      </c>
      <c r="I969" s="383">
        <v>1000</v>
      </c>
      <c r="J969" s="121"/>
      <c r="K969" s="129"/>
      <c r="L969" s="129"/>
      <c r="M969" s="63">
        <f>H969-I969+J969-K969+L969</f>
        <v>0</v>
      </c>
      <c r="N969" s="121">
        <v>1000</v>
      </c>
      <c r="O969" s="121"/>
      <c r="P969" s="129"/>
      <c r="Q969" s="129"/>
      <c r="R969" s="129"/>
      <c r="S969" s="70">
        <f>P969-M969</f>
        <v>0</v>
      </c>
      <c r="T969" s="70">
        <f>P969-N969</f>
        <v>-1000</v>
      </c>
      <c r="U969" s="70">
        <f>Q969-O969</f>
        <v>0</v>
      </c>
      <c r="V969" s="506">
        <f t="shared" si="746"/>
        <v>0</v>
      </c>
      <c r="W969" s="506">
        <f t="shared" si="747"/>
        <v>0</v>
      </c>
    </row>
    <row r="970" spans="1:38" s="4" customFormat="1" x14ac:dyDescent="0.3">
      <c r="A970" s="542" t="s">
        <v>180</v>
      </c>
      <c r="B970" s="637" t="s">
        <v>60</v>
      </c>
      <c r="C970" s="129"/>
      <c r="D970" s="129"/>
      <c r="E970" s="129"/>
      <c r="F970" s="121"/>
      <c r="G970" s="95"/>
      <c r="H970" s="121"/>
      <c r="I970" s="121"/>
      <c r="J970" s="121"/>
      <c r="K970" s="129"/>
      <c r="L970" s="129"/>
      <c r="M970" s="63"/>
      <c r="N970" s="121"/>
      <c r="O970" s="121"/>
      <c r="P970" s="129">
        <v>3000</v>
      </c>
      <c r="Q970" s="129"/>
      <c r="R970" s="129"/>
      <c r="S970" s="70">
        <f>P970-M970</f>
        <v>3000</v>
      </c>
      <c r="T970" s="70">
        <f t="shared" ref="T970:U970" si="794">P970-N970</f>
        <v>3000</v>
      </c>
      <c r="U970" s="70">
        <f t="shared" si="794"/>
        <v>0</v>
      </c>
      <c r="V970" s="506">
        <f t="shared" si="746"/>
        <v>3000</v>
      </c>
      <c r="W970" s="506">
        <f t="shared" si="747"/>
        <v>0</v>
      </c>
      <c r="X970" s="31"/>
      <c r="Y970" s="486"/>
      <c r="Z970" s="31"/>
      <c r="AA970" s="31"/>
      <c r="AB970" s="31"/>
      <c r="AH970" s="457"/>
      <c r="AI970" s="457"/>
      <c r="AJ970" s="457"/>
      <c r="AK970" s="457"/>
      <c r="AL970" s="457"/>
    </row>
    <row r="971" spans="1:38" x14ac:dyDescent="0.3">
      <c r="A971" s="639" t="s">
        <v>181</v>
      </c>
      <c r="B971" s="601" t="s">
        <v>61</v>
      </c>
      <c r="C971" s="129"/>
      <c r="D971" s="129"/>
      <c r="E971" s="129"/>
      <c r="F971" s="121"/>
      <c r="G971" s="95"/>
      <c r="H971" s="120">
        <f t="shared" ref="H971:U971" si="795">SUM(H972)</f>
        <v>2000</v>
      </c>
      <c r="I971" s="120">
        <f t="shared" si="795"/>
        <v>2000</v>
      </c>
      <c r="J971" s="120">
        <f t="shared" si="795"/>
        <v>0</v>
      </c>
      <c r="K971" s="120">
        <f t="shared" si="795"/>
        <v>0</v>
      </c>
      <c r="L971" s="120">
        <f t="shared" si="795"/>
        <v>0</v>
      </c>
      <c r="M971" s="120">
        <f t="shared" si="795"/>
        <v>0</v>
      </c>
      <c r="N971" s="120">
        <f t="shared" si="795"/>
        <v>2000</v>
      </c>
      <c r="O971" s="120">
        <f t="shared" si="795"/>
        <v>2000</v>
      </c>
      <c r="P971" s="120">
        <f t="shared" si="795"/>
        <v>13000</v>
      </c>
      <c r="Q971" s="120">
        <f t="shared" si="795"/>
        <v>0</v>
      </c>
      <c r="R971" s="120">
        <f t="shared" si="795"/>
        <v>0</v>
      </c>
      <c r="S971" s="120">
        <f t="shared" si="795"/>
        <v>13000</v>
      </c>
      <c r="T971" s="120">
        <f t="shared" si="795"/>
        <v>11000</v>
      </c>
      <c r="U971" s="120">
        <f t="shared" si="795"/>
        <v>-2000</v>
      </c>
      <c r="V971" s="506">
        <f t="shared" si="746"/>
        <v>13000</v>
      </c>
      <c r="W971" s="506">
        <f t="shared" si="747"/>
        <v>0</v>
      </c>
    </row>
    <row r="972" spans="1:38" x14ac:dyDescent="0.3">
      <c r="A972" s="542">
        <v>4231</v>
      </c>
      <c r="B972" s="637" t="s">
        <v>62</v>
      </c>
      <c r="C972" s="129"/>
      <c r="D972" s="129"/>
      <c r="E972" s="129"/>
      <c r="F972" s="121"/>
      <c r="G972" s="95"/>
      <c r="H972" s="121">
        <v>2000</v>
      </c>
      <c r="I972" s="383">
        <v>2000</v>
      </c>
      <c r="J972" s="121"/>
      <c r="K972" s="129"/>
      <c r="L972" s="129"/>
      <c r="M972" s="63">
        <f>H972-I972+J972-K972+L972</f>
        <v>0</v>
      </c>
      <c r="N972" s="121">
        <v>2000</v>
      </c>
      <c r="O972" s="121">
        <v>2000</v>
      </c>
      <c r="P972" s="129">
        <v>13000</v>
      </c>
      <c r="Q972" s="129"/>
      <c r="R972" s="129"/>
      <c r="S972" s="70">
        <f>P972-M972</f>
        <v>13000</v>
      </c>
      <c r="T972" s="70">
        <f>P972-N972</f>
        <v>11000</v>
      </c>
      <c r="U972" s="70">
        <f>Q972-O972</f>
        <v>-2000</v>
      </c>
      <c r="V972" s="506">
        <f t="shared" ref="V972:V976" si="796">P972-M972</f>
        <v>13000</v>
      </c>
      <c r="W972" s="506">
        <f t="shared" ref="W972:W976" si="797">S972-V972</f>
        <v>0</v>
      </c>
    </row>
    <row r="973" spans="1:38" x14ac:dyDescent="0.3">
      <c r="A973" s="642" t="s">
        <v>195</v>
      </c>
      <c r="B973" s="642" t="s">
        <v>196</v>
      </c>
      <c r="C973" s="643">
        <f t="shared" ref="C973:U973" si="798">SUM(C974)</f>
        <v>866574740</v>
      </c>
      <c r="D973" s="131"/>
      <c r="E973" s="131">
        <f t="shared" si="798"/>
        <v>921561740</v>
      </c>
      <c r="F973" s="644">
        <f t="shared" si="798"/>
        <v>857411288</v>
      </c>
      <c r="G973" s="644">
        <f t="shared" si="798"/>
        <v>858208573</v>
      </c>
      <c r="H973" s="644">
        <f t="shared" si="798"/>
        <v>1051431150</v>
      </c>
      <c r="I973" s="644">
        <f t="shared" si="798"/>
        <v>15137500</v>
      </c>
      <c r="J973" s="644">
        <f t="shared" si="798"/>
        <v>15137500</v>
      </c>
      <c r="K973" s="644">
        <f t="shared" si="798"/>
        <v>5300000</v>
      </c>
      <c r="L973" s="644">
        <f t="shared" si="798"/>
        <v>64700000</v>
      </c>
      <c r="M973" s="644">
        <f t="shared" si="798"/>
        <v>1108906150</v>
      </c>
      <c r="N973" s="644">
        <f t="shared" si="798"/>
        <v>1049806393</v>
      </c>
      <c r="O973" s="644">
        <f t="shared" si="798"/>
        <v>1049287615</v>
      </c>
      <c r="P973" s="644">
        <f t="shared" si="798"/>
        <v>1204716179</v>
      </c>
      <c r="Q973" s="644">
        <f t="shared" si="798"/>
        <v>1161300739</v>
      </c>
      <c r="R973" s="644">
        <f t="shared" si="798"/>
        <v>1141434841</v>
      </c>
      <c r="S973" s="644">
        <f t="shared" si="798"/>
        <v>95800029</v>
      </c>
      <c r="T973" s="644">
        <f t="shared" si="798"/>
        <v>154899786</v>
      </c>
      <c r="U973" s="644">
        <f t="shared" si="798"/>
        <v>111899624</v>
      </c>
      <c r="V973" s="506">
        <f t="shared" si="796"/>
        <v>95810029</v>
      </c>
      <c r="W973" s="506">
        <f t="shared" si="797"/>
        <v>-10000</v>
      </c>
    </row>
    <row r="974" spans="1:38" x14ac:dyDescent="0.3">
      <c r="A974" s="645"/>
      <c r="B974" s="645" t="s">
        <v>197</v>
      </c>
      <c r="C974" s="132">
        <f t="shared" ref="C974:F974" si="799">SUM(C975:C976)</f>
        <v>866574740</v>
      </c>
      <c r="D974" s="133"/>
      <c r="E974" s="133">
        <f t="shared" ref="E974" si="800">SUM(E975:E976)</f>
        <v>921561740</v>
      </c>
      <c r="F974" s="646">
        <f t="shared" si="799"/>
        <v>857411288</v>
      </c>
      <c r="G974" s="646">
        <f t="shared" ref="G974:U974" si="801">SUM(G975:G976)</f>
        <v>858208573</v>
      </c>
      <c r="H974" s="646">
        <f t="shared" si="801"/>
        <v>1051431150</v>
      </c>
      <c r="I974" s="646">
        <f t="shared" si="801"/>
        <v>15137500</v>
      </c>
      <c r="J974" s="646">
        <f t="shared" si="801"/>
        <v>15137500</v>
      </c>
      <c r="K974" s="646">
        <f t="shared" si="801"/>
        <v>5300000</v>
      </c>
      <c r="L974" s="646">
        <f t="shared" si="801"/>
        <v>64700000</v>
      </c>
      <c r="M974" s="646">
        <f t="shared" si="801"/>
        <v>1108906150</v>
      </c>
      <c r="N974" s="646">
        <f t="shared" si="801"/>
        <v>1049806393</v>
      </c>
      <c r="O974" s="646">
        <f t="shared" si="801"/>
        <v>1049287615</v>
      </c>
      <c r="P974" s="646">
        <f t="shared" si="801"/>
        <v>1204716179</v>
      </c>
      <c r="Q974" s="646">
        <f t="shared" si="801"/>
        <v>1161300739</v>
      </c>
      <c r="R974" s="646">
        <f t="shared" si="801"/>
        <v>1141434841</v>
      </c>
      <c r="S974" s="646">
        <f t="shared" si="801"/>
        <v>95800029</v>
      </c>
      <c r="T974" s="646">
        <f t="shared" si="801"/>
        <v>154899786</v>
      </c>
      <c r="U974" s="646">
        <f t="shared" si="801"/>
        <v>111899624</v>
      </c>
      <c r="V974" s="506">
        <f t="shared" si="796"/>
        <v>95810029</v>
      </c>
      <c r="W974" s="506">
        <f t="shared" si="797"/>
        <v>-10000</v>
      </c>
      <c r="AD974" s="3"/>
    </row>
    <row r="975" spans="1:38" x14ac:dyDescent="0.3">
      <c r="A975" s="474"/>
      <c r="B975" s="475" t="s">
        <v>198</v>
      </c>
      <c r="C975" s="134">
        <f>SUM(C12,C19,C26,C86,C107,C137,C151,C205,C235,C253,C283,C335)</f>
        <v>835456740</v>
      </c>
      <c r="D975" s="135"/>
      <c r="E975" s="136">
        <f>SUM(E12,E19,E26,E86,E107,E137,E151,E205,E235,E253,E283,E335)</f>
        <v>903826540</v>
      </c>
      <c r="F975" s="136">
        <f>SUM(F12,F19,F26,F86,F107,F137,F151,F205,F235,F253,F283,F335)</f>
        <v>837562188</v>
      </c>
      <c r="G975" s="136">
        <f>SUM(G12,G19,G26,G86,G107,G137,G151,G205,G235,G253,G283,G335)</f>
        <v>835527573</v>
      </c>
      <c r="H975" s="136">
        <f t="shared" ref="H975:U975" si="802">SUM(H12,H19,H26,H86,H107,H137,H151,H205,H210,H235,H253,H283,H335)</f>
        <v>1011703150</v>
      </c>
      <c r="I975" s="136">
        <f t="shared" si="802"/>
        <v>299000</v>
      </c>
      <c r="J975" s="136">
        <f t="shared" si="802"/>
        <v>3630000</v>
      </c>
      <c r="K975" s="136">
        <f t="shared" si="802"/>
        <v>3900000</v>
      </c>
      <c r="L975" s="136">
        <f t="shared" si="802"/>
        <v>64700000</v>
      </c>
      <c r="M975" s="136">
        <f t="shared" si="802"/>
        <v>1073909150</v>
      </c>
      <c r="N975" s="136">
        <f t="shared" si="802"/>
        <v>1012149850</v>
      </c>
      <c r="O975" s="136">
        <f t="shared" si="802"/>
        <v>1030224615</v>
      </c>
      <c r="P975" s="136">
        <f t="shared" si="802"/>
        <v>1143752179</v>
      </c>
      <c r="Q975" s="136">
        <f t="shared" si="802"/>
        <v>1141652239</v>
      </c>
      <c r="R975" s="136">
        <f t="shared" si="802"/>
        <v>1134418841</v>
      </c>
      <c r="S975" s="136">
        <f t="shared" si="802"/>
        <v>69843029</v>
      </c>
      <c r="T975" s="136">
        <f t="shared" si="802"/>
        <v>131602329</v>
      </c>
      <c r="U975" s="136">
        <f t="shared" si="802"/>
        <v>111407624</v>
      </c>
      <c r="V975" s="506">
        <f t="shared" si="796"/>
        <v>69843029</v>
      </c>
      <c r="W975" s="506">
        <f t="shared" si="797"/>
        <v>0</v>
      </c>
    </row>
    <row r="976" spans="1:38" x14ac:dyDescent="0.3">
      <c r="A976" s="137"/>
      <c r="B976" s="138" t="s">
        <v>199</v>
      </c>
      <c r="C976" s="139">
        <f t="shared" ref="C976:L976" si="803">SUM(C367,C395,C420,C453,C487,C515,C556,C596,C605,C610,C623,C630,C663,C677,C694,C718,C754,C786,C791,C796,C812,C835,C840,C854,C873,C893,C945)</f>
        <v>31118000</v>
      </c>
      <c r="D976" s="139">
        <f t="shared" si="803"/>
        <v>0</v>
      </c>
      <c r="E976" s="139">
        <f t="shared" si="803"/>
        <v>17735200</v>
      </c>
      <c r="F976" s="139">
        <f t="shared" si="803"/>
        <v>19849100</v>
      </c>
      <c r="G976" s="139">
        <f t="shared" si="803"/>
        <v>22681000</v>
      </c>
      <c r="H976" s="139">
        <f t="shared" si="803"/>
        <v>39728000</v>
      </c>
      <c r="I976" s="139">
        <f t="shared" si="803"/>
        <v>14838500</v>
      </c>
      <c r="J976" s="139">
        <f t="shared" si="803"/>
        <v>11507500</v>
      </c>
      <c r="K976" s="139">
        <f t="shared" si="803"/>
        <v>1400000</v>
      </c>
      <c r="L976" s="139">
        <f t="shared" si="803"/>
        <v>0</v>
      </c>
      <c r="M976" s="139">
        <f>SUM(M367,M395,M420,M453,M487,M515,M556,M596,M605,M610,M623,M630,M663,M677,M694,M718,M754,M786,M791,M796,M812,M835,M840,M854,M873,M893,M946)</f>
        <v>34997000</v>
      </c>
      <c r="N976" s="139">
        <f t="shared" ref="N976:U976" si="804">SUM(N367,N395,N420,N453,N487,N515,N556,N596,N605,N610,N623,N630,N663,N677,N694,N718,N754,N786,N791,N796,N812,N835,N840,N854,N873,N893,N945)</f>
        <v>37656543</v>
      </c>
      <c r="O976" s="139">
        <f t="shared" si="804"/>
        <v>19063000</v>
      </c>
      <c r="P976" s="139">
        <f>SUM(P367,P395,P420,P453,P487,P515,P556,P596,P605,P610,P623,P630,P663,P677,P694,P718,P754,P786,P791,P796,P812,P835,P840,P854,P873,P893,P945)</f>
        <v>60964000</v>
      </c>
      <c r="Q976" s="139">
        <f t="shared" si="804"/>
        <v>19648500</v>
      </c>
      <c r="R976" s="139">
        <f t="shared" si="804"/>
        <v>7016000</v>
      </c>
      <c r="S976" s="139">
        <f t="shared" si="804"/>
        <v>25957000</v>
      </c>
      <c r="T976" s="139">
        <f t="shared" si="804"/>
        <v>23297457</v>
      </c>
      <c r="U976" s="139">
        <f t="shared" si="804"/>
        <v>492000</v>
      </c>
      <c r="V976" s="506">
        <f t="shared" si="796"/>
        <v>25967000</v>
      </c>
      <c r="W976" s="506">
        <f t="shared" si="797"/>
        <v>-10000</v>
      </c>
    </row>
    <row r="977" spans="1:23" ht="15.6" x14ac:dyDescent="0.3">
      <c r="A977" s="8"/>
      <c r="B977" s="15"/>
      <c r="C977" s="13"/>
      <c r="D977" s="13"/>
      <c r="E977" s="13"/>
      <c r="F977" s="13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13"/>
      <c r="W977" s="13"/>
    </row>
    <row r="978" spans="1:23" hidden="1" x14ac:dyDescent="0.3">
      <c r="E978" s="3">
        <v>891644540</v>
      </c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>
        <f>P976-M976</f>
        <v>25967000</v>
      </c>
    </row>
    <row r="979" spans="1:23" hidden="1" x14ac:dyDescent="0.3">
      <c r="H979" s="3"/>
      <c r="I979" s="3"/>
      <c r="J979" s="3"/>
      <c r="K979" s="3"/>
      <c r="L979" s="3"/>
      <c r="M979" s="3"/>
      <c r="N979" s="3"/>
      <c r="O979" s="3"/>
      <c r="P979" s="3">
        <v>1204716179</v>
      </c>
      <c r="Q979" s="3">
        <v>1161300739</v>
      </c>
      <c r="R979" s="3">
        <v>1141434841</v>
      </c>
      <c r="S979" s="3"/>
      <c r="T979" s="3"/>
      <c r="U979" s="3">
        <f>S976-U978</f>
        <v>-10000</v>
      </c>
    </row>
    <row r="980" spans="1:23" hidden="1" x14ac:dyDescent="0.3">
      <c r="E980" s="3">
        <f>E978-E975</f>
        <v>-12182000</v>
      </c>
      <c r="G980" s="3" t="s">
        <v>406</v>
      </c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3"/>
    </row>
    <row r="981" spans="1:23" hidden="1" x14ac:dyDescent="0.3">
      <c r="H981" s="3"/>
      <c r="I981" s="3"/>
      <c r="J981" s="3"/>
      <c r="K981" s="3"/>
      <c r="L981" s="3"/>
      <c r="M981" s="3"/>
      <c r="N981" s="3"/>
      <c r="O981" s="3"/>
      <c r="P981" s="3">
        <f>P973-P979</f>
        <v>0</v>
      </c>
      <c r="Q981" s="3">
        <f t="shared" ref="Q981:R981" si="805">Q973-Q979</f>
        <v>0</v>
      </c>
      <c r="R981" s="3">
        <f t="shared" si="805"/>
        <v>0</v>
      </c>
      <c r="S981" s="3"/>
    </row>
    <row r="982" spans="1:23" hidden="1" x14ac:dyDescent="0.3"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</row>
    <row r="983" spans="1:23" hidden="1" x14ac:dyDescent="0.3">
      <c r="B983" s="14">
        <v>11</v>
      </c>
      <c r="H983" s="3"/>
      <c r="I983" s="3"/>
      <c r="J983" s="3"/>
      <c r="K983" s="3"/>
      <c r="L983" s="3"/>
      <c r="M983" s="3">
        <v>3</v>
      </c>
      <c r="N983" s="3"/>
      <c r="O983" s="3"/>
      <c r="P983" s="3">
        <f>P13+P20+P27+P36+P68+P74+P78+P87+P108+P116+P140+P152+P191+P211+P223+P236+P254+P266+P288+P292+P336</f>
        <v>1102743179</v>
      </c>
      <c r="Q983" s="3">
        <f t="shared" ref="Q983:R983" si="806">Q13+Q20+Q27+Q36+Q68+Q74+Q78+Q87+Q108+Q116+Q140+Q152+Q191+Q211+Q223+Q236+Q254+Q266+Q288+Q292+Q336</f>
        <v>1105469239</v>
      </c>
      <c r="R983" s="3">
        <f t="shared" si="806"/>
        <v>1098220841</v>
      </c>
      <c r="S983" s="3"/>
    </row>
    <row r="984" spans="1:23" hidden="1" x14ac:dyDescent="0.3">
      <c r="H984" s="3"/>
      <c r="I984" s="3"/>
      <c r="J984" s="3"/>
      <c r="K984" s="3"/>
      <c r="L984" s="3"/>
      <c r="M984" s="3">
        <v>4</v>
      </c>
      <c r="N984" s="3"/>
      <c r="O984" s="3"/>
      <c r="P984" s="3">
        <f>P100+P194+P201+P226+P231+P239+P249+P271+P344+P347</f>
        <v>41009000</v>
      </c>
      <c r="Q984" s="3">
        <f t="shared" ref="Q984:R984" si="807">Q100+Q194+Q201+Q226+Q231+Q239+Q249+Q271+Q344+Q347</f>
        <v>36183000</v>
      </c>
      <c r="R984" s="3">
        <f t="shared" si="807"/>
        <v>36198000</v>
      </c>
      <c r="S984" s="3"/>
    </row>
    <row r="985" spans="1:23" hidden="1" x14ac:dyDescent="0.3">
      <c r="H985" s="3"/>
      <c r="I985" s="3"/>
      <c r="J985" s="3"/>
      <c r="K985" s="3"/>
      <c r="L985" s="3"/>
      <c r="M985" s="3"/>
      <c r="N985" s="3"/>
      <c r="O985" s="3"/>
      <c r="P985" s="3">
        <f>SUM(P983:P984)</f>
        <v>1143752179</v>
      </c>
      <c r="Q985" s="3">
        <f t="shared" ref="Q985:R985" si="808">SUM(Q983:Q984)</f>
        <v>1141652239</v>
      </c>
      <c r="R985" s="3">
        <f t="shared" si="808"/>
        <v>1134418841</v>
      </c>
      <c r="S985" s="3"/>
    </row>
    <row r="986" spans="1:23" hidden="1" x14ac:dyDescent="0.3"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</row>
    <row r="987" spans="1:23" hidden="1" x14ac:dyDescent="0.3">
      <c r="B987" s="14">
        <v>12</v>
      </c>
      <c r="H987" s="3"/>
      <c r="I987" s="3"/>
      <c r="J987" s="3"/>
      <c r="K987" s="3"/>
      <c r="L987" s="3"/>
      <c r="M987" s="3">
        <v>3</v>
      </c>
      <c r="N987" s="3"/>
      <c r="O987" s="3"/>
      <c r="P987" s="3"/>
      <c r="Q987" s="3"/>
      <c r="R987" s="3"/>
      <c r="S987" s="3"/>
    </row>
    <row r="988" spans="1:23" hidden="1" x14ac:dyDescent="0.3">
      <c r="H988" s="3"/>
      <c r="I988" s="3"/>
      <c r="J988" s="3"/>
      <c r="K988" s="3"/>
      <c r="L988" s="3"/>
      <c r="M988" s="3">
        <v>4</v>
      </c>
      <c r="N988" s="3"/>
      <c r="O988" s="3"/>
      <c r="P988" s="3"/>
      <c r="Q988" s="3"/>
      <c r="R988" s="3"/>
      <c r="S988" s="3"/>
    </row>
    <row r="989" spans="1:23" hidden="1" x14ac:dyDescent="0.3"/>
    <row r="990" spans="1:23" hidden="1" x14ac:dyDescent="0.3"/>
    <row r="992" spans="1:23" x14ac:dyDescent="0.3">
      <c r="P992" s="3"/>
    </row>
  </sheetData>
  <mergeCells count="65">
    <mergeCell ref="A3:R3"/>
    <mergeCell ref="A4:R4"/>
    <mergeCell ref="A1:U1"/>
    <mergeCell ref="S6:S7"/>
    <mergeCell ref="T6:T7"/>
    <mergeCell ref="U6:U7"/>
    <mergeCell ref="A6:A7"/>
    <mergeCell ref="B6:B7"/>
    <mergeCell ref="H6:H7"/>
    <mergeCell ref="M6:M7"/>
    <mergeCell ref="N6:N7"/>
    <mergeCell ref="O6:O7"/>
    <mergeCell ref="P6:P7"/>
    <mergeCell ref="Q6:Q7"/>
    <mergeCell ref="R6:R7"/>
    <mergeCell ref="I6:J6"/>
    <mergeCell ref="A210:B210"/>
    <mergeCell ref="A786:B786"/>
    <mergeCell ref="A791:B791"/>
    <mergeCell ref="A796:B796"/>
    <mergeCell ref="A630:B630"/>
    <mergeCell ref="A663:B663"/>
    <mergeCell ref="A556:B556"/>
    <mergeCell ref="A596:B596"/>
    <mergeCell ref="A605:B605"/>
    <mergeCell ref="A610:B610"/>
    <mergeCell ref="A623:B623"/>
    <mergeCell ref="A335:B335"/>
    <mergeCell ref="A354:B354"/>
    <mergeCell ref="A367:B367"/>
    <mergeCell ref="A487:B487"/>
    <mergeCell ref="A515:B515"/>
    <mergeCell ref="A235:B235"/>
    <mergeCell ref="A253:B253"/>
    <mergeCell ref="A283:B283"/>
    <mergeCell ref="A299:B299"/>
    <mergeCell ref="A312:B312"/>
    <mergeCell ref="L6:L7"/>
    <mergeCell ref="A137:B137"/>
    <mergeCell ref="A151:B151"/>
    <mergeCell ref="A205:B205"/>
    <mergeCell ref="A12:B12"/>
    <mergeCell ref="A107:B107"/>
    <mergeCell ref="A86:B86"/>
    <mergeCell ref="A19:B19"/>
    <mergeCell ref="A26:B26"/>
    <mergeCell ref="K6:K7"/>
    <mergeCell ref="AD371:AD372"/>
    <mergeCell ref="A391:B391"/>
    <mergeCell ref="A395:B395"/>
    <mergeCell ref="A420:B420"/>
    <mergeCell ref="A453:B453"/>
    <mergeCell ref="A873:B873"/>
    <mergeCell ref="A893:B893"/>
    <mergeCell ref="A946:B946"/>
    <mergeCell ref="AD663:AD666"/>
    <mergeCell ref="A677:B677"/>
    <mergeCell ref="A694:B694"/>
    <mergeCell ref="A718:B718"/>
    <mergeCell ref="A754:B754"/>
    <mergeCell ref="A835:B835"/>
    <mergeCell ref="A840:B840"/>
    <mergeCell ref="A854:B854"/>
    <mergeCell ref="AD867:AD869"/>
    <mergeCell ref="A812:B812"/>
  </mergeCells>
  <pageMargins left="0.39370078740157483" right="0.19685039370078741" top="0.55118110236220474" bottom="0.55118110236220474" header="0.31496062992125984" footer="0.31496062992125984"/>
  <pageSetup paperSize="9" scale="95" fitToHeight="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Y1525"/>
  <sheetViews>
    <sheetView zoomScale="110" zoomScaleNormal="110" workbookViewId="0">
      <pane xSplit="2" ySplit="5" topLeftCell="L7" activePane="bottomRight" state="frozen"/>
      <selection pane="topRight" activeCell="C1" sqref="C1"/>
      <selection pane="bottomLeft" activeCell="A7" sqref="A7"/>
      <selection pane="bottomRight" activeCell="R1444" sqref="R1444:V1457"/>
    </sheetView>
  </sheetViews>
  <sheetFormatPr defaultColWidth="9.21875" defaultRowHeight="13.8" x14ac:dyDescent="0.3"/>
  <cols>
    <col min="1" max="1" width="9.5546875" style="1" customWidth="1"/>
    <col min="2" max="2" width="48.109375" style="1" customWidth="1"/>
    <col min="3" max="3" width="9.5546875" style="1" hidden="1" customWidth="1"/>
    <col min="4" max="4" width="10.5546875" style="1" hidden="1" customWidth="1"/>
    <col min="5" max="5" width="11.77734375" style="1" hidden="1" customWidth="1"/>
    <col min="6" max="6" width="11" style="1" hidden="1" customWidth="1"/>
    <col min="7" max="7" width="10.5546875" style="1" hidden="1" customWidth="1"/>
    <col min="8" max="8" width="10.77734375" style="1" hidden="1" customWidth="1"/>
    <col min="9" max="9" width="11.77734375" style="1" hidden="1" customWidth="1"/>
    <col min="10" max="10" width="12.5546875" style="1" hidden="1" customWidth="1"/>
    <col min="11" max="11" width="13.5546875" style="1" hidden="1" customWidth="1"/>
    <col min="12" max="12" width="0.109375" style="1" customWidth="1"/>
    <col min="13" max="14" width="11.77734375" style="1" hidden="1" customWidth="1"/>
    <col min="15" max="15" width="12.21875" style="1" customWidth="1"/>
    <col min="16" max="16" width="13.5546875" style="1" customWidth="1"/>
    <col min="17" max="17" width="11.44140625" style="1" customWidth="1"/>
    <col min="18" max="18" width="35.5546875" style="1" customWidth="1"/>
    <col min="19" max="19" width="11" style="1" customWidth="1"/>
    <col min="20" max="20" width="11.21875" style="1" customWidth="1"/>
    <col min="21" max="22" width="9.21875" style="1" customWidth="1"/>
    <col min="23" max="16384" width="9.21875" style="1"/>
  </cols>
  <sheetData>
    <row r="1" spans="1:17" ht="18" customHeight="1" x14ac:dyDescent="0.3">
      <c r="A1" s="23"/>
      <c r="B1" s="23"/>
      <c r="C1" s="21"/>
      <c r="D1" s="21"/>
      <c r="E1" s="21"/>
      <c r="F1" s="162"/>
      <c r="G1" s="21"/>
      <c r="H1" s="21"/>
      <c r="I1" s="21"/>
      <c r="J1" s="21"/>
      <c r="K1" s="21"/>
      <c r="L1" s="21"/>
      <c r="M1" s="21"/>
      <c r="O1" s="21"/>
      <c r="Q1" s="659" t="s">
        <v>422</v>
      </c>
    </row>
    <row r="2" spans="1:17" ht="31.5" customHeight="1" x14ac:dyDescent="0.3">
      <c r="A2" s="727" t="s">
        <v>486</v>
      </c>
      <c r="B2" s="727"/>
      <c r="C2" s="727"/>
      <c r="D2" s="727"/>
      <c r="E2" s="727"/>
      <c r="F2" s="727"/>
      <c r="G2" s="727"/>
      <c r="H2" s="727"/>
      <c r="I2" s="727"/>
      <c r="J2" s="727"/>
      <c r="K2" s="727"/>
      <c r="L2" s="727"/>
      <c r="M2" s="727"/>
      <c r="N2" s="727"/>
      <c r="O2" s="727"/>
      <c r="P2" s="727"/>
      <c r="Q2" s="727"/>
    </row>
    <row r="3" spans="1:17" ht="18" customHeight="1" x14ac:dyDescent="0.3">
      <c r="A3" s="727" t="s">
        <v>488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  <c r="M3" s="727"/>
      <c r="N3" s="727"/>
      <c r="O3" s="727"/>
      <c r="P3" s="727"/>
      <c r="Q3" s="727"/>
    </row>
    <row r="4" spans="1:17" ht="20.25" customHeight="1" x14ac:dyDescent="0.3">
      <c r="A4" s="23"/>
      <c r="B4" s="23"/>
      <c r="C4" s="723"/>
      <c r="D4" s="723"/>
      <c r="E4" s="723"/>
      <c r="F4" s="723"/>
      <c r="G4" s="723"/>
      <c r="H4" s="723"/>
      <c r="I4" s="723"/>
      <c r="J4" s="723"/>
      <c r="K4" s="723"/>
      <c r="L4" s="723"/>
      <c r="M4" s="723"/>
      <c r="N4" s="723"/>
      <c r="Q4" s="660" t="s">
        <v>438</v>
      </c>
    </row>
    <row r="5" spans="1:17" ht="37.5" customHeight="1" thickBot="1" x14ac:dyDescent="0.35">
      <c r="A5" s="688" t="s">
        <v>92</v>
      </c>
      <c r="B5" s="688" t="s">
        <v>93</v>
      </c>
      <c r="C5" s="689" t="s">
        <v>370</v>
      </c>
      <c r="D5" s="690" t="s">
        <v>375</v>
      </c>
      <c r="E5" s="690" t="s">
        <v>376</v>
      </c>
      <c r="F5" s="690" t="s">
        <v>404</v>
      </c>
      <c r="G5" s="690" t="s">
        <v>368</v>
      </c>
      <c r="H5" s="690" t="s">
        <v>369</v>
      </c>
      <c r="I5" s="690" t="s">
        <v>424</v>
      </c>
      <c r="J5" s="690" t="s">
        <v>436</v>
      </c>
      <c r="K5" s="691" t="s">
        <v>376</v>
      </c>
      <c r="L5" s="690" t="s">
        <v>445</v>
      </c>
      <c r="M5" s="690" t="s">
        <v>433</v>
      </c>
      <c r="N5" s="690" t="s">
        <v>434</v>
      </c>
      <c r="O5" s="692" t="s">
        <v>481</v>
      </c>
      <c r="P5" s="692" t="s">
        <v>482</v>
      </c>
      <c r="Q5" s="692" t="s">
        <v>483</v>
      </c>
    </row>
    <row r="6" spans="1:17" s="19" customFormat="1" ht="12" hidden="1" customHeight="1" x14ac:dyDescent="0.2">
      <c r="A6" s="683" t="s">
        <v>377</v>
      </c>
      <c r="B6" s="683" t="s">
        <v>396</v>
      </c>
      <c r="C6" s="684"/>
      <c r="D6" s="685"/>
      <c r="E6" s="685"/>
      <c r="F6" s="685"/>
      <c r="G6" s="685"/>
      <c r="H6" s="685"/>
      <c r="I6" s="685">
        <v>1</v>
      </c>
      <c r="J6" s="685">
        <v>2</v>
      </c>
      <c r="K6" s="686">
        <v>3</v>
      </c>
      <c r="L6" s="685" t="s">
        <v>446</v>
      </c>
      <c r="M6" s="685">
        <v>5</v>
      </c>
      <c r="N6" s="685">
        <v>6</v>
      </c>
      <c r="O6" s="687">
        <v>1</v>
      </c>
      <c r="P6" s="687">
        <v>2</v>
      </c>
      <c r="Q6" s="687">
        <v>3</v>
      </c>
    </row>
    <row r="7" spans="1:17" s="2" customFormat="1" ht="24" customHeight="1" thickTop="1" x14ac:dyDescent="0.3">
      <c r="A7" s="164" t="s">
        <v>90</v>
      </c>
      <c r="B7" s="165" t="s">
        <v>0</v>
      </c>
      <c r="C7" s="166">
        <f t="shared" ref="C7:Q7" si="0">SUM(C8)</f>
        <v>193151315</v>
      </c>
      <c r="D7" s="166">
        <f t="shared" si="0"/>
        <v>62231200</v>
      </c>
      <c r="E7" s="166">
        <f t="shared" si="0"/>
        <v>24935000</v>
      </c>
      <c r="F7" s="166">
        <f t="shared" si="0"/>
        <v>155855115</v>
      </c>
      <c r="G7" s="166">
        <f t="shared" si="0"/>
        <v>113202000</v>
      </c>
      <c r="H7" s="166">
        <f t="shared" si="0"/>
        <v>119864000</v>
      </c>
      <c r="I7" s="166">
        <f t="shared" si="0"/>
        <v>145923000</v>
      </c>
      <c r="J7" s="166">
        <f t="shared" si="0"/>
        <v>42477300</v>
      </c>
      <c r="K7" s="166">
        <f t="shared" si="0"/>
        <v>63646500</v>
      </c>
      <c r="L7" s="166">
        <f t="shared" si="0"/>
        <v>167092200</v>
      </c>
      <c r="M7" s="166">
        <f t="shared" si="0"/>
        <v>206622000</v>
      </c>
      <c r="N7" s="166">
        <f t="shared" si="0"/>
        <v>141133000</v>
      </c>
      <c r="O7" s="166">
        <f t="shared" si="0"/>
        <v>265930350</v>
      </c>
      <c r="P7" s="166">
        <f t="shared" si="0"/>
        <v>177267613</v>
      </c>
      <c r="Q7" s="166">
        <f t="shared" si="0"/>
        <v>116618000</v>
      </c>
    </row>
    <row r="8" spans="1:17" s="2" customFormat="1" ht="24" customHeight="1" x14ac:dyDescent="0.3">
      <c r="A8" s="167" t="s">
        <v>91</v>
      </c>
      <c r="B8" s="168" t="s">
        <v>0</v>
      </c>
      <c r="C8" s="169">
        <f t="shared" ref="C8:N8" si="1">SUM(C9,C82,C109,C138,C154,C175,C179,C218,C287,C334,C394,C416,C437,C476,C515,C579,C603,C620,C625,C652,C720,C732,C737,C742,C794,C847,C914,C951,C962,C990,C1010,C1036,C1042,C1090,C1136,C1189,C1235,C1261,C1295,C1315,C1462,C1342,C1361,C1381,C1386,C1400)</f>
        <v>193151315</v>
      </c>
      <c r="D8" s="169">
        <f t="shared" si="1"/>
        <v>62231200</v>
      </c>
      <c r="E8" s="169">
        <f t="shared" si="1"/>
        <v>24935000</v>
      </c>
      <c r="F8" s="169">
        <f t="shared" si="1"/>
        <v>155855115</v>
      </c>
      <c r="G8" s="169">
        <f t="shared" si="1"/>
        <v>113202000</v>
      </c>
      <c r="H8" s="169">
        <f t="shared" si="1"/>
        <v>119864000</v>
      </c>
      <c r="I8" s="169">
        <f t="shared" si="1"/>
        <v>145923000</v>
      </c>
      <c r="J8" s="169">
        <f t="shared" si="1"/>
        <v>42477300</v>
      </c>
      <c r="K8" s="169">
        <f t="shared" si="1"/>
        <v>63646500</v>
      </c>
      <c r="L8" s="169">
        <f t="shared" si="1"/>
        <v>167092200</v>
      </c>
      <c r="M8" s="169">
        <f t="shared" si="1"/>
        <v>206622000</v>
      </c>
      <c r="N8" s="169">
        <f t="shared" si="1"/>
        <v>141133000</v>
      </c>
      <c r="O8" s="169">
        <f>SUM(O9,O82,O109,O138,O154,O175,O179,O218,O287,O334,O394,O416,O437,O476,O515,O579,O603,O620,O625,O652,O720,O732,O737,O742,O794,O847,O914,O951,O962,O990,O1010,O1036,O1042,O1090,O1136,O1189,O1235,O1261,O1295,O1315,O1462,O1342,O1361,O1381,O1386,O1400,O1490,O1496+O1458)</f>
        <v>265930350</v>
      </c>
      <c r="P8" s="169">
        <f>SUM(P9,P82,P109,P138,P154,P175,P179,P218,P287,P334,P394,P416,P437,P476,P515,P579,P603,P620,P625,P652,P720,P732,P737,P742,P794,P847,P914,P951,P962,P990,P1010,P1036,P1042,P1090,P1136,P1189,P1235,P1261,P1295,P1315,P1462,P1342,P1361,P1381,P1386,P1400,P1490,P1496+P1458)</f>
        <v>177267613</v>
      </c>
      <c r="Q8" s="169">
        <f>SUM(Q9,Q82,Q109,Q138,Q154,Q175,Q179,Q218,Q287,Q334,Q394,Q416,Q437,Q476,Q515,Q579,Q603,Q620,Q625,Q652,Q720,Q732,Q737,Q742,Q794,Q847,Q914,Q951,Q962,Q990,Q1010,Q1036,Q1042,Q1090,Q1136,Q1189,Q1235,Q1261,Q1295,Q1315,Q1462,Q1342,Q1361,Q1381,Q1386,Q1400,Q1490,Q1496+Q1458)</f>
        <v>116618000</v>
      </c>
    </row>
    <row r="9" spans="1:17" ht="25.05" customHeight="1" x14ac:dyDescent="0.3">
      <c r="A9" s="170" t="s">
        <v>2</v>
      </c>
      <c r="B9" s="171" t="s">
        <v>3</v>
      </c>
      <c r="C9" s="172">
        <f t="shared" ref="C9:Q9" si="2">SUM(C10,C14,C18,C43,C56)</f>
        <v>28397000</v>
      </c>
      <c r="D9" s="172">
        <f t="shared" si="2"/>
        <v>105000</v>
      </c>
      <c r="E9" s="172">
        <f t="shared" si="2"/>
        <v>16616000</v>
      </c>
      <c r="F9" s="172">
        <f t="shared" si="2"/>
        <v>44908000</v>
      </c>
      <c r="G9" s="172">
        <f t="shared" si="2"/>
        <v>28406000</v>
      </c>
      <c r="H9" s="172">
        <f t="shared" si="2"/>
        <v>28406000</v>
      </c>
      <c r="I9" s="172">
        <f t="shared" si="2"/>
        <v>28406000</v>
      </c>
      <c r="J9" s="172">
        <f t="shared" si="2"/>
        <v>95000</v>
      </c>
      <c r="K9" s="172">
        <f t="shared" si="2"/>
        <v>9728000</v>
      </c>
      <c r="L9" s="172">
        <f t="shared" si="2"/>
        <v>38039000</v>
      </c>
      <c r="M9" s="172">
        <f t="shared" si="2"/>
        <v>28406000</v>
      </c>
      <c r="N9" s="172">
        <f t="shared" si="2"/>
        <v>28406000</v>
      </c>
      <c r="O9" s="172">
        <f t="shared" si="2"/>
        <v>46079000</v>
      </c>
      <c r="P9" s="172">
        <f t="shared" si="2"/>
        <v>46039000</v>
      </c>
      <c r="Q9" s="172">
        <f t="shared" si="2"/>
        <v>46039000</v>
      </c>
    </row>
    <row r="10" spans="1:17" ht="18" customHeight="1" x14ac:dyDescent="0.3">
      <c r="A10" s="724" t="s">
        <v>94</v>
      </c>
      <c r="B10" s="725"/>
      <c r="C10" s="173">
        <f>SUM(C11)</f>
        <v>1600000</v>
      </c>
      <c r="D10" s="173">
        <f t="shared" ref="D10:Q11" si="3">SUM(D11)</f>
        <v>0</v>
      </c>
      <c r="E10" s="173">
        <f t="shared" si="3"/>
        <v>500000</v>
      </c>
      <c r="F10" s="173">
        <f t="shared" si="3"/>
        <v>2100000</v>
      </c>
      <c r="G10" s="173">
        <f t="shared" si="3"/>
        <v>1600000</v>
      </c>
      <c r="H10" s="173">
        <f t="shared" si="3"/>
        <v>1600000</v>
      </c>
      <c r="I10" s="173">
        <f t="shared" si="3"/>
        <v>1600000</v>
      </c>
      <c r="J10" s="173">
        <f t="shared" si="3"/>
        <v>0</v>
      </c>
      <c r="K10" s="173">
        <f t="shared" si="3"/>
        <v>1000000</v>
      </c>
      <c r="L10" s="173">
        <f t="shared" si="3"/>
        <v>2600000</v>
      </c>
      <c r="M10" s="173">
        <f t="shared" si="3"/>
        <v>1600000</v>
      </c>
      <c r="N10" s="173">
        <f t="shared" si="3"/>
        <v>1600000</v>
      </c>
      <c r="O10" s="173">
        <f t="shared" si="3"/>
        <v>2600000</v>
      </c>
      <c r="P10" s="173">
        <f t="shared" si="3"/>
        <v>2600000</v>
      </c>
      <c r="Q10" s="173">
        <f t="shared" si="3"/>
        <v>2600000</v>
      </c>
    </row>
    <row r="11" spans="1:17" ht="18.75" customHeight="1" x14ac:dyDescent="0.3">
      <c r="A11" s="174" t="s">
        <v>317</v>
      </c>
      <c r="B11" s="175" t="s">
        <v>318</v>
      </c>
      <c r="C11" s="176">
        <f>SUM(C12)</f>
        <v>1600000</v>
      </c>
      <c r="D11" s="176">
        <f t="shared" si="3"/>
        <v>0</v>
      </c>
      <c r="E11" s="176">
        <f t="shared" si="3"/>
        <v>500000</v>
      </c>
      <c r="F11" s="176">
        <f t="shared" si="3"/>
        <v>2100000</v>
      </c>
      <c r="G11" s="176">
        <f t="shared" si="3"/>
        <v>1600000</v>
      </c>
      <c r="H11" s="176">
        <f t="shared" si="3"/>
        <v>1600000</v>
      </c>
      <c r="I11" s="176">
        <f t="shared" si="3"/>
        <v>1600000</v>
      </c>
      <c r="J11" s="176">
        <f t="shared" si="3"/>
        <v>0</v>
      </c>
      <c r="K11" s="176">
        <f t="shared" si="3"/>
        <v>1000000</v>
      </c>
      <c r="L11" s="176">
        <f t="shared" si="3"/>
        <v>2600000</v>
      </c>
      <c r="M11" s="176">
        <f t="shared" si="3"/>
        <v>1600000</v>
      </c>
      <c r="N11" s="176">
        <f t="shared" si="3"/>
        <v>1600000</v>
      </c>
      <c r="O11" s="176">
        <f t="shared" si="3"/>
        <v>2600000</v>
      </c>
      <c r="P11" s="176">
        <f t="shared" si="3"/>
        <v>2600000</v>
      </c>
      <c r="Q11" s="176">
        <f t="shared" si="3"/>
        <v>2600000</v>
      </c>
    </row>
    <row r="12" spans="1:17" x14ac:dyDescent="0.3">
      <c r="A12" s="177">
        <v>322</v>
      </c>
      <c r="B12" s="178" t="s">
        <v>16</v>
      </c>
      <c r="C12" s="179">
        <f t="shared" ref="C12:Q12" si="4">SUM(C13)</f>
        <v>1600000</v>
      </c>
      <c r="D12" s="179">
        <f t="shared" si="4"/>
        <v>0</v>
      </c>
      <c r="E12" s="179">
        <f t="shared" si="4"/>
        <v>500000</v>
      </c>
      <c r="F12" s="179">
        <f t="shared" si="4"/>
        <v>2100000</v>
      </c>
      <c r="G12" s="179">
        <f t="shared" si="4"/>
        <v>1600000</v>
      </c>
      <c r="H12" s="179">
        <f t="shared" si="4"/>
        <v>1600000</v>
      </c>
      <c r="I12" s="179">
        <f t="shared" si="4"/>
        <v>1600000</v>
      </c>
      <c r="J12" s="179">
        <f t="shared" si="4"/>
        <v>0</v>
      </c>
      <c r="K12" s="179">
        <f t="shared" si="4"/>
        <v>1000000</v>
      </c>
      <c r="L12" s="179">
        <f t="shared" si="4"/>
        <v>2600000</v>
      </c>
      <c r="M12" s="179">
        <f t="shared" si="4"/>
        <v>1600000</v>
      </c>
      <c r="N12" s="179">
        <f t="shared" si="4"/>
        <v>1600000</v>
      </c>
      <c r="O12" s="179">
        <f t="shared" si="4"/>
        <v>2600000</v>
      </c>
      <c r="P12" s="179">
        <f t="shared" si="4"/>
        <v>2600000</v>
      </c>
      <c r="Q12" s="179">
        <f t="shared" si="4"/>
        <v>2600000</v>
      </c>
    </row>
    <row r="13" spans="1:17" x14ac:dyDescent="0.3">
      <c r="A13" s="180">
        <v>3222</v>
      </c>
      <c r="B13" s="181" t="s">
        <v>18</v>
      </c>
      <c r="C13" s="182">
        <v>1600000</v>
      </c>
      <c r="D13" s="182"/>
      <c r="E13" s="183">
        <v>500000</v>
      </c>
      <c r="F13" s="182">
        <f>C13-D13+E13</f>
        <v>2100000</v>
      </c>
      <c r="G13" s="182">
        <v>1600000</v>
      </c>
      <c r="H13" s="182">
        <v>1600000</v>
      </c>
      <c r="I13" s="182">
        <v>1600000</v>
      </c>
      <c r="J13" s="220"/>
      <c r="K13" s="233">
        <v>1000000</v>
      </c>
      <c r="L13" s="220">
        <f>I13-J13+K13</f>
        <v>2600000</v>
      </c>
      <c r="M13" s="182">
        <v>1600000</v>
      </c>
      <c r="N13" s="182">
        <v>1600000</v>
      </c>
      <c r="O13" s="182">
        <v>2600000</v>
      </c>
      <c r="P13" s="182">
        <v>2600000</v>
      </c>
      <c r="Q13" s="182">
        <v>2600000</v>
      </c>
    </row>
    <row r="14" spans="1:17" customFormat="1" ht="18" customHeight="1" x14ac:dyDescent="0.3">
      <c r="A14" s="721" t="s">
        <v>97</v>
      </c>
      <c r="B14" s="721"/>
      <c r="C14" s="184">
        <f>SUM(C15)</f>
        <v>26550000</v>
      </c>
      <c r="D14" s="184">
        <f t="shared" ref="D14:Q15" si="5">SUM(D15)</f>
        <v>0</v>
      </c>
      <c r="E14" s="184">
        <f t="shared" si="5"/>
        <v>15950000</v>
      </c>
      <c r="F14" s="184">
        <f t="shared" si="5"/>
        <v>42500000</v>
      </c>
      <c r="G14" s="184">
        <f t="shared" si="5"/>
        <v>26550000</v>
      </c>
      <c r="H14" s="184">
        <f t="shared" si="5"/>
        <v>26550000</v>
      </c>
      <c r="I14" s="184">
        <f t="shared" si="5"/>
        <v>26550000</v>
      </c>
      <c r="J14" s="184">
        <f t="shared" si="5"/>
        <v>0</v>
      </c>
      <c r="K14" s="184">
        <f t="shared" si="5"/>
        <v>8450000</v>
      </c>
      <c r="L14" s="184">
        <f t="shared" si="5"/>
        <v>35000000</v>
      </c>
      <c r="M14" s="184">
        <f t="shared" si="5"/>
        <v>26550000</v>
      </c>
      <c r="N14" s="184">
        <f t="shared" si="5"/>
        <v>26550000</v>
      </c>
      <c r="O14" s="184">
        <f t="shared" si="5"/>
        <v>43000000</v>
      </c>
      <c r="P14" s="184">
        <f t="shared" si="5"/>
        <v>43000000</v>
      </c>
      <c r="Q14" s="184">
        <f t="shared" si="5"/>
        <v>43000000</v>
      </c>
    </row>
    <row r="15" spans="1:17" customFormat="1" ht="18" customHeight="1" x14ac:dyDescent="0.3">
      <c r="A15" s="174" t="s">
        <v>317</v>
      </c>
      <c r="B15" s="175" t="s">
        <v>318</v>
      </c>
      <c r="C15" s="176">
        <f>SUM(C16)</f>
        <v>26550000</v>
      </c>
      <c r="D15" s="176">
        <f t="shared" si="5"/>
        <v>0</v>
      </c>
      <c r="E15" s="176">
        <f t="shared" si="5"/>
        <v>15950000</v>
      </c>
      <c r="F15" s="176">
        <f t="shared" si="5"/>
        <v>42500000</v>
      </c>
      <c r="G15" s="176">
        <f t="shared" si="5"/>
        <v>26550000</v>
      </c>
      <c r="H15" s="176">
        <f t="shared" si="5"/>
        <v>26550000</v>
      </c>
      <c r="I15" s="176">
        <f t="shared" si="5"/>
        <v>26550000</v>
      </c>
      <c r="J15" s="176">
        <f t="shared" si="5"/>
        <v>0</v>
      </c>
      <c r="K15" s="176">
        <f t="shared" si="5"/>
        <v>8450000</v>
      </c>
      <c r="L15" s="176">
        <f t="shared" si="5"/>
        <v>35000000</v>
      </c>
      <c r="M15" s="176">
        <f t="shared" si="5"/>
        <v>26550000</v>
      </c>
      <c r="N15" s="176">
        <f t="shared" si="5"/>
        <v>26550000</v>
      </c>
      <c r="O15" s="176">
        <f t="shared" si="5"/>
        <v>43000000</v>
      </c>
      <c r="P15" s="176">
        <f t="shared" si="5"/>
        <v>43000000</v>
      </c>
      <c r="Q15" s="176">
        <f t="shared" si="5"/>
        <v>43000000</v>
      </c>
    </row>
    <row r="16" spans="1:17" customFormat="1" ht="14.4" x14ac:dyDescent="0.3">
      <c r="A16" s="177">
        <v>323</v>
      </c>
      <c r="B16" s="178" t="s">
        <v>23</v>
      </c>
      <c r="C16" s="179">
        <f t="shared" ref="C16:Q16" si="6">SUM(C17)</f>
        <v>26550000</v>
      </c>
      <c r="D16" s="179">
        <f t="shared" si="6"/>
        <v>0</v>
      </c>
      <c r="E16" s="179">
        <f t="shared" si="6"/>
        <v>15950000</v>
      </c>
      <c r="F16" s="179">
        <f t="shared" si="6"/>
        <v>42500000</v>
      </c>
      <c r="G16" s="179">
        <f t="shared" si="6"/>
        <v>26550000</v>
      </c>
      <c r="H16" s="179">
        <f t="shared" si="6"/>
        <v>26550000</v>
      </c>
      <c r="I16" s="179">
        <f t="shared" si="6"/>
        <v>26550000</v>
      </c>
      <c r="J16" s="179">
        <f t="shared" si="6"/>
        <v>0</v>
      </c>
      <c r="K16" s="179">
        <f t="shared" si="6"/>
        <v>8450000</v>
      </c>
      <c r="L16" s="179">
        <f t="shared" si="6"/>
        <v>35000000</v>
      </c>
      <c r="M16" s="179">
        <f t="shared" si="6"/>
        <v>26550000</v>
      </c>
      <c r="N16" s="179">
        <f t="shared" si="6"/>
        <v>26550000</v>
      </c>
      <c r="O16" s="179">
        <f t="shared" si="6"/>
        <v>43000000</v>
      </c>
      <c r="P16" s="179">
        <f t="shared" si="6"/>
        <v>43000000</v>
      </c>
      <c r="Q16" s="179">
        <f t="shared" si="6"/>
        <v>43000000</v>
      </c>
    </row>
    <row r="17" spans="1:23" customFormat="1" ht="14.4" x14ac:dyDescent="0.3">
      <c r="A17" s="180">
        <v>3239</v>
      </c>
      <c r="B17" s="181" t="s">
        <v>31</v>
      </c>
      <c r="C17" s="182">
        <v>26550000</v>
      </c>
      <c r="D17" s="182"/>
      <c r="E17" s="183">
        <v>15950000</v>
      </c>
      <c r="F17" s="182">
        <f>C17-D17+E17</f>
        <v>42500000</v>
      </c>
      <c r="G17" s="182">
        <v>26550000</v>
      </c>
      <c r="H17" s="182">
        <v>26550000</v>
      </c>
      <c r="I17" s="182">
        <v>26550000</v>
      </c>
      <c r="J17" s="220"/>
      <c r="K17" s="220">
        <v>8450000</v>
      </c>
      <c r="L17" s="220">
        <f>I17-J17+K17</f>
        <v>35000000</v>
      </c>
      <c r="M17" s="182">
        <v>26550000</v>
      </c>
      <c r="N17" s="182">
        <v>26550000</v>
      </c>
      <c r="O17" s="182">
        <v>43000000</v>
      </c>
      <c r="P17" s="182">
        <v>43000000</v>
      </c>
      <c r="Q17" s="182">
        <v>43000000</v>
      </c>
    </row>
    <row r="18" spans="1:23" customFormat="1" ht="18" customHeight="1" x14ac:dyDescent="0.3">
      <c r="A18" s="721" t="s">
        <v>106</v>
      </c>
      <c r="B18" s="721"/>
      <c r="C18" s="173">
        <f t="shared" ref="C18:H18" si="7">SUM(C19,C22,C39)</f>
        <v>149000</v>
      </c>
      <c r="D18" s="173">
        <f t="shared" si="7"/>
        <v>80000</v>
      </c>
      <c r="E18" s="173">
        <f t="shared" si="7"/>
        <v>10000</v>
      </c>
      <c r="F18" s="173">
        <f t="shared" si="7"/>
        <v>79000</v>
      </c>
      <c r="G18" s="173">
        <f t="shared" si="7"/>
        <v>149000</v>
      </c>
      <c r="H18" s="173">
        <f t="shared" si="7"/>
        <v>149000</v>
      </c>
      <c r="I18" s="173">
        <f>SUM(I19,I22,I36,I39)</f>
        <v>149000</v>
      </c>
      <c r="J18" s="173">
        <f t="shared" ref="J18:L18" si="8">SUM(J19,J22,J36,J39)</f>
        <v>70000</v>
      </c>
      <c r="K18" s="173">
        <f t="shared" si="8"/>
        <v>138000</v>
      </c>
      <c r="L18" s="173">
        <f t="shared" si="8"/>
        <v>217000</v>
      </c>
      <c r="M18" s="173">
        <f>SUM(M19,M22,M39)</f>
        <v>149000</v>
      </c>
      <c r="N18" s="173">
        <f>SUM(N19,N22,N39)</f>
        <v>149000</v>
      </c>
      <c r="O18" s="173">
        <f>SUM(O19,O22,O39,O36)</f>
        <v>217000</v>
      </c>
      <c r="P18" s="173">
        <f>SUM(P19,P22,P39,P36)</f>
        <v>217000</v>
      </c>
      <c r="Q18" s="173">
        <f>SUM(Q19,Q22,Q39,Q36)</f>
        <v>217000</v>
      </c>
      <c r="W18" s="433"/>
    </row>
    <row r="19" spans="1:23" customFormat="1" ht="18" customHeight="1" x14ac:dyDescent="0.3">
      <c r="A19" s="185" t="s">
        <v>315</v>
      </c>
      <c r="B19" s="186" t="s">
        <v>316</v>
      </c>
      <c r="C19" s="187">
        <f>SUM(C20)</f>
        <v>7000</v>
      </c>
      <c r="D19" s="187">
        <f t="shared" ref="D19:Q19" si="9">SUM(D20)</f>
        <v>0</v>
      </c>
      <c r="E19" s="187">
        <f t="shared" si="9"/>
        <v>0</v>
      </c>
      <c r="F19" s="187">
        <f t="shared" si="9"/>
        <v>7000</v>
      </c>
      <c r="G19" s="187">
        <f t="shared" si="9"/>
        <v>7000</v>
      </c>
      <c r="H19" s="187">
        <f t="shared" si="9"/>
        <v>7000</v>
      </c>
      <c r="I19" s="187">
        <f t="shared" si="9"/>
        <v>7000</v>
      </c>
      <c r="J19" s="187">
        <f t="shared" si="9"/>
        <v>0</v>
      </c>
      <c r="K19" s="187">
        <f t="shared" si="9"/>
        <v>0</v>
      </c>
      <c r="L19" s="187">
        <f t="shared" si="9"/>
        <v>7000</v>
      </c>
      <c r="M19" s="187">
        <f t="shared" si="9"/>
        <v>7000</v>
      </c>
      <c r="N19" s="187">
        <f t="shared" si="9"/>
        <v>7000</v>
      </c>
      <c r="O19" s="187">
        <f t="shared" si="9"/>
        <v>7000</v>
      </c>
      <c r="P19" s="187">
        <f t="shared" si="9"/>
        <v>7000</v>
      </c>
      <c r="Q19" s="187">
        <f t="shared" si="9"/>
        <v>7000</v>
      </c>
    </row>
    <row r="20" spans="1:23" customFormat="1" ht="18" customHeight="1" x14ac:dyDescent="0.3">
      <c r="A20" s="188">
        <v>311</v>
      </c>
      <c r="B20" s="178" t="s">
        <v>5</v>
      </c>
      <c r="C20" s="179">
        <f t="shared" ref="C20:Q20" si="10">SUM(C21)</f>
        <v>7000</v>
      </c>
      <c r="D20" s="179">
        <f t="shared" si="10"/>
        <v>0</v>
      </c>
      <c r="E20" s="179">
        <f t="shared" si="10"/>
        <v>0</v>
      </c>
      <c r="F20" s="179">
        <f t="shared" si="10"/>
        <v>7000</v>
      </c>
      <c r="G20" s="179">
        <f t="shared" si="10"/>
        <v>7000</v>
      </c>
      <c r="H20" s="179">
        <f t="shared" si="10"/>
        <v>7000</v>
      </c>
      <c r="I20" s="179">
        <f t="shared" si="10"/>
        <v>7000</v>
      </c>
      <c r="J20" s="179">
        <f t="shared" si="10"/>
        <v>0</v>
      </c>
      <c r="K20" s="179">
        <f t="shared" si="10"/>
        <v>0</v>
      </c>
      <c r="L20" s="179">
        <f t="shared" si="10"/>
        <v>7000</v>
      </c>
      <c r="M20" s="179">
        <f t="shared" si="10"/>
        <v>7000</v>
      </c>
      <c r="N20" s="179">
        <f t="shared" si="10"/>
        <v>7000</v>
      </c>
      <c r="O20" s="179">
        <f t="shared" si="10"/>
        <v>7000</v>
      </c>
      <c r="P20" s="179">
        <f t="shared" si="10"/>
        <v>7000</v>
      </c>
      <c r="Q20" s="179">
        <f t="shared" si="10"/>
        <v>7000</v>
      </c>
    </row>
    <row r="21" spans="1:23" customFormat="1" ht="18" customHeight="1" x14ac:dyDescent="0.3">
      <c r="A21" s="189">
        <v>3111</v>
      </c>
      <c r="B21" s="190" t="s">
        <v>5</v>
      </c>
      <c r="C21" s="182">
        <v>7000</v>
      </c>
      <c r="D21" s="182"/>
      <c r="E21" s="182"/>
      <c r="F21" s="182">
        <f>C21-D21+E21</f>
        <v>7000</v>
      </c>
      <c r="G21" s="182">
        <v>7000</v>
      </c>
      <c r="H21" s="182">
        <v>7000</v>
      </c>
      <c r="I21" s="182">
        <v>7000</v>
      </c>
      <c r="J21" s="220"/>
      <c r="K21" s="220"/>
      <c r="L21" s="220">
        <f>I21-J21+K21</f>
        <v>7000</v>
      </c>
      <c r="M21" s="182">
        <v>7000</v>
      </c>
      <c r="N21" s="182">
        <v>7000</v>
      </c>
      <c r="O21" s="182">
        <v>7000</v>
      </c>
      <c r="P21" s="182">
        <v>7000</v>
      </c>
      <c r="Q21" s="182">
        <v>7000</v>
      </c>
    </row>
    <row r="22" spans="1:23" customFormat="1" ht="18" customHeight="1" x14ac:dyDescent="0.3">
      <c r="A22" s="174" t="s">
        <v>317</v>
      </c>
      <c r="B22" s="175" t="s">
        <v>318</v>
      </c>
      <c r="C22" s="176">
        <f>SUM(C23,C26)</f>
        <v>135000</v>
      </c>
      <c r="D22" s="176">
        <f>SUM(D23,D26)</f>
        <v>80000</v>
      </c>
      <c r="E22" s="176">
        <f>SUM(E23,E26)</f>
        <v>10000</v>
      </c>
      <c r="F22" s="176">
        <f>SUM(F23,F26)</f>
        <v>65000</v>
      </c>
      <c r="G22" s="176">
        <f t="shared" ref="G22:N22" si="11">SUM(G23,G26)</f>
        <v>135000</v>
      </c>
      <c r="H22" s="176">
        <f t="shared" si="11"/>
        <v>135000</v>
      </c>
      <c r="I22" s="176">
        <f>SUM(I23,I26,I31,I33)</f>
        <v>135000</v>
      </c>
      <c r="J22" s="176">
        <f t="shared" ref="J22:L22" si="12">SUM(J23,J26,J31,J33)</f>
        <v>70000</v>
      </c>
      <c r="K22" s="176">
        <f t="shared" si="12"/>
        <v>26000</v>
      </c>
      <c r="L22" s="176">
        <f t="shared" si="12"/>
        <v>91000</v>
      </c>
      <c r="M22" s="176">
        <f t="shared" si="11"/>
        <v>135000</v>
      </c>
      <c r="N22" s="176">
        <f t="shared" si="11"/>
        <v>135000</v>
      </c>
      <c r="O22" s="176">
        <f>SUM(O23,O26,O31,O33)</f>
        <v>91000</v>
      </c>
      <c r="P22" s="176">
        <f t="shared" ref="P22:Q22" si="13">SUM(P23,P26,P31,P33)</f>
        <v>91000</v>
      </c>
      <c r="Q22" s="176">
        <f t="shared" si="13"/>
        <v>91000</v>
      </c>
    </row>
    <row r="23" spans="1:23" customFormat="1" ht="14.4" x14ac:dyDescent="0.3">
      <c r="A23" s="188">
        <v>321</v>
      </c>
      <c r="B23" s="178" t="s">
        <v>12</v>
      </c>
      <c r="C23" s="179">
        <f>SUM(C24:C25)</f>
        <v>135000</v>
      </c>
      <c r="D23" s="179">
        <f t="shared" ref="D23:F23" si="14">SUM(D24:D25)</f>
        <v>80000</v>
      </c>
      <c r="E23" s="179">
        <f t="shared" si="14"/>
        <v>0</v>
      </c>
      <c r="F23" s="179">
        <f t="shared" si="14"/>
        <v>55000</v>
      </c>
      <c r="G23" s="179">
        <f t="shared" ref="G23:H23" si="15">SUM(G24:G25)</f>
        <v>135000</v>
      </c>
      <c r="H23" s="179">
        <f t="shared" si="15"/>
        <v>135000</v>
      </c>
      <c r="I23" s="179">
        <f t="shared" ref="I23:M23" si="16">SUM(I24:I25)</f>
        <v>135000</v>
      </c>
      <c r="J23" s="179">
        <f t="shared" si="16"/>
        <v>70000</v>
      </c>
      <c r="K23" s="179">
        <f t="shared" si="16"/>
        <v>0</v>
      </c>
      <c r="L23" s="179">
        <f t="shared" si="16"/>
        <v>65000</v>
      </c>
      <c r="M23" s="179">
        <f t="shared" si="16"/>
        <v>135000</v>
      </c>
      <c r="N23" s="179">
        <f t="shared" ref="N23:Q23" si="17">SUM(N24:N25)</f>
        <v>135000</v>
      </c>
      <c r="O23" s="179">
        <f t="shared" si="17"/>
        <v>65000</v>
      </c>
      <c r="P23" s="179">
        <f t="shared" si="17"/>
        <v>65000</v>
      </c>
      <c r="Q23" s="179">
        <f t="shared" si="17"/>
        <v>65000</v>
      </c>
    </row>
    <row r="24" spans="1:23" customFormat="1" ht="14.4" x14ac:dyDescent="0.3">
      <c r="A24" s="189">
        <v>3211</v>
      </c>
      <c r="B24" s="190" t="s">
        <v>13</v>
      </c>
      <c r="C24" s="191">
        <v>133000</v>
      </c>
      <c r="D24" s="191">
        <v>80000</v>
      </c>
      <c r="E24" s="191"/>
      <c r="F24" s="182">
        <f t="shared" ref="F24:F28" si="18">C24-D24+E24</f>
        <v>53000</v>
      </c>
      <c r="G24" s="191">
        <v>133000</v>
      </c>
      <c r="H24" s="191">
        <v>133000</v>
      </c>
      <c r="I24" s="191">
        <v>133000</v>
      </c>
      <c r="J24" s="233">
        <v>70000</v>
      </c>
      <c r="K24" s="233"/>
      <c r="L24" s="220">
        <f>I24-J24+K24</f>
        <v>63000</v>
      </c>
      <c r="M24" s="191">
        <v>133000</v>
      </c>
      <c r="N24" s="191">
        <v>133000</v>
      </c>
      <c r="O24" s="191">
        <v>63000</v>
      </c>
      <c r="P24" s="191">
        <v>63000</v>
      </c>
      <c r="Q24" s="191">
        <v>63000</v>
      </c>
    </row>
    <row r="25" spans="1:23" customFormat="1" ht="14.4" x14ac:dyDescent="0.3">
      <c r="A25" s="189">
        <v>3214</v>
      </c>
      <c r="B25" s="190" t="s">
        <v>121</v>
      </c>
      <c r="C25" s="182">
        <v>2000</v>
      </c>
      <c r="D25" s="182"/>
      <c r="E25" s="182"/>
      <c r="F25" s="182">
        <f t="shared" si="18"/>
        <v>2000</v>
      </c>
      <c r="G25" s="182">
        <v>2000</v>
      </c>
      <c r="H25" s="182">
        <v>2000</v>
      </c>
      <c r="I25" s="182">
        <v>2000</v>
      </c>
      <c r="J25" s="220"/>
      <c r="K25" s="220"/>
      <c r="L25" s="220">
        <f>I25-J25+K25</f>
        <v>2000</v>
      </c>
      <c r="M25" s="182">
        <v>2000</v>
      </c>
      <c r="N25" s="182">
        <v>2000</v>
      </c>
      <c r="O25" s="182">
        <v>2000</v>
      </c>
      <c r="P25" s="182">
        <v>2000</v>
      </c>
      <c r="Q25" s="182">
        <v>2000</v>
      </c>
    </row>
    <row r="26" spans="1:23" customFormat="1" ht="15" customHeight="1" x14ac:dyDescent="0.3">
      <c r="A26" s="188">
        <v>322</v>
      </c>
      <c r="B26" s="178" t="s">
        <v>16</v>
      </c>
      <c r="C26" s="179">
        <f t="shared" ref="C26:H26" si="19">SUM(C28)</f>
        <v>0</v>
      </c>
      <c r="D26" s="179">
        <f t="shared" si="19"/>
        <v>0</v>
      </c>
      <c r="E26" s="179">
        <f t="shared" si="19"/>
        <v>10000</v>
      </c>
      <c r="F26" s="179">
        <f t="shared" si="19"/>
        <v>10000</v>
      </c>
      <c r="G26" s="179">
        <f t="shared" si="19"/>
        <v>0</v>
      </c>
      <c r="H26" s="179">
        <f t="shared" si="19"/>
        <v>0</v>
      </c>
      <c r="I26" s="179">
        <f>SUM(I27:I30)</f>
        <v>0</v>
      </c>
      <c r="J26" s="179">
        <f t="shared" ref="J26:L26" si="20">SUM(J27:J30)</f>
        <v>0</v>
      </c>
      <c r="K26" s="179">
        <f t="shared" si="20"/>
        <v>6000</v>
      </c>
      <c r="L26" s="179">
        <f t="shared" si="20"/>
        <v>6000</v>
      </c>
      <c r="M26" s="179">
        <f>SUM(M28)</f>
        <v>0</v>
      </c>
      <c r="N26" s="179">
        <f>SUM(N28)</f>
        <v>0</v>
      </c>
      <c r="O26" s="179">
        <f>SUM(O27:O30)</f>
        <v>6000</v>
      </c>
      <c r="P26" s="179">
        <f t="shared" ref="P26:Q26" si="21">SUM(P27:P30)</f>
        <v>6000</v>
      </c>
      <c r="Q26" s="179">
        <f t="shared" si="21"/>
        <v>6000</v>
      </c>
    </row>
    <row r="27" spans="1:23" customFormat="1" ht="14.55" customHeight="1" x14ac:dyDescent="0.3">
      <c r="A27" s="189">
        <v>3222</v>
      </c>
      <c r="B27" s="261" t="s">
        <v>18</v>
      </c>
      <c r="C27" s="219"/>
      <c r="D27" s="219"/>
      <c r="E27" s="219"/>
      <c r="F27" s="219"/>
      <c r="G27" s="219"/>
      <c r="H27" s="219"/>
      <c r="I27" s="219"/>
      <c r="J27" s="219"/>
      <c r="K27" s="233">
        <v>1000</v>
      </c>
      <c r="L27" s="233">
        <f t="shared" ref="L27:L30" si="22">I27-J27+K27</f>
        <v>1000</v>
      </c>
      <c r="M27" s="219"/>
      <c r="N27" s="219"/>
      <c r="O27" s="220">
        <v>1000</v>
      </c>
      <c r="P27" s="220">
        <v>1000</v>
      </c>
      <c r="Q27" s="220">
        <v>1000</v>
      </c>
    </row>
    <row r="28" spans="1:23" customFormat="1" ht="14.55" customHeight="1" x14ac:dyDescent="0.3">
      <c r="A28" s="189">
        <v>3223</v>
      </c>
      <c r="B28" s="190" t="s">
        <v>19</v>
      </c>
      <c r="C28" s="182"/>
      <c r="D28" s="182"/>
      <c r="E28" s="183">
        <v>10000</v>
      </c>
      <c r="F28" s="182">
        <f t="shared" si="18"/>
        <v>10000</v>
      </c>
      <c r="G28" s="182"/>
      <c r="H28" s="182"/>
      <c r="I28" s="182"/>
      <c r="J28" s="220"/>
      <c r="K28" s="220">
        <v>1000</v>
      </c>
      <c r="L28" s="220">
        <f t="shared" si="22"/>
        <v>1000</v>
      </c>
      <c r="M28" s="182"/>
      <c r="N28" s="182"/>
      <c r="O28" s="182">
        <v>1000</v>
      </c>
      <c r="P28" s="182">
        <v>1000</v>
      </c>
      <c r="Q28" s="182">
        <v>1000</v>
      </c>
    </row>
    <row r="29" spans="1:23" customFormat="1" ht="14.4" x14ac:dyDescent="0.3">
      <c r="A29" s="441">
        <v>3224</v>
      </c>
      <c r="B29" s="442" t="s">
        <v>112</v>
      </c>
      <c r="C29" s="220"/>
      <c r="D29" s="220"/>
      <c r="E29" s="443"/>
      <c r="F29" s="220"/>
      <c r="G29" s="220"/>
      <c r="H29" s="220"/>
      <c r="I29" s="220"/>
      <c r="J29" s="220"/>
      <c r="K29" s="220">
        <v>2000</v>
      </c>
      <c r="L29" s="220">
        <f t="shared" si="22"/>
        <v>2000</v>
      </c>
      <c r="M29" s="220"/>
      <c r="N29" s="220"/>
      <c r="O29" s="220">
        <v>2000</v>
      </c>
      <c r="P29" s="220">
        <v>2000</v>
      </c>
      <c r="Q29" s="220">
        <v>2000</v>
      </c>
    </row>
    <row r="30" spans="1:23" customFormat="1" ht="14.55" customHeight="1" x14ac:dyDescent="0.3">
      <c r="A30" s="441">
        <v>3225</v>
      </c>
      <c r="B30" s="442" t="s">
        <v>21</v>
      </c>
      <c r="C30" s="220"/>
      <c r="D30" s="220"/>
      <c r="E30" s="443"/>
      <c r="F30" s="220"/>
      <c r="G30" s="220"/>
      <c r="H30" s="220"/>
      <c r="I30" s="220"/>
      <c r="J30" s="220"/>
      <c r="K30" s="220">
        <v>2000</v>
      </c>
      <c r="L30" s="220">
        <f t="shared" si="22"/>
        <v>2000</v>
      </c>
      <c r="M30" s="220"/>
      <c r="N30" s="220"/>
      <c r="O30" s="220">
        <v>2000</v>
      </c>
      <c r="P30" s="220">
        <v>2000</v>
      </c>
      <c r="Q30" s="220">
        <v>2000</v>
      </c>
    </row>
    <row r="31" spans="1:23" customFormat="1" ht="14.55" customHeight="1" x14ac:dyDescent="0.3">
      <c r="A31" s="177">
        <v>323</v>
      </c>
      <c r="B31" s="178" t="s">
        <v>23</v>
      </c>
      <c r="C31" s="220"/>
      <c r="D31" s="220"/>
      <c r="E31" s="443"/>
      <c r="F31" s="220"/>
      <c r="G31" s="220"/>
      <c r="H31" s="220"/>
      <c r="I31" s="219">
        <f>SUM(I32)</f>
        <v>0</v>
      </c>
      <c r="J31" s="219">
        <f t="shared" ref="J31:Q31" si="23">SUM(J32)</f>
        <v>0</v>
      </c>
      <c r="K31" s="219">
        <f t="shared" si="23"/>
        <v>10000</v>
      </c>
      <c r="L31" s="219">
        <f t="shared" si="23"/>
        <v>10000</v>
      </c>
      <c r="M31" s="219">
        <f t="shared" si="23"/>
        <v>0</v>
      </c>
      <c r="N31" s="219">
        <f t="shared" si="23"/>
        <v>0</v>
      </c>
      <c r="O31" s="219">
        <f t="shared" si="23"/>
        <v>10000</v>
      </c>
      <c r="P31" s="219">
        <f t="shared" si="23"/>
        <v>10000</v>
      </c>
      <c r="Q31" s="219">
        <f t="shared" si="23"/>
        <v>10000</v>
      </c>
    </row>
    <row r="32" spans="1:23" customFormat="1" ht="14.55" customHeight="1" x14ac:dyDescent="0.3">
      <c r="A32" s="180">
        <v>3239</v>
      </c>
      <c r="B32" s="181" t="s">
        <v>31</v>
      </c>
      <c r="C32" s="220"/>
      <c r="D32" s="220"/>
      <c r="E32" s="443"/>
      <c r="F32" s="220"/>
      <c r="G32" s="220"/>
      <c r="H32" s="220"/>
      <c r="I32" s="220"/>
      <c r="J32" s="220"/>
      <c r="K32" s="220">
        <v>10000</v>
      </c>
      <c r="L32" s="220">
        <f>I32-J32+K32</f>
        <v>10000</v>
      </c>
      <c r="M32" s="220"/>
      <c r="N32" s="220"/>
      <c r="O32" s="220">
        <v>10000</v>
      </c>
      <c r="P32" s="220">
        <v>10000</v>
      </c>
      <c r="Q32" s="220">
        <v>10000</v>
      </c>
    </row>
    <row r="33" spans="1:19" customFormat="1" ht="13.5" customHeight="1" x14ac:dyDescent="0.3">
      <c r="A33" s="188">
        <v>329</v>
      </c>
      <c r="B33" s="178" t="s">
        <v>33</v>
      </c>
      <c r="C33" s="179">
        <f t="shared" ref="C33:D33" si="24">SUM(C34)</f>
        <v>0</v>
      </c>
      <c r="D33" s="179">
        <f t="shared" si="24"/>
        <v>0</v>
      </c>
      <c r="E33" s="179"/>
      <c r="F33" s="179"/>
      <c r="G33" s="179"/>
      <c r="H33" s="179"/>
      <c r="I33" s="179">
        <f>SUM(I34:I35)</f>
        <v>0</v>
      </c>
      <c r="J33" s="179">
        <f t="shared" ref="J33:Q33" si="25">SUM(J34:J35)</f>
        <v>0</v>
      </c>
      <c r="K33" s="179">
        <f t="shared" si="25"/>
        <v>10000</v>
      </c>
      <c r="L33" s="179">
        <f t="shared" si="25"/>
        <v>10000</v>
      </c>
      <c r="M33" s="179">
        <f t="shared" si="25"/>
        <v>0</v>
      </c>
      <c r="N33" s="179">
        <f t="shared" si="25"/>
        <v>0</v>
      </c>
      <c r="O33" s="179">
        <f t="shared" si="25"/>
        <v>10000</v>
      </c>
      <c r="P33" s="179">
        <f t="shared" si="25"/>
        <v>10000</v>
      </c>
      <c r="Q33" s="179">
        <f t="shared" si="25"/>
        <v>10000</v>
      </c>
    </row>
    <row r="34" spans="1:19" customFormat="1" ht="14.55" hidden="1" customHeight="1" x14ac:dyDescent="0.3">
      <c r="A34" s="189">
        <v>3292</v>
      </c>
      <c r="B34" s="190" t="s">
        <v>35</v>
      </c>
      <c r="C34" s="182"/>
      <c r="D34" s="182"/>
      <c r="E34" s="182"/>
      <c r="F34" s="182"/>
      <c r="G34" s="182"/>
      <c r="H34" s="182"/>
      <c r="I34" s="182"/>
      <c r="J34" s="220"/>
      <c r="K34" s="220"/>
      <c r="L34" s="220">
        <f>I34-J34+K34</f>
        <v>0</v>
      </c>
      <c r="M34" s="182"/>
      <c r="N34" s="182"/>
      <c r="O34" s="182"/>
      <c r="P34" s="182"/>
      <c r="Q34" s="182"/>
    </row>
    <row r="35" spans="1:19" customFormat="1" ht="14.55" customHeight="1" x14ac:dyDescent="0.3">
      <c r="A35" s="441">
        <v>3299</v>
      </c>
      <c r="B35" s="181" t="s">
        <v>33</v>
      </c>
      <c r="C35" s="220"/>
      <c r="D35" s="220"/>
      <c r="E35" s="220"/>
      <c r="F35" s="220"/>
      <c r="G35" s="220"/>
      <c r="H35" s="220"/>
      <c r="I35" s="220"/>
      <c r="J35" s="220"/>
      <c r="K35" s="220">
        <v>10000</v>
      </c>
      <c r="L35" s="220">
        <f>I35-J35+K35</f>
        <v>10000</v>
      </c>
      <c r="M35" s="220"/>
      <c r="N35" s="220"/>
      <c r="O35" s="220">
        <v>10000</v>
      </c>
      <c r="P35" s="220">
        <v>10000</v>
      </c>
      <c r="Q35" s="220">
        <v>10000</v>
      </c>
    </row>
    <row r="36" spans="1:19" customFormat="1" ht="27.6" customHeight="1" x14ac:dyDescent="0.3">
      <c r="A36" s="150">
        <v>41</v>
      </c>
      <c r="B36" s="156" t="s">
        <v>328</v>
      </c>
      <c r="C36" s="220"/>
      <c r="D36" s="220"/>
      <c r="E36" s="220"/>
      <c r="F36" s="220"/>
      <c r="G36" s="220"/>
      <c r="H36" s="220"/>
      <c r="I36" s="444">
        <f>SUM(I37)</f>
        <v>0</v>
      </c>
      <c r="J36" s="444">
        <f t="shared" ref="J36:Q36" si="26">SUM(J37)</f>
        <v>0</v>
      </c>
      <c r="K36" s="444">
        <f t="shared" si="26"/>
        <v>42000</v>
      </c>
      <c r="L36" s="444">
        <f t="shared" si="26"/>
        <v>42000</v>
      </c>
      <c r="M36" s="444">
        <f t="shared" si="26"/>
        <v>0</v>
      </c>
      <c r="N36" s="444">
        <f t="shared" si="26"/>
        <v>0</v>
      </c>
      <c r="O36" s="444">
        <f t="shared" si="26"/>
        <v>42000</v>
      </c>
      <c r="P36" s="444">
        <f t="shared" si="26"/>
        <v>42000</v>
      </c>
      <c r="Q36" s="444">
        <f t="shared" si="26"/>
        <v>42000</v>
      </c>
    </row>
    <row r="37" spans="1:19" s="6" customFormat="1" ht="21" customHeight="1" x14ac:dyDescent="0.3">
      <c r="A37" s="188">
        <v>412</v>
      </c>
      <c r="B37" s="192" t="s">
        <v>67</v>
      </c>
      <c r="C37" s="179">
        <f t="shared" ref="C37:D37" si="27">SUM(C38)</f>
        <v>0</v>
      </c>
      <c r="D37" s="179">
        <f t="shared" si="27"/>
        <v>0</v>
      </c>
      <c r="E37" s="179"/>
      <c r="F37" s="179"/>
      <c r="G37" s="179"/>
      <c r="H37" s="179"/>
      <c r="I37" s="179">
        <f>SUM(I38)</f>
        <v>0</v>
      </c>
      <c r="J37" s="179">
        <f t="shared" ref="J37:Q37" si="28">SUM(J38)</f>
        <v>0</v>
      </c>
      <c r="K37" s="179">
        <f t="shared" si="28"/>
        <v>42000</v>
      </c>
      <c r="L37" s="179">
        <f t="shared" si="28"/>
        <v>42000</v>
      </c>
      <c r="M37" s="179">
        <f t="shared" si="28"/>
        <v>0</v>
      </c>
      <c r="N37" s="179">
        <f t="shared" si="28"/>
        <v>0</v>
      </c>
      <c r="O37" s="179">
        <f t="shared" si="28"/>
        <v>42000</v>
      </c>
      <c r="P37" s="179">
        <f t="shared" si="28"/>
        <v>42000</v>
      </c>
      <c r="Q37" s="179">
        <f t="shared" si="28"/>
        <v>42000</v>
      </c>
    </row>
    <row r="38" spans="1:19" customFormat="1" ht="18.600000000000001" customHeight="1" x14ac:dyDescent="0.3">
      <c r="A38" s="189">
        <v>4123</v>
      </c>
      <c r="B38" s="190" t="s">
        <v>68</v>
      </c>
      <c r="C38" s="182"/>
      <c r="D38" s="182"/>
      <c r="E38" s="182"/>
      <c r="F38" s="182"/>
      <c r="G38" s="182"/>
      <c r="H38" s="182"/>
      <c r="I38" s="182"/>
      <c r="J38" s="220"/>
      <c r="K38" s="220">
        <f>11000+31000</f>
        <v>42000</v>
      </c>
      <c r="L38" s="220">
        <f>I38-J38+K38</f>
        <v>42000</v>
      </c>
      <c r="M38" s="182"/>
      <c r="N38" s="182"/>
      <c r="O38" s="182">
        <v>42000</v>
      </c>
      <c r="P38" s="182">
        <v>42000</v>
      </c>
      <c r="Q38" s="182">
        <v>42000</v>
      </c>
    </row>
    <row r="39" spans="1:19" customFormat="1" ht="26.4" x14ac:dyDescent="0.3">
      <c r="A39" s="193" t="s">
        <v>323</v>
      </c>
      <c r="B39" s="186" t="s">
        <v>324</v>
      </c>
      <c r="C39" s="176">
        <f>SUM(C40)</f>
        <v>7000</v>
      </c>
      <c r="D39" s="176">
        <f t="shared" ref="D39:Q39" si="29">SUM(D40)</f>
        <v>0</v>
      </c>
      <c r="E39" s="176">
        <f t="shared" si="29"/>
        <v>0</v>
      </c>
      <c r="F39" s="176">
        <f t="shared" si="29"/>
        <v>7000</v>
      </c>
      <c r="G39" s="176">
        <f t="shared" si="29"/>
        <v>7000</v>
      </c>
      <c r="H39" s="176">
        <f t="shared" si="29"/>
        <v>7000</v>
      </c>
      <c r="I39" s="176">
        <f t="shared" si="29"/>
        <v>7000</v>
      </c>
      <c r="J39" s="176">
        <f t="shared" si="29"/>
        <v>0</v>
      </c>
      <c r="K39" s="176">
        <f t="shared" si="29"/>
        <v>70000</v>
      </c>
      <c r="L39" s="176">
        <f t="shared" si="29"/>
        <v>77000</v>
      </c>
      <c r="M39" s="176">
        <f t="shared" si="29"/>
        <v>7000</v>
      </c>
      <c r="N39" s="176">
        <f t="shared" si="29"/>
        <v>7000</v>
      </c>
      <c r="O39" s="176">
        <f t="shared" si="29"/>
        <v>77000</v>
      </c>
      <c r="P39" s="176">
        <f t="shared" si="29"/>
        <v>77000</v>
      </c>
      <c r="Q39" s="176">
        <f t="shared" si="29"/>
        <v>77000</v>
      </c>
    </row>
    <row r="40" spans="1:19" customFormat="1" ht="14.4" x14ac:dyDescent="0.3">
      <c r="A40" s="188">
        <v>422</v>
      </c>
      <c r="B40" s="192" t="s">
        <v>53</v>
      </c>
      <c r="C40" s="179">
        <f t="shared" ref="C40:N40" si="30">SUM(C42)</f>
        <v>7000</v>
      </c>
      <c r="D40" s="179">
        <f t="shared" si="30"/>
        <v>0</v>
      </c>
      <c r="E40" s="179">
        <f t="shared" si="30"/>
        <v>0</v>
      </c>
      <c r="F40" s="179">
        <f t="shared" si="30"/>
        <v>7000</v>
      </c>
      <c r="G40" s="179">
        <f t="shared" si="30"/>
        <v>7000</v>
      </c>
      <c r="H40" s="179">
        <f t="shared" si="30"/>
        <v>7000</v>
      </c>
      <c r="I40" s="179">
        <f>SUM(I41:I42)</f>
        <v>7000</v>
      </c>
      <c r="J40" s="179">
        <f t="shared" ref="J40:L40" si="31">SUM(J41:J42)</f>
        <v>0</v>
      </c>
      <c r="K40" s="179">
        <f t="shared" si="31"/>
        <v>70000</v>
      </c>
      <c r="L40" s="179">
        <f t="shared" si="31"/>
        <v>77000</v>
      </c>
      <c r="M40" s="179">
        <f t="shared" si="30"/>
        <v>7000</v>
      </c>
      <c r="N40" s="179">
        <f t="shared" si="30"/>
        <v>7000</v>
      </c>
      <c r="O40" s="179">
        <f>SUM(O41,O42)</f>
        <v>77000</v>
      </c>
      <c r="P40" s="179">
        <f t="shared" ref="P40:Q40" si="32">SUM(P41,P42)</f>
        <v>77000</v>
      </c>
      <c r="Q40" s="179">
        <f t="shared" si="32"/>
        <v>77000</v>
      </c>
      <c r="S40" s="445"/>
    </row>
    <row r="41" spans="1:19" customFormat="1" ht="14.4" x14ac:dyDescent="0.3">
      <c r="A41" s="189">
        <v>4221</v>
      </c>
      <c r="B41" s="442" t="s">
        <v>54</v>
      </c>
      <c r="C41" s="219"/>
      <c r="D41" s="219"/>
      <c r="E41" s="219"/>
      <c r="F41" s="219"/>
      <c r="G41" s="219"/>
      <c r="H41" s="219"/>
      <c r="I41" s="219"/>
      <c r="J41" s="219"/>
      <c r="K41" s="220">
        <v>70000</v>
      </c>
      <c r="L41" s="220">
        <f>I41-J41+K41</f>
        <v>70000</v>
      </c>
      <c r="M41" s="219"/>
      <c r="N41" s="219"/>
      <c r="O41" s="220">
        <v>70000</v>
      </c>
      <c r="P41" s="220">
        <v>70000</v>
      </c>
      <c r="Q41" s="220">
        <v>70000</v>
      </c>
      <c r="S41" s="446"/>
    </row>
    <row r="42" spans="1:19" customFormat="1" ht="14.4" x14ac:dyDescent="0.3">
      <c r="A42" s="189">
        <v>4223</v>
      </c>
      <c r="B42" s="190" t="s">
        <v>59</v>
      </c>
      <c r="C42" s="182">
        <v>7000</v>
      </c>
      <c r="D42" s="182"/>
      <c r="E42" s="182"/>
      <c r="F42" s="182">
        <f t="shared" ref="F42" si="33">C42-D42+E42</f>
        <v>7000</v>
      </c>
      <c r="G42" s="182">
        <v>7000</v>
      </c>
      <c r="H42" s="182">
        <v>7000</v>
      </c>
      <c r="I42" s="182">
        <v>7000</v>
      </c>
      <c r="J42" s="220"/>
      <c r="K42" s="220"/>
      <c r="L42" s="220">
        <f>I42-J42+K42</f>
        <v>7000</v>
      </c>
      <c r="M42" s="182">
        <v>7000</v>
      </c>
      <c r="N42" s="182">
        <v>7000</v>
      </c>
      <c r="O42" s="182">
        <v>7000</v>
      </c>
      <c r="P42" s="182">
        <v>7000</v>
      </c>
      <c r="Q42" s="182">
        <v>7000</v>
      </c>
      <c r="S42" s="446"/>
    </row>
    <row r="43" spans="1:19" customFormat="1" ht="18" customHeight="1" x14ac:dyDescent="0.3">
      <c r="A43" s="721" t="s">
        <v>113</v>
      </c>
      <c r="B43" s="721"/>
      <c r="C43" s="173">
        <f t="shared" ref="C43:F43" si="34">SUM(C47,C51,C44)</f>
        <v>40000</v>
      </c>
      <c r="D43" s="173">
        <f t="shared" si="34"/>
        <v>25000</v>
      </c>
      <c r="E43" s="173">
        <f t="shared" si="34"/>
        <v>34000</v>
      </c>
      <c r="F43" s="173">
        <f t="shared" si="34"/>
        <v>49000</v>
      </c>
      <c r="G43" s="173">
        <f t="shared" ref="G43:H43" si="35">SUM(G47,G51,G44)</f>
        <v>40000</v>
      </c>
      <c r="H43" s="173">
        <f t="shared" si="35"/>
        <v>40000</v>
      </c>
      <c r="I43" s="173">
        <f>SUM(I46)</f>
        <v>40000</v>
      </c>
      <c r="J43" s="173">
        <f t="shared" ref="J43:L43" si="36">SUM(J46)</f>
        <v>25000</v>
      </c>
      <c r="K43" s="173">
        <f t="shared" si="36"/>
        <v>25000</v>
      </c>
      <c r="L43" s="173">
        <f t="shared" si="36"/>
        <v>40000</v>
      </c>
      <c r="M43" s="173">
        <f t="shared" ref="M43:N43" si="37">SUM(M46,M51,M44)</f>
        <v>40000</v>
      </c>
      <c r="N43" s="173">
        <f t="shared" si="37"/>
        <v>40000</v>
      </c>
      <c r="O43" s="173">
        <f>SUM(O46)</f>
        <v>80000</v>
      </c>
      <c r="P43" s="173">
        <f t="shared" ref="P43:Q43" si="38">SUM(P46)</f>
        <v>40000</v>
      </c>
      <c r="Q43" s="173">
        <f t="shared" si="38"/>
        <v>40000</v>
      </c>
      <c r="S43" s="448"/>
    </row>
    <row r="44" spans="1:19" customFormat="1" ht="15" hidden="1" customHeight="1" x14ac:dyDescent="0.3">
      <c r="A44" s="177">
        <v>322</v>
      </c>
      <c r="B44" s="178" t="s">
        <v>16</v>
      </c>
      <c r="C44" s="194">
        <f t="shared" ref="C44:D44" si="39">SUM(C45)</f>
        <v>0</v>
      </c>
      <c r="D44" s="194">
        <f t="shared" si="39"/>
        <v>0</v>
      </c>
      <c r="E44" s="194"/>
      <c r="F44" s="194"/>
      <c r="G44" s="194"/>
      <c r="H44" s="194"/>
      <c r="I44" s="194"/>
      <c r="J44" s="389"/>
      <c r="K44" s="389"/>
      <c r="L44" s="389"/>
      <c r="M44" s="194"/>
      <c r="N44" s="194"/>
      <c r="O44" s="194"/>
      <c r="P44" s="194"/>
      <c r="Q44" s="194"/>
      <c r="S44" s="446"/>
    </row>
    <row r="45" spans="1:19" s="7" customFormat="1" ht="15" hidden="1" customHeight="1" x14ac:dyDescent="0.3">
      <c r="A45" s="180">
        <v>3224</v>
      </c>
      <c r="B45" s="181" t="s">
        <v>112</v>
      </c>
      <c r="C45" s="195"/>
      <c r="D45" s="195"/>
      <c r="E45" s="195"/>
      <c r="F45" s="195"/>
      <c r="G45" s="195"/>
      <c r="H45" s="195"/>
      <c r="I45" s="195"/>
      <c r="J45" s="297"/>
      <c r="K45" s="297"/>
      <c r="L45" s="297"/>
      <c r="M45" s="195"/>
      <c r="N45" s="195"/>
      <c r="O45" s="195"/>
      <c r="P45" s="195"/>
      <c r="Q45" s="195"/>
      <c r="S45" s="447"/>
    </row>
    <row r="46" spans="1:19" s="7" customFormat="1" ht="15" customHeight="1" x14ac:dyDescent="0.3">
      <c r="A46" s="174" t="s">
        <v>317</v>
      </c>
      <c r="B46" s="175" t="s">
        <v>318</v>
      </c>
      <c r="C46" s="176">
        <f>SUM(C47,C51)</f>
        <v>40000</v>
      </c>
      <c r="D46" s="176">
        <f t="shared" ref="D46:N46" si="40">SUM(D47,D51)</f>
        <v>25000</v>
      </c>
      <c r="E46" s="176">
        <f t="shared" si="40"/>
        <v>34000</v>
      </c>
      <c r="F46" s="176">
        <f t="shared" si="40"/>
        <v>49000</v>
      </c>
      <c r="G46" s="176">
        <f t="shared" si="40"/>
        <v>40000</v>
      </c>
      <c r="H46" s="176">
        <f t="shared" si="40"/>
        <v>40000</v>
      </c>
      <c r="I46" s="176">
        <f t="shared" si="40"/>
        <v>40000</v>
      </c>
      <c r="J46" s="176">
        <f t="shared" si="40"/>
        <v>25000</v>
      </c>
      <c r="K46" s="176">
        <f t="shared" si="40"/>
        <v>25000</v>
      </c>
      <c r="L46" s="176">
        <f t="shared" si="40"/>
        <v>40000</v>
      </c>
      <c r="M46" s="176">
        <f t="shared" si="40"/>
        <v>40000</v>
      </c>
      <c r="N46" s="176">
        <f t="shared" si="40"/>
        <v>40000</v>
      </c>
      <c r="O46" s="176">
        <f t="shared" ref="O46:P46" si="41">SUM(O47,O51)</f>
        <v>80000</v>
      </c>
      <c r="P46" s="176">
        <f t="shared" si="41"/>
        <v>40000</v>
      </c>
      <c r="Q46" s="176">
        <f t="shared" ref="Q46" si="42">SUM(Q47,Q51)</f>
        <v>40000</v>
      </c>
      <c r="S46" s="447"/>
    </row>
    <row r="47" spans="1:19" customFormat="1" ht="14.25" customHeight="1" x14ac:dyDescent="0.3">
      <c r="A47" s="177">
        <v>323</v>
      </c>
      <c r="B47" s="178" t="s">
        <v>23</v>
      </c>
      <c r="C47" s="194">
        <f t="shared" ref="C47:F47" si="43">SUM(C48:C50)</f>
        <v>40000</v>
      </c>
      <c r="D47" s="194">
        <f t="shared" si="43"/>
        <v>25000</v>
      </c>
      <c r="E47" s="194">
        <f t="shared" si="43"/>
        <v>0</v>
      </c>
      <c r="F47" s="194">
        <f t="shared" si="43"/>
        <v>15000</v>
      </c>
      <c r="G47" s="194">
        <f t="shared" ref="G47:H47" si="44">SUM(G48:G50)</f>
        <v>40000</v>
      </c>
      <c r="H47" s="194">
        <f t="shared" si="44"/>
        <v>40000</v>
      </c>
      <c r="I47" s="194">
        <f t="shared" ref="I47:M47" si="45">SUM(I48:I50)</f>
        <v>40000</v>
      </c>
      <c r="J47" s="194">
        <f t="shared" si="45"/>
        <v>25000</v>
      </c>
      <c r="K47" s="194">
        <f t="shared" si="45"/>
        <v>0</v>
      </c>
      <c r="L47" s="194">
        <f t="shared" si="45"/>
        <v>15000</v>
      </c>
      <c r="M47" s="194">
        <f t="shared" si="45"/>
        <v>40000</v>
      </c>
      <c r="N47" s="194">
        <f t="shared" ref="N47:O47" si="46">SUM(N48:N50)</f>
        <v>40000</v>
      </c>
      <c r="O47" s="194">
        <f t="shared" si="46"/>
        <v>15000</v>
      </c>
      <c r="P47" s="194">
        <f t="shared" ref="P47:Q47" si="47">SUM(P48:P50)</f>
        <v>15000</v>
      </c>
      <c r="Q47" s="194">
        <f t="shared" si="47"/>
        <v>15000</v>
      </c>
      <c r="S47" s="448"/>
    </row>
    <row r="48" spans="1:19" customFormat="1" ht="15" hidden="1" customHeight="1" x14ac:dyDescent="0.3">
      <c r="A48" s="180" t="s">
        <v>161</v>
      </c>
      <c r="B48" s="181" t="s">
        <v>25</v>
      </c>
      <c r="C48" s="195"/>
      <c r="D48" s="195"/>
      <c r="E48" s="195"/>
      <c r="F48" s="195"/>
      <c r="G48" s="195"/>
      <c r="H48" s="195"/>
      <c r="I48" s="195"/>
      <c r="J48" s="297"/>
      <c r="K48" s="297"/>
      <c r="L48" s="297"/>
      <c r="M48" s="195"/>
      <c r="N48" s="195"/>
      <c r="O48" s="195"/>
      <c r="P48" s="195"/>
      <c r="Q48" s="195"/>
      <c r="S48" s="446"/>
    </row>
    <row r="49" spans="1:19" s="7" customFormat="1" ht="15" hidden="1" customHeight="1" x14ac:dyDescent="0.3">
      <c r="A49" s="180">
        <v>3237</v>
      </c>
      <c r="B49" s="196" t="s">
        <v>30</v>
      </c>
      <c r="C49" s="195"/>
      <c r="D49" s="195"/>
      <c r="E49" s="195"/>
      <c r="F49" s="195"/>
      <c r="G49" s="195"/>
      <c r="H49" s="195"/>
      <c r="I49" s="195"/>
      <c r="J49" s="297"/>
      <c r="K49" s="297"/>
      <c r="L49" s="297"/>
      <c r="M49" s="195"/>
      <c r="N49" s="195"/>
      <c r="O49" s="195"/>
      <c r="P49" s="195"/>
      <c r="Q49" s="195"/>
      <c r="S49" s="447"/>
    </row>
    <row r="50" spans="1:19" customFormat="1" ht="15" customHeight="1" x14ac:dyDescent="0.3">
      <c r="A50" s="180">
        <v>3239</v>
      </c>
      <c r="B50" s="181" t="s">
        <v>31</v>
      </c>
      <c r="C50" s="197">
        <v>40000</v>
      </c>
      <c r="D50" s="197">
        <v>25000</v>
      </c>
      <c r="E50" s="197"/>
      <c r="F50" s="182">
        <f t="shared" ref="F50:F52" si="48">C50-D50+E50</f>
        <v>15000</v>
      </c>
      <c r="G50" s="197">
        <v>40000</v>
      </c>
      <c r="H50" s="197">
        <v>40000</v>
      </c>
      <c r="I50" s="197">
        <v>40000</v>
      </c>
      <c r="J50" s="295">
        <v>25000</v>
      </c>
      <c r="K50" s="295"/>
      <c r="L50" s="220">
        <f>I50-J50+K50</f>
        <v>15000</v>
      </c>
      <c r="M50" s="197">
        <v>40000</v>
      </c>
      <c r="N50" s="197">
        <v>40000</v>
      </c>
      <c r="O50" s="197">
        <v>15000</v>
      </c>
      <c r="P50" s="197">
        <v>15000</v>
      </c>
      <c r="Q50" s="197">
        <v>15000</v>
      </c>
      <c r="S50" s="446"/>
    </row>
    <row r="51" spans="1:19" customFormat="1" ht="22.5" customHeight="1" x14ac:dyDescent="0.3">
      <c r="A51" s="177">
        <v>329</v>
      </c>
      <c r="B51" s="198" t="s">
        <v>33</v>
      </c>
      <c r="C51" s="199">
        <f t="shared" ref="C51:Q51" si="49">SUM(C52)</f>
        <v>0</v>
      </c>
      <c r="D51" s="199">
        <f t="shared" si="49"/>
        <v>0</v>
      </c>
      <c r="E51" s="199">
        <f t="shared" si="49"/>
        <v>34000</v>
      </c>
      <c r="F51" s="199">
        <f t="shared" si="49"/>
        <v>34000</v>
      </c>
      <c r="G51" s="199">
        <f t="shared" si="49"/>
        <v>0</v>
      </c>
      <c r="H51" s="199">
        <f t="shared" si="49"/>
        <v>0</v>
      </c>
      <c r="I51" s="199">
        <f t="shared" si="49"/>
        <v>0</v>
      </c>
      <c r="J51" s="199">
        <f t="shared" si="49"/>
        <v>0</v>
      </c>
      <c r="K51" s="199">
        <f t="shared" si="49"/>
        <v>25000</v>
      </c>
      <c r="L51" s="199">
        <f t="shared" si="49"/>
        <v>25000</v>
      </c>
      <c r="M51" s="199">
        <f t="shared" si="49"/>
        <v>0</v>
      </c>
      <c r="N51" s="199">
        <f t="shared" si="49"/>
        <v>0</v>
      </c>
      <c r="O51" s="199">
        <f t="shared" si="49"/>
        <v>65000</v>
      </c>
      <c r="P51" s="199">
        <f t="shared" si="49"/>
        <v>25000</v>
      </c>
      <c r="Q51" s="199">
        <f t="shared" si="49"/>
        <v>25000</v>
      </c>
    </row>
    <row r="52" spans="1:19" customFormat="1" ht="14.25" customHeight="1" x14ac:dyDescent="0.3">
      <c r="A52" s="180">
        <v>3299</v>
      </c>
      <c r="B52" s="181" t="s">
        <v>33</v>
      </c>
      <c r="C52" s="191">
        <v>0</v>
      </c>
      <c r="D52" s="191">
        <v>0</v>
      </c>
      <c r="E52" s="183">
        <v>34000</v>
      </c>
      <c r="F52" s="182">
        <f t="shared" si="48"/>
        <v>34000</v>
      </c>
      <c r="G52" s="191"/>
      <c r="H52" s="191"/>
      <c r="I52" s="191"/>
      <c r="J52" s="233"/>
      <c r="K52" s="233">
        <v>25000</v>
      </c>
      <c r="L52" s="220">
        <f>I52-J52+K52</f>
        <v>25000</v>
      </c>
      <c r="M52" s="191"/>
      <c r="N52" s="191"/>
      <c r="O52" s="191">
        <v>65000</v>
      </c>
      <c r="P52" s="191">
        <v>25000</v>
      </c>
      <c r="Q52" s="191">
        <v>25000</v>
      </c>
    </row>
    <row r="53" spans="1:19" customFormat="1" ht="18" hidden="1" customHeight="1" x14ac:dyDescent="0.3">
      <c r="A53" s="721" t="s">
        <v>232</v>
      </c>
      <c r="B53" s="721"/>
      <c r="C53" s="173">
        <f t="shared" ref="C53:D54" si="50">SUM(C54)</f>
        <v>0</v>
      </c>
      <c r="D53" s="173">
        <f t="shared" si="50"/>
        <v>0</v>
      </c>
      <c r="E53" s="173"/>
      <c r="F53" s="173"/>
      <c r="G53" s="173"/>
      <c r="H53" s="173"/>
      <c r="I53" s="173"/>
      <c r="J53" s="385"/>
      <c r="K53" s="385"/>
      <c r="L53" s="385"/>
      <c r="M53" s="173"/>
      <c r="N53" s="173"/>
      <c r="O53" s="173"/>
      <c r="P53" s="173"/>
      <c r="Q53" s="173"/>
    </row>
    <row r="54" spans="1:19" customFormat="1" ht="14.4" hidden="1" x14ac:dyDescent="0.3">
      <c r="A54" s="188">
        <v>321</v>
      </c>
      <c r="B54" s="178" t="s">
        <v>12</v>
      </c>
      <c r="C54" s="179">
        <f t="shared" si="50"/>
        <v>0</v>
      </c>
      <c r="D54" s="179">
        <f t="shared" si="50"/>
        <v>0</v>
      </c>
      <c r="E54" s="179"/>
      <c r="F54" s="179"/>
      <c r="G54" s="179"/>
      <c r="H54" s="179"/>
      <c r="I54" s="179"/>
      <c r="J54" s="219"/>
      <c r="K54" s="219"/>
      <c r="L54" s="219"/>
      <c r="M54" s="179"/>
      <c r="N54" s="179"/>
      <c r="O54" s="179"/>
      <c r="P54" s="179"/>
      <c r="Q54" s="179"/>
    </row>
    <row r="55" spans="1:19" customFormat="1" ht="14.4" hidden="1" x14ac:dyDescent="0.3">
      <c r="A55" s="189">
        <v>3211</v>
      </c>
      <c r="B55" s="190" t="s">
        <v>13</v>
      </c>
      <c r="C55" s="182"/>
      <c r="D55" s="182"/>
      <c r="E55" s="182"/>
      <c r="F55" s="182"/>
      <c r="G55" s="182"/>
      <c r="H55" s="182"/>
      <c r="I55" s="182"/>
      <c r="J55" s="220"/>
      <c r="K55" s="220"/>
      <c r="L55" s="220"/>
      <c r="M55" s="182"/>
      <c r="N55" s="182"/>
      <c r="O55" s="182"/>
      <c r="P55" s="182"/>
      <c r="Q55" s="182"/>
    </row>
    <row r="56" spans="1:19" customFormat="1" ht="18.75" customHeight="1" x14ac:dyDescent="0.3">
      <c r="A56" s="721" t="s">
        <v>120</v>
      </c>
      <c r="B56" s="721"/>
      <c r="C56" s="173">
        <f>SUM(C64)</f>
        <v>58000</v>
      </c>
      <c r="D56" s="173">
        <f t="shared" ref="D56:F56" si="51">SUM(D64)</f>
        <v>0</v>
      </c>
      <c r="E56" s="173">
        <f t="shared" si="51"/>
        <v>122000</v>
      </c>
      <c r="F56" s="173">
        <f t="shared" si="51"/>
        <v>180000</v>
      </c>
      <c r="G56" s="173">
        <f t="shared" ref="G56:H56" si="52">SUM(G64)</f>
        <v>67000</v>
      </c>
      <c r="H56" s="173">
        <f t="shared" si="52"/>
        <v>67000</v>
      </c>
      <c r="I56" s="173">
        <f t="shared" ref="I56:N56" si="53">SUM(I64)</f>
        <v>67000</v>
      </c>
      <c r="J56" s="173">
        <f t="shared" si="53"/>
        <v>0</v>
      </c>
      <c r="K56" s="173">
        <f t="shared" si="53"/>
        <v>115000</v>
      </c>
      <c r="L56" s="173">
        <f t="shared" si="53"/>
        <v>182000</v>
      </c>
      <c r="M56" s="173">
        <f t="shared" si="53"/>
        <v>67000</v>
      </c>
      <c r="N56" s="173">
        <f t="shared" si="53"/>
        <v>67000</v>
      </c>
      <c r="O56" s="173">
        <f t="shared" ref="O56:P56" si="54">SUM(O64)</f>
        <v>182000</v>
      </c>
      <c r="P56" s="173">
        <f t="shared" si="54"/>
        <v>182000</v>
      </c>
      <c r="Q56" s="173">
        <f t="shared" ref="Q56" si="55">SUM(Q64)</f>
        <v>182000</v>
      </c>
    </row>
    <row r="57" spans="1:19" hidden="1" x14ac:dyDescent="0.3">
      <c r="A57" s="177">
        <v>322</v>
      </c>
      <c r="B57" s="178" t="s">
        <v>16</v>
      </c>
      <c r="C57" s="179">
        <f t="shared" ref="C57:F57" si="56">SUM(C58:C63)</f>
        <v>0</v>
      </c>
      <c r="D57" s="179">
        <f t="shared" si="56"/>
        <v>0</v>
      </c>
      <c r="E57" s="179">
        <f t="shared" si="56"/>
        <v>0</v>
      </c>
      <c r="F57" s="179">
        <f t="shared" si="56"/>
        <v>0</v>
      </c>
      <c r="G57" s="179">
        <f t="shared" ref="G57:H57" si="57">SUM(G58:G63)</f>
        <v>0</v>
      </c>
      <c r="H57" s="179">
        <f t="shared" si="57"/>
        <v>0</v>
      </c>
      <c r="I57" s="179">
        <f t="shared" ref="I57:M57" si="58">SUM(I58:I63)</f>
        <v>0</v>
      </c>
      <c r="J57" s="219"/>
      <c r="K57" s="219"/>
      <c r="L57" s="219"/>
      <c r="M57" s="179">
        <f t="shared" si="58"/>
        <v>0</v>
      </c>
      <c r="N57" s="179">
        <f t="shared" ref="N57:O57" si="59">SUM(N58:N63)</f>
        <v>0</v>
      </c>
      <c r="O57" s="179">
        <f t="shared" si="59"/>
        <v>0</v>
      </c>
      <c r="P57" s="179">
        <f t="shared" ref="P57:Q57" si="60">SUM(P58:P63)</f>
        <v>0</v>
      </c>
      <c r="Q57" s="179">
        <f t="shared" si="60"/>
        <v>0</v>
      </c>
    </row>
    <row r="58" spans="1:19" hidden="1" x14ac:dyDescent="0.3">
      <c r="A58" s="180">
        <v>3221</v>
      </c>
      <c r="B58" s="181" t="s">
        <v>17</v>
      </c>
      <c r="C58" s="182"/>
      <c r="D58" s="182"/>
      <c r="E58" s="182"/>
      <c r="F58" s="182"/>
      <c r="G58" s="182"/>
      <c r="H58" s="182"/>
      <c r="I58" s="182"/>
      <c r="J58" s="220"/>
      <c r="K58" s="220"/>
      <c r="L58" s="220"/>
      <c r="M58" s="182"/>
      <c r="N58" s="182"/>
      <c r="O58" s="182"/>
      <c r="P58" s="182"/>
      <c r="Q58" s="182"/>
    </row>
    <row r="59" spans="1:19" hidden="1" x14ac:dyDescent="0.3">
      <c r="A59" s="180">
        <v>3222</v>
      </c>
      <c r="B59" s="181" t="s">
        <v>18</v>
      </c>
      <c r="C59" s="182"/>
      <c r="D59" s="182"/>
      <c r="E59" s="182"/>
      <c r="F59" s="182"/>
      <c r="G59" s="182"/>
      <c r="H59" s="182"/>
      <c r="I59" s="182"/>
      <c r="J59" s="220"/>
      <c r="K59" s="220"/>
      <c r="L59" s="220"/>
      <c r="M59" s="182"/>
      <c r="N59" s="182"/>
      <c r="O59" s="182"/>
      <c r="P59" s="182"/>
      <c r="Q59" s="182"/>
    </row>
    <row r="60" spans="1:19" hidden="1" x14ac:dyDescent="0.3">
      <c r="A60" s="180">
        <v>3223</v>
      </c>
      <c r="B60" s="181" t="s">
        <v>19</v>
      </c>
      <c r="C60" s="182"/>
      <c r="D60" s="182"/>
      <c r="E60" s="182"/>
      <c r="F60" s="182"/>
      <c r="G60" s="182"/>
      <c r="H60" s="182"/>
      <c r="I60" s="182"/>
      <c r="J60" s="220"/>
      <c r="K60" s="220"/>
      <c r="L60" s="220"/>
      <c r="M60" s="182"/>
      <c r="N60" s="182"/>
      <c r="O60" s="182"/>
      <c r="P60" s="182"/>
      <c r="Q60" s="182"/>
    </row>
    <row r="61" spans="1:19" ht="26.4" hidden="1" x14ac:dyDescent="0.3">
      <c r="A61" s="180">
        <v>3224</v>
      </c>
      <c r="B61" s="181" t="s">
        <v>20</v>
      </c>
      <c r="C61" s="182"/>
      <c r="D61" s="182"/>
      <c r="E61" s="182"/>
      <c r="F61" s="182"/>
      <c r="G61" s="182"/>
      <c r="H61" s="182"/>
      <c r="I61" s="182"/>
      <c r="J61" s="220"/>
      <c r="K61" s="220"/>
      <c r="L61" s="220"/>
      <c r="M61" s="182"/>
      <c r="N61" s="182"/>
      <c r="O61" s="182"/>
      <c r="P61" s="182"/>
      <c r="Q61" s="182"/>
    </row>
    <row r="62" spans="1:19" hidden="1" x14ac:dyDescent="0.3">
      <c r="A62" s="180">
        <v>3225</v>
      </c>
      <c r="B62" s="181" t="s">
        <v>21</v>
      </c>
      <c r="C62" s="182"/>
      <c r="D62" s="182"/>
      <c r="E62" s="182"/>
      <c r="F62" s="182"/>
      <c r="G62" s="182"/>
      <c r="H62" s="182"/>
      <c r="I62" s="182"/>
      <c r="J62" s="220"/>
      <c r="K62" s="220"/>
      <c r="L62" s="220"/>
      <c r="M62" s="182"/>
      <c r="N62" s="182"/>
      <c r="O62" s="182"/>
      <c r="P62" s="182"/>
      <c r="Q62" s="182"/>
    </row>
    <row r="63" spans="1:19" hidden="1" x14ac:dyDescent="0.3">
      <c r="A63" s="180">
        <v>3227</v>
      </c>
      <c r="B63" s="181" t="s">
        <v>22</v>
      </c>
      <c r="C63" s="182"/>
      <c r="D63" s="182"/>
      <c r="E63" s="182"/>
      <c r="F63" s="182"/>
      <c r="G63" s="182"/>
      <c r="H63" s="182"/>
      <c r="I63" s="182"/>
      <c r="J63" s="220"/>
      <c r="K63" s="220"/>
      <c r="L63" s="220"/>
      <c r="M63" s="182"/>
      <c r="N63" s="182"/>
      <c r="O63" s="182"/>
      <c r="P63" s="182"/>
      <c r="Q63" s="182"/>
    </row>
    <row r="64" spans="1:19" x14ac:dyDescent="0.3">
      <c r="A64" s="174" t="s">
        <v>317</v>
      </c>
      <c r="B64" s="175" t="s">
        <v>318</v>
      </c>
      <c r="C64" s="176">
        <f>SUM(C65,C77)</f>
        <v>58000</v>
      </c>
      <c r="D64" s="176">
        <f t="shared" ref="D64:F64" si="61">SUM(D65,D77)</f>
        <v>0</v>
      </c>
      <c r="E64" s="176">
        <f t="shared" si="61"/>
        <v>122000</v>
      </c>
      <c r="F64" s="176">
        <f t="shared" si="61"/>
        <v>180000</v>
      </c>
      <c r="G64" s="176">
        <f t="shared" ref="G64:H64" si="62">SUM(G65,G77)</f>
        <v>67000</v>
      </c>
      <c r="H64" s="176">
        <f t="shared" si="62"/>
        <v>67000</v>
      </c>
      <c r="I64" s="176">
        <f t="shared" ref="I64:N64" si="63">SUM(I65,I77)</f>
        <v>67000</v>
      </c>
      <c r="J64" s="176">
        <f t="shared" si="63"/>
        <v>0</v>
      </c>
      <c r="K64" s="176">
        <f t="shared" si="63"/>
        <v>115000</v>
      </c>
      <c r="L64" s="176">
        <f t="shared" si="63"/>
        <v>182000</v>
      </c>
      <c r="M64" s="176">
        <f t="shared" si="63"/>
        <v>67000</v>
      </c>
      <c r="N64" s="176">
        <f t="shared" si="63"/>
        <v>67000</v>
      </c>
      <c r="O64" s="176">
        <f t="shared" ref="O64:P64" si="64">SUM(O65,O77)</f>
        <v>182000</v>
      </c>
      <c r="P64" s="176">
        <f t="shared" si="64"/>
        <v>182000</v>
      </c>
      <c r="Q64" s="176">
        <f t="shared" ref="Q64" si="65">SUM(Q65,Q77)</f>
        <v>182000</v>
      </c>
    </row>
    <row r="65" spans="1:17" ht="15.75" customHeight="1" x14ac:dyDescent="0.3">
      <c r="A65" s="177">
        <v>323</v>
      </c>
      <c r="B65" s="178" t="s">
        <v>23</v>
      </c>
      <c r="C65" s="179">
        <f t="shared" ref="C65:F65" si="66">SUM(C66:C74)</f>
        <v>2000</v>
      </c>
      <c r="D65" s="179">
        <f t="shared" si="66"/>
        <v>0</v>
      </c>
      <c r="E65" s="179">
        <f t="shared" si="66"/>
        <v>29000</v>
      </c>
      <c r="F65" s="179">
        <f t="shared" si="66"/>
        <v>31000</v>
      </c>
      <c r="G65" s="179">
        <f t="shared" ref="G65:H65" si="67">SUM(G66:G74)</f>
        <v>2000</v>
      </c>
      <c r="H65" s="179">
        <f t="shared" si="67"/>
        <v>2000</v>
      </c>
      <c r="I65" s="179">
        <f t="shared" ref="I65:M65" si="68">SUM(I66:I74)</f>
        <v>2000</v>
      </c>
      <c r="J65" s="179">
        <f t="shared" si="68"/>
        <v>0</v>
      </c>
      <c r="K65" s="179">
        <f t="shared" si="68"/>
        <v>0</v>
      </c>
      <c r="L65" s="179">
        <f t="shared" si="68"/>
        <v>2000</v>
      </c>
      <c r="M65" s="179">
        <f t="shared" si="68"/>
        <v>2000</v>
      </c>
      <c r="N65" s="179">
        <f t="shared" ref="N65:O65" si="69">SUM(N66:N74)</f>
        <v>2000</v>
      </c>
      <c r="O65" s="179">
        <f t="shared" si="69"/>
        <v>2000</v>
      </c>
      <c r="P65" s="179">
        <f t="shared" ref="P65:Q65" si="70">SUM(P66:P74)</f>
        <v>2000</v>
      </c>
      <c r="Q65" s="179">
        <f t="shared" si="70"/>
        <v>2000</v>
      </c>
    </row>
    <row r="66" spans="1:17" hidden="1" x14ac:dyDescent="0.3">
      <c r="A66" s="180">
        <v>3231</v>
      </c>
      <c r="B66" s="181" t="s">
        <v>24</v>
      </c>
      <c r="C66" s="182"/>
      <c r="D66" s="182"/>
      <c r="E66" s="182"/>
      <c r="F66" s="182"/>
      <c r="G66" s="182"/>
      <c r="H66" s="182"/>
      <c r="I66" s="182"/>
      <c r="J66" s="220"/>
      <c r="K66" s="220"/>
      <c r="L66" s="220"/>
      <c r="M66" s="182"/>
      <c r="N66" s="182"/>
      <c r="O66" s="182"/>
      <c r="P66" s="182"/>
      <c r="Q66" s="182"/>
    </row>
    <row r="67" spans="1:17" ht="3" hidden="1" customHeight="1" x14ac:dyDescent="0.3">
      <c r="A67" s="180">
        <v>3232</v>
      </c>
      <c r="B67" s="181" t="s">
        <v>25</v>
      </c>
      <c r="C67" s="182"/>
      <c r="D67" s="182"/>
      <c r="E67" s="182"/>
      <c r="F67" s="182"/>
      <c r="G67" s="182"/>
      <c r="H67" s="182"/>
      <c r="I67" s="182"/>
      <c r="J67" s="220"/>
      <c r="K67" s="220"/>
      <c r="L67" s="220"/>
      <c r="M67" s="182"/>
      <c r="N67" s="182"/>
      <c r="O67" s="182"/>
      <c r="P67" s="182"/>
      <c r="Q67" s="182"/>
    </row>
    <row r="68" spans="1:17" ht="12.6" customHeight="1" x14ac:dyDescent="0.3">
      <c r="A68" s="180">
        <v>3233</v>
      </c>
      <c r="B68" s="181" t="s">
        <v>26</v>
      </c>
      <c r="C68" s="182">
        <v>2000</v>
      </c>
      <c r="D68" s="182"/>
      <c r="E68" s="183">
        <v>20000</v>
      </c>
      <c r="F68" s="182">
        <f t="shared" ref="F68:F70" si="71">C68-D68+E68</f>
        <v>22000</v>
      </c>
      <c r="G68" s="182">
        <v>2000</v>
      </c>
      <c r="H68" s="182">
        <v>2000</v>
      </c>
      <c r="I68" s="182">
        <v>2000</v>
      </c>
      <c r="J68" s="220"/>
      <c r="K68" s="220"/>
      <c r="L68" s="220">
        <f>I68-J68+K68</f>
        <v>2000</v>
      </c>
      <c r="M68" s="182">
        <v>2000</v>
      </c>
      <c r="N68" s="182">
        <v>2000</v>
      </c>
      <c r="O68" s="182">
        <v>2000</v>
      </c>
      <c r="P68" s="182">
        <v>2000</v>
      </c>
      <c r="Q68" s="182">
        <v>2000</v>
      </c>
    </row>
    <row r="69" spans="1:17" hidden="1" x14ac:dyDescent="0.3">
      <c r="A69" s="180">
        <v>3234</v>
      </c>
      <c r="B69" s="181" t="s">
        <v>27</v>
      </c>
      <c r="C69" s="182"/>
      <c r="D69" s="182"/>
      <c r="E69" s="182"/>
      <c r="F69" s="182">
        <f t="shared" si="71"/>
        <v>0</v>
      </c>
      <c r="G69" s="182"/>
      <c r="H69" s="182"/>
      <c r="I69" s="182"/>
      <c r="J69" s="220"/>
      <c r="K69" s="220"/>
      <c r="L69" s="220"/>
      <c r="M69" s="182"/>
      <c r="N69" s="182"/>
      <c r="O69" s="182"/>
      <c r="P69" s="182"/>
      <c r="Q69" s="182"/>
    </row>
    <row r="70" spans="1:17" hidden="1" x14ac:dyDescent="0.3">
      <c r="A70" s="180">
        <v>3235</v>
      </c>
      <c r="B70" s="181" t="s">
        <v>28</v>
      </c>
      <c r="C70" s="182"/>
      <c r="D70" s="182"/>
      <c r="E70" s="183">
        <v>9000</v>
      </c>
      <c r="F70" s="182">
        <f t="shared" si="71"/>
        <v>9000</v>
      </c>
      <c r="G70" s="182"/>
      <c r="H70" s="182"/>
      <c r="I70" s="182"/>
      <c r="J70" s="220"/>
      <c r="K70" s="220"/>
      <c r="L70" s="220"/>
      <c r="M70" s="182"/>
      <c r="N70" s="182"/>
      <c r="O70" s="182"/>
      <c r="P70" s="182"/>
      <c r="Q70" s="182"/>
    </row>
    <row r="71" spans="1:17" hidden="1" x14ac:dyDescent="0.3">
      <c r="A71" s="180">
        <v>3236</v>
      </c>
      <c r="B71" s="181" t="s">
        <v>29</v>
      </c>
      <c r="C71" s="182"/>
      <c r="D71" s="182"/>
      <c r="E71" s="182"/>
      <c r="F71" s="182"/>
      <c r="G71" s="182"/>
      <c r="H71" s="182"/>
      <c r="I71" s="182"/>
      <c r="J71" s="220"/>
      <c r="K71" s="220"/>
      <c r="L71" s="220"/>
      <c r="M71" s="182"/>
      <c r="N71" s="182"/>
      <c r="O71" s="182"/>
      <c r="P71" s="182"/>
      <c r="Q71" s="182"/>
    </row>
    <row r="72" spans="1:17" hidden="1" x14ac:dyDescent="0.3">
      <c r="A72" s="180">
        <v>3237</v>
      </c>
      <c r="B72" s="181" t="s">
        <v>30</v>
      </c>
      <c r="C72" s="182"/>
      <c r="D72" s="182"/>
      <c r="E72" s="182"/>
      <c r="F72" s="182"/>
      <c r="G72" s="182"/>
      <c r="H72" s="182"/>
      <c r="I72" s="182"/>
      <c r="J72" s="220"/>
      <c r="K72" s="220"/>
      <c r="L72" s="220"/>
      <c r="M72" s="182"/>
      <c r="N72" s="182"/>
      <c r="O72" s="182"/>
      <c r="P72" s="182"/>
      <c r="Q72" s="182"/>
    </row>
    <row r="73" spans="1:17" s="24" customFormat="1" hidden="1" x14ac:dyDescent="0.3">
      <c r="A73" s="200">
        <v>3238</v>
      </c>
      <c r="B73" s="201" t="s">
        <v>70</v>
      </c>
      <c r="C73" s="191"/>
      <c r="D73" s="191"/>
      <c r="E73" s="191"/>
      <c r="F73" s="191"/>
      <c r="G73" s="191"/>
      <c r="H73" s="191"/>
      <c r="I73" s="191"/>
      <c r="J73" s="233"/>
      <c r="K73" s="233"/>
      <c r="L73" s="233"/>
      <c r="M73" s="191"/>
      <c r="N73" s="191"/>
      <c r="O73" s="191"/>
      <c r="P73" s="191"/>
      <c r="Q73" s="191"/>
    </row>
    <row r="74" spans="1:17" s="24" customFormat="1" hidden="1" x14ac:dyDescent="0.3">
      <c r="A74" s="200">
        <v>3239</v>
      </c>
      <c r="B74" s="201" t="s">
        <v>31</v>
      </c>
      <c r="C74" s="191"/>
      <c r="D74" s="191"/>
      <c r="E74" s="191"/>
      <c r="F74" s="191"/>
      <c r="G74" s="191"/>
      <c r="H74" s="191"/>
      <c r="I74" s="191"/>
      <c r="J74" s="233"/>
      <c r="K74" s="233"/>
      <c r="L74" s="233"/>
      <c r="M74" s="191"/>
      <c r="N74" s="191"/>
      <c r="O74" s="191"/>
      <c r="P74" s="191"/>
      <c r="Q74" s="191"/>
    </row>
    <row r="75" spans="1:17" customFormat="1" ht="14.4" hidden="1" x14ac:dyDescent="0.3">
      <c r="A75" s="177">
        <v>323</v>
      </c>
      <c r="B75" s="178" t="s">
        <v>23</v>
      </c>
      <c r="C75" s="194">
        <f t="shared" ref="C75:D75" si="72">SUM(C76)</f>
        <v>0</v>
      </c>
      <c r="D75" s="194">
        <f t="shared" si="72"/>
        <v>0</v>
      </c>
      <c r="E75" s="194"/>
      <c r="F75" s="194"/>
      <c r="G75" s="194"/>
      <c r="H75" s="194"/>
      <c r="I75" s="194"/>
      <c r="J75" s="389"/>
      <c r="K75" s="389"/>
      <c r="L75" s="389"/>
      <c r="M75" s="194"/>
      <c r="N75" s="194"/>
      <c r="O75" s="194"/>
      <c r="P75" s="194"/>
      <c r="Q75" s="194"/>
    </row>
    <row r="76" spans="1:17" customFormat="1" ht="14.4" hidden="1" x14ac:dyDescent="0.3">
      <c r="A76" s="180">
        <v>3238</v>
      </c>
      <c r="B76" s="181" t="s">
        <v>70</v>
      </c>
      <c r="C76" s="197"/>
      <c r="D76" s="197"/>
      <c r="E76" s="197"/>
      <c r="F76" s="197"/>
      <c r="G76" s="197"/>
      <c r="H76" s="197"/>
      <c r="I76" s="197"/>
      <c r="J76" s="295"/>
      <c r="K76" s="295"/>
      <c r="L76" s="220"/>
      <c r="M76" s="197"/>
      <c r="N76" s="197"/>
      <c r="O76" s="197"/>
      <c r="P76" s="197"/>
      <c r="Q76" s="197"/>
    </row>
    <row r="77" spans="1:17" customFormat="1" ht="14.4" x14ac:dyDescent="0.3">
      <c r="A77" s="177">
        <v>329</v>
      </c>
      <c r="B77" s="178" t="s">
        <v>33</v>
      </c>
      <c r="C77" s="179">
        <f t="shared" ref="C77:Q77" si="73">SUM(C78)</f>
        <v>56000</v>
      </c>
      <c r="D77" s="179">
        <f t="shared" si="73"/>
        <v>0</v>
      </c>
      <c r="E77" s="179">
        <f t="shared" si="73"/>
        <v>93000</v>
      </c>
      <c r="F77" s="179">
        <f t="shared" si="73"/>
        <v>149000</v>
      </c>
      <c r="G77" s="179">
        <f t="shared" si="73"/>
        <v>65000</v>
      </c>
      <c r="H77" s="179">
        <f t="shared" si="73"/>
        <v>65000</v>
      </c>
      <c r="I77" s="179">
        <f t="shared" si="73"/>
        <v>65000</v>
      </c>
      <c r="J77" s="179">
        <f t="shared" si="73"/>
        <v>0</v>
      </c>
      <c r="K77" s="179">
        <f t="shared" si="73"/>
        <v>115000</v>
      </c>
      <c r="L77" s="179">
        <f t="shared" si="73"/>
        <v>180000</v>
      </c>
      <c r="M77" s="179">
        <f t="shared" si="73"/>
        <v>65000</v>
      </c>
      <c r="N77" s="179">
        <f t="shared" si="73"/>
        <v>65000</v>
      </c>
      <c r="O77" s="179">
        <f t="shared" si="73"/>
        <v>180000</v>
      </c>
      <c r="P77" s="179">
        <f t="shared" si="73"/>
        <v>180000</v>
      </c>
      <c r="Q77" s="179">
        <f t="shared" si="73"/>
        <v>180000</v>
      </c>
    </row>
    <row r="78" spans="1:17" customFormat="1" ht="12.75" customHeight="1" x14ac:dyDescent="0.3">
      <c r="A78" s="180">
        <v>3299</v>
      </c>
      <c r="B78" s="181" t="s">
        <v>33</v>
      </c>
      <c r="C78" s="182">
        <v>56000</v>
      </c>
      <c r="D78" s="182"/>
      <c r="E78" s="182">
        <v>93000</v>
      </c>
      <c r="F78" s="182">
        <f t="shared" ref="F78" si="74">C78-D78+E78</f>
        <v>149000</v>
      </c>
      <c r="G78" s="182">
        <v>65000</v>
      </c>
      <c r="H78" s="182">
        <v>65000</v>
      </c>
      <c r="I78" s="182">
        <v>65000</v>
      </c>
      <c r="J78" s="220"/>
      <c r="K78" s="220">
        <v>115000</v>
      </c>
      <c r="L78" s="220">
        <f>I78-J78+K78</f>
        <v>180000</v>
      </c>
      <c r="M78" s="182">
        <v>65000</v>
      </c>
      <c r="N78" s="182">
        <v>65000</v>
      </c>
      <c r="O78" s="182">
        <v>180000</v>
      </c>
      <c r="P78" s="182">
        <v>180000</v>
      </c>
      <c r="Q78" s="182">
        <v>180000</v>
      </c>
    </row>
    <row r="79" spans="1:17" s="6" customFormat="1" ht="14.4" hidden="1" x14ac:dyDescent="0.3">
      <c r="A79" s="177">
        <v>422</v>
      </c>
      <c r="B79" s="192" t="s">
        <v>53</v>
      </c>
      <c r="C79" s="179">
        <f t="shared" ref="C79:D79" si="75">SUM(C80:C81)</f>
        <v>0</v>
      </c>
      <c r="D79" s="179">
        <f t="shared" si="75"/>
        <v>0</v>
      </c>
      <c r="E79" s="179"/>
      <c r="F79" s="179"/>
      <c r="G79" s="179"/>
      <c r="H79" s="179"/>
      <c r="I79" s="179"/>
      <c r="J79" s="219"/>
      <c r="K79" s="219"/>
      <c r="L79" s="219"/>
      <c r="M79" s="179"/>
      <c r="N79" s="179"/>
      <c r="O79" s="179"/>
      <c r="P79" s="179"/>
      <c r="Q79" s="179"/>
    </row>
    <row r="80" spans="1:17" customFormat="1" ht="14.4" hidden="1" x14ac:dyDescent="0.3">
      <c r="A80" s="180">
        <v>4221</v>
      </c>
      <c r="B80" s="181" t="s">
        <v>54</v>
      </c>
      <c r="C80" s="182"/>
      <c r="D80" s="182"/>
      <c r="E80" s="182"/>
      <c r="F80" s="182"/>
      <c r="G80" s="182"/>
      <c r="H80" s="182"/>
      <c r="I80" s="182"/>
      <c r="J80" s="220"/>
      <c r="K80" s="220"/>
      <c r="L80" s="220"/>
      <c r="M80" s="182"/>
      <c r="N80" s="182"/>
      <c r="O80" s="182"/>
      <c r="P80" s="182"/>
      <c r="Q80" s="182"/>
    </row>
    <row r="81" spans="1:17" customFormat="1" ht="14.4" hidden="1" x14ac:dyDescent="0.3">
      <c r="A81" s="180">
        <v>4223</v>
      </c>
      <c r="B81" s="181" t="s">
        <v>59</v>
      </c>
      <c r="C81" s="182"/>
      <c r="D81" s="182"/>
      <c r="E81" s="182"/>
      <c r="F81" s="182"/>
      <c r="G81" s="182"/>
      <c r="H81" s="182"/>
      <c r="I81" s="182"/>
      <c r="J81" s="220"/>
      <c r="K81" s="220"/>
      <c r="L81" s="220"/>
      <c r="M81" s="182"/>
      <c r="N81" s="182"/>
      <c r="O81" s="182"/>
      <c r="P81" s="182"/>
      <c r="Q81" s="182"/>
    </row>
    <row r="82" spans="1:17" customFormat="1" ht="28.5" customHeight="1" x14ac:dyDescent="0.3">
      <c r="A82" s="170" t="s">
        <v>95</v>
      </c>
      <c r="B82" s="171" t="s">
        <v>96</v>
      </c>
      <c r="C82" s="172">
        <f t="shared" ref="C82:Q82" si="76">SUM(C83)</f>
        <v>93000</v>
      </c>
      <c r="D82" s="172">
        <f>SUM(D83)</f>
        <v>55500</v>
      </c>
      <c r="E82" s="172">
        <f t="shared" si="76"/>
        <v>29000</v>
      </c>
      <c r="F82" s="172">
        <f t="shared" si="76"/>
        <v>66500</v>
      </c>
      <c r="G82" s="172">
        <f t="shared" si="76"/>
        <v>20000</v>
      </c>
      <c r="H82" s="172">
        <f t="shared" si="76"/>
        <v>0</v>
      </c>
      <c r="I82" s="172">
        <f t="shared" si="76"/>
        <v>10000</v>
      </c>
      <c r="J82" s="172">
        <f t="shared" si="76"/>
        <v>5000</v>
      </c>
      <c r="K82" s="172">
        <f t="shared" si="76"/>
        <v>5000</v>
      </c>
      <c r="L82" s="172">
        <f t="shared" si="76"/>
        <v>10000</v>
      </c>
      <c r="M82" s="172">
        <f t="shared" si="76"/>
        <v>0</v>
      </c>
      <c r="N82" s="172">
        <f t="shared" si="76"/>
        <v>0</v>
      </c>
      <c r="O82" s="172">
        <f t="shared" si="76"/>
        <v>10000</v>
      </c>
      <c r="P82" s="172">
        <f t="shared" si="76"/>
        <v>10000</v>
      </c>
      <c r="Q82" s="172">
        <f t="shared" si="76"/>
        <v>10000</v>
      </c>
    </row>
    <row r="83" spans="1:17" customFormat="1" ht="18" customHeight="1" x14ac:dyDescent="0.3">
      <c r="A83" s="721" t="s">
        <v>94</v>
      </c>
      <c r="B83" s="721"/>
      <c r="C83" s="173">
        <f t="shared" ref="C83:Q83" si="77">SUM(C84,C135)</f>
        <v>93000</v>
      </c>
      <c r="D83" s="173">
        <f t="shared" si="77"/>
        <v>55500</v>
      </c>
      <c r="E83" s="173">
        <f t="shared" si="77"/>
        <v>29000</v>
      </c>
      <c r="F83" s="173">
        <f t="shared" si="77"/>
        <v>66500</v>
      </c>
      <c r="G83" s="173">
        <f t="shared" si="77"/>
        <v>20000</v>
      </c>
      <c r="H83" s="173">
        <f t="shared" si="77"/>
        <v>0</v>
      </c>
      <c r="I83" s="173">
        <f t="shared" si="77"/>
        <v>10000</v>
      </c>
      <c r="J83" s="173">
        <f t="shared" si="77"/>
        <v>5000</v>
      </c>
      <c r="K83" s="173">
        <f t="shared" si="77"/>
        <v>5000</v>
      </c>
      <c r="L83" s="173">
        <f t="shared" si="77"/>
        <v>10000</v>
      </c>
      <c r="M83" s="173">
        <f t="shared" si="77"/>
        <v>0</v>
      </c>
      <c r="N83" s="173">
        <f t="shared" si="77"/>
        <v>0</v>
      </c>
      <c r="O83" s="173">
        <f t="shared" si="77"/>
        <v>10000</v>
      </c>
      <c r="P83" s="173">
        <f t="shared" si="77"/>
        <v>10000</v>
      </c>
      <c r="Q83" s="173">
        <f t="shared" si="77"/>
        <v>10000</v>
      </c>
    </row>
    <row r="84" spans="1:17" customFormat="1" ht="21" customHeight="1" x14ac:dyDescent="0.3">
      <c r="A84" s="174" t="s">
        <v>317</v>
      </c>
      <c r="B84" s="175" t="s">
        <v>318</v>
      </c>
      <c r="C84" s="176">
        <f>SUM(C85,C90,C100,C102,C104,C87)</f>
        <v>93000</v>
      </c>
      <c r="D84" s="176">
        <f>SUM(D90,D100,D102,D104,D87)</f>
        <v>55500</v>
      </c>
      <c r="E84" s="176">
        <f>SUM(E90,E100,E102,E104,E87)</f>
        <v>29000</v>
      </c>
      <c r="F84" s="176">
        <f t="shared" ref="F84:Q84" si="78">SUM(F85,F90,F100,F102,F104,F87)</f>
        <v>66500</v>
      </c>
      <c r="G84" s="176">
        <f t="shared" si="78"/>
        <v>20000</v>
      </c>
      <c r="H84" s="176">
        <f t="shared" si="78"/>
        <v>0</v>
      </c>
      <c r="I84" s="176">
        <f t="shared" si="78"/>
        <v>10000</v>
      </c>
      <c r="J84" s="176">
        <f t="shared" si="78"/>
        <v>5000</v>
      </c>
      <c r="K84" s="176">
        <f t="shared" si="78"/>
        <v>5000</v>
      </c>
      <c r="L84" s="176">
        <f t="shared" si="78"/>
        <v>10000</v>
      </c>
      <c r="M84" s="176">
        <f t="shared" si="78"/>
        <v>0</v>
      </c>
      <c r="N84" s="176">
        <f t="shared" si="78"/>
        <v>0</v>
      </c>
      <c r="O84" s="176">
        <f t="shared" si="78"/>
        <v>10000</v>
      </c>
      <c r="P84" s="176">
        <f t="shared" si="78"/>
        <v>10000</v>
      </c>
      <c r="Q84" s="176">
        <f t="shared" si="78"/>
        <v>10000</v>
      </c>
    </row>
    <row r="85" spans="1:17" customFormat="1" ht="18" customHeight="1" x14ac:dyDescent="0.3">
      <c r="A85" s="188" t="s">
        <v>149</v>
      </c>
      <c r="B85" s="192" t="s">
        <v>12</v>
      </c>
      <c r="C85" s="202">
        <f t="shared" ref="C85:Q85" si="79">SUM(C86)</f>
        <v>0</v>
      </c>
      <c r="D85" s="202">
        <f t="shared" si="79"/>
        <v>0</v>
      </c>
      <c r="E85" s="202">
        <f t="shared" si="79"/>
        <v>0</v>
      </c>
      <c r="F85" s="202">
        <f t="shared" si="79"/>
        <v>0</v>
      </c>
      <c r="G85" s="202">
        <f t="shared" si="79"/>
        <v>0</v>
      </c>
      <c r="H85" s="202">
        <f t="shared" si="79"/>
        <v>0</v>
      </c>
      <c r="I85" s="202">
        <f t="shared" si="79"/>
        <v>10000</v>
      </c>
      <c r="J85" s="202">
        <f t="shared" si="79"/>
        <v>5000</v>
      </c>
      <c r="K85" s="202">
        <f t="shared" si="79"/>
        <v>0</v>
      </c>
      <c r="L85" s="202">
        <f t="shared" si="79"/>
        <v>5000</v>
      </c>
      <c r="M85" s="202">
        <f t="shared" si="79"/>
        <v>0</v>
      </c>
      <c r="N85" s="202">
        <f t="shared" si="79"/>
        <v>0</v>
      </c>
      <c r="O85" s="202">
        <f t="shared" si="79"/>
        <v>5000</v>
      </c>
      <c r="P85" s="202">
        <f t="shared" si="79"/>
        <v>5000</v>
      </c>
      <c r="Q85" s="202">
        <f t="shared" si="79"/>
        <v>5000</v>
      </c>
    </row>
    <row r="86" spans="1:17" customFormat="1" ht="12.75" customHeight="1" x14ac:dyDescent="0.3">
      <c r="A86" s="189" t="s">
        <v>150</v>
      </c>
      <c r="B86" s="190" t="s">
        <v>13</v>
      </c>
      <c r="C86" s="191"/>
      <c r="D86" s="191"/>
      <c r="E86" s="191"/>
      <c r="F86" s="182">
        <f t="shared" ref="F86:F89" si="80">C86-D86+E86</f>
        <v>0</v>
      </c>
      <c r="G86" s="191"/>
      <c r="H86" s="191"/>
      <c r="I86" s="191">
        <v>10000</v>
      </c>
      <c r="J86" s="233">
        <v>5000</v>
      </c>
      <c r="K86" s="233"/>
      <c r="L86" s="220">
        <f>I86-J86+K86</f>
        <v>5000</v>
      </c>
      <c r="M86" s="191"/>
      <c r="N86" s="191"/>
      <c r="O86" s="191">
        <v>5000</v>
      </c>
      <c r="P86" s="191">
        <v>5000</v>
      </c>
      <c r="Q86" s="191">
        <v>5000</v>
      </c>
    </row>
    <row r="87" spans="1:17" customFormat="1" ht="14.4" hidden="1" x14ac:dyDescent="0.3">
      <c r="A87" s="177">
        <v>322</v>
      </c>
      <c r="B87" s="178" t="s">
        <v>16</v>
      </c>
      <c r="C87" s="179">
        <f t="shared" ref="C87:N87" si="81">SUM(C88:C89)</f>
        <v>9500</v>
      </c>
      <c r="D87" s="179">
        <f t="shared" si="81"/>
        <v>0</v>
      </c>
      <c r="E87" s="179">
        <f t="shared" si="81"/>
        <v>1000</v>
      </c>
      <c r="F87" s="179">
        <f t="shared" si="81"/>
        <v>10500</v>
      </c>
      <c r="G87" s="179">
        <f t="shared" si="81"/>
        <v>0</v>
      </c>
      <c r="H87" s="179">
        <f t="shared" si="81"/>
        <v>0</v>
      </c>
      <c r="I87" s="179">
        <f t="shared" si="81"/>
        <v>0</v>
      </c>
      <c r="J87" s="179">
        <f t="shared" si="81"/>
        <v>0</v>
      </c>
      <c r="K87" s="179">
        <f t="shared" si="81"/>
        <v>0</v>
      </c>
      <c r="L87" s="179">
        <f t="shared" si="81"/>
        <v>0</v>
      </c>
      <c r="M87" s="179">
        <f t="shared" si="81"/>
        <v>0</v>
      </c>
      <c r="N87" s="179">
        <f t="shared" si="81"/>
        <v>0</v>
      </c>
      <c r="O87" s="179">
        <f t="shared" ref="O87:P87" si="82">SUM(O88:O89)</f>
        <v>0</v>
      </c>
      <c r="P87" s="179">
        <f t="shared" si="82"/>
        <v>0</v>
      </c>
      <c r="Q87" s="179">
        <f t="shared" ref="Q87" si="83">SUM(Q88:Q89)</f>
        <v>0</v>
      </c>
    </row>
    <row r="88" spans="1:17" customFormat="1" ht="26.4" hidden="1" x14ac:dyDescent="0.3">
      <c r="A88" s="203">
        <v>3224</v>
      </c>
      <c r="B88" s="181" t="s">
        <v>20</v>
      </c>
      <c r="C88" s="182">
        <v>7400</v>
      </c>
      <c r="D88" s="179"/>
      <c r="E88" s="182"/>
      <c r="F88" s="182">
        <f t="shared" si="80"/>
        <v>7400</v>
      </c>
      <c r="G88" s="182"/>
      <c r="H88" s="182"/>
      <c r="I88" s="182"/>
      <c r="J88" s="220"/>
      <c r="K88" s="220"/>
      <c r="L88" s="220"/>
      <c r="M88" s="182"/>
      <c r="N88" s="182"/>
      <c r="O88" s="182"/>
      <c r="P88" s="182"/>
      <c r="Q88" s="182"/>
    </row>
    <row r="89" spans="1:17" customFormat="1" ht="14.4" hidden="1" x14ac:dyDescent="0.3">
      <c r="A89" s="203">
        <v>3225</v>
      </c>
      <c r="B89" s="190" t="s">
        <v>21</v>
      </c>
      <c r="C89" s="182">
        <v>2100</v>
      </c>
      <c r="D89" s="179"/>
      <c r="E89" s="182">
        <v>1000</v>
      </c>
      <c r="F89" s="182">
        <f t="shared" si="80"/>
        <v>3100</v>
      </c>
      <c r="G89" s="182"/>
      <c r="H89" s="182"/>
      <c r="I89" s="182"/>
      <c r="J89" s="220"/>
      <c r="K89" s="220"/>
      <c r="L89" s="220"/>
      <c r="M89" s="182"/>
      <c r="N89" s="182"/>
      <c r="O89" s="182"/>
      <c r="P89" s="182"/>
      <c r="Q89" s="182"/>
    </row>
    <row r="90" spans="1:17" ht="13.5" customHeight="1" x14ac:dyDescent="0.3">
      <c r="A90" s="177">
        <v>323</v>
      </c>
      <c r="B90" s="178" t="s">
        <v>23</v>
      </c>
      <c r="C90" s="179">
        <f t="shared" ref="C90:F90" si="84">SUM(C91:C99)</f>
        <v>30500</v>
      </c>
      <c r="D90" s="179">
        <f t="shared" si="84"/>
        <v>28500</v>
      </c>
      <c r="E90" s="179">
        <f t="shared" si="84"/>
        <v>0</v>
      </c>
      <c r="F90" s="179">
        <f t="shared" si="84"/>
        <v>2000</v>
      </c>
      <c r="G90" s="179">
        <f t="shared" ref="G90:H90" si="85">SUM(G91:G99)</f>
        <v>0</v>
      </c>
      <c r="H90" s="179">
        <f t="shared" si="85"/>
        <v>0</v>
      </c>
      <c r="I90" s="179">
        <f t="shared" ref="I90:M90" si="86">SUM(I91:I99)</f>
        <v>0</v>
      </c>
      <c r="J90" s="179">
        <f t="shared" si="86"/>
        <v>0</v>
      </c>
      <c r="K90" s="179">
        <f t="shared" si="86"/>
        <v>5000</v>
      </c>
      <c r="L90" s="179">
        <f t="shared" si="86"/>
        <v>5000</v>
      </c>
      <c r="M90" s="179">
        <f t="shared" si="86"/>
        <v>0</v>
      </c>
      <c r="N90" s="179">
        <f t="shared" ref="N90:O90" si="87">SUM(N91:N99)</f>
        <v>0</v>
      </c>
      <c r="O90" s="179">
        <f t="shared" si="87"/>
        <v>5000</v>
      </c>
      <c r="P90" s="179">
        <f t="shared" ref="P90:Q90" si="88">SUM(P91:P99)</f>
        <v>5000</v>
      </c>
      <c r="Q90" s="179">
        <f t="shared" si="88"/>
        <v>5000</v>
      </c>
    </row>
    <row r="91" spans="1:17" hidden="1" x14ac:dyDescent="0.3">
      <c r="A91" s="180">
        <v>3231</v>
      </c>
      <c r="B91" s="181" t="s">
        <v>24</v>
      </c>
      <c r="C91" s="182"/>
      <c r="D91" s="182"/>
      <c r="E91" s="182"/>
      <c r="F91" s="182"/>
      <c r="G91" s="182"/>
      <c r="H91" s="182"/>
      <c r="I91" s="182"/>
      <c r="J91" s="220"/>
      <c r="K91" s="220"/>
      <c r="L91" s="220"/>
      <c r="M91" s="182"/>
      <c r="N91" s="182"/>
      <c r="O91" s="182"/>
      <c r="P91" s="182"/>
      <c r="Q91" s="182"/>
    </row>
    <row r="92" spans="1:17" hidden="1" x14ac:dyDescent="0.3">
      <c r="A92" s="180">
        <v>3232</v>
      </c>
      <c r="B92" s="181" t="s">
        <v>25</v>
      </c>
      <c r="C92" s="182">
        <v>0</v>
      </c>
      <c r="D92" s="182">
        <v>0</v>
      </c>
      <c r="E92" s="182"/>
      <c r="F92" s="182"/>
      <c r="G92" s="182"/>
      <c r="H92" s="182"/>
      <c r="I92" s="182"/>
      <c r="J92" s="220"/>
      <c r="K92" s="220"/>
      <c r="L92" s="220"/>
      <c r="M92" s="182"/>
      <c r="N92" s="182"/>
      <c r="O92" s="182"/>
      <c r="P92" s="182"/>
      <c r="Q92" s="182"/>
    </row>
    <row r="93" spans="1:17" hidden="1" x14ac:dyDescent="0.3">
      <c r="A93" s="180">
        <v>3234</v>
      </c>
      <c r="B93" s="181" t="s">
        <v>27</v>
      </c>
      <c r="C93" s="182">
        <v>0</v>
      </c>
      <c r="D93" s="182">
        <v>0</v>
      </c>
      <c r="E93" s="182"/>
      <c r="F93" s="182"/>
      <c r="G93" s="182"/>
      <c r="H93" s="182"/>
      <c r="I93" s="182"/>
      <c r="J93" s="220"/>
      <c r="K93" s="220"/>
      <c r="L93" s="220"/>
      <c r="M93" s="182"/>
      <c r="N93" s="182"/>
      <c r="O93" s="182"/>
      <c r="P93" s="182"/>
      <c r="Q93" s="182"/>
    </row>
    <row r="94" spans="1:17" hidden="1" x14ac:dyDescent="0.3">
      <c r="A94" s="180">
        <v>3234</v>
      </c>
      <c r="B94" s="181" t="s">
        <v>27</v>
      </c>
      <c r="C94" s="182">
        <v>0</v>
      </c>
      <c r="D94" s="182">
        <v>0</v>
      </c>
      <c r="E94" s="182"/>
      <c r="F94" s="182"/>
      <c r="G94" s="182"/>
      <c r="H94" s="182"/>
      <c r="I94" s="182"/>
      <c r="J94" s="220"/>
      <c r="K94" s="220"/>
      <c r="L94" s="220"/>
      <c r="M94" s="182"/>
      <c r="N94" s="182"/>
      <c r="O94" s="182"/>
      <c r="P94" s="182"/>
      <c r="Q94" s="182"/>
    </row>
    <row r="95" spans="1:17" hidden="1" x14ac:dyDescent="0.3">
      <c r="A95" s="180">
        <v>3235</v>
      </c>
      <c r="B95" s="181" t="s">
        <v>28</v>
      </c>
      <c r="C95" s="182">
        <v>0</v>
      </c>
      <c r="D95" s="182">
        <v>0</v>
      </c>
      <c r="E95" s="182"/>
      <c r="F95" s="182"/>
      <c r="G95" s="182"/>
      <c r="H95" s="182"/>
      <c r="I95" s="182"/>
      <c r="J95" s="220"/>
      <c r="K95" s="220"/>
      <c r="L95" s="220"/>
      <c r="M95" s="182"/>
      <c r="N95" s="182"/>
      <c r="O95" s="182"/>
      <c r="P95" s="182"/>
      <c r="Q95" s="182"/>
    </row>
    <row r="96" spans="1:17" ht="16.5" hidden="1" customHeight="1" x14ac:dyDescent="0.3">
      <c r="A96" s="180">
        <v>3236</v>
      </c>
      <c r="B96" s="181" t="s">
        <v>29</v>
      </c>
      <c r="C96" s="182">
        <v>0</v>
      </c>
      <c r="D96" s="182">
        <v>0</v>
      </c>
      <c r="E96" s="182"/>
      <c r="F96" s="182"/>
      <c r="G96" s="182"/>
      <c r="H96" s="182"/>
      <c r="I96" s="182"/>
      <c r="J96" s="220"/>
      <c r="K96" s="220"/>
      <c r="L96" s="220"/>
      <c r="M96" s="182"/>
      <c r="N96" s="182"/>
      <c r="O96" s="182"/>
      <c r="P96" s="182"/>
      <c r="Q96" s="182"/>
    </row>
    <row r="97" spans="1:17" hidden="1" x14ac:dyDescent="0.3">
      <c r="A97" s="180">
        <v>3237</v>
      </c>
      <c r="B97" s="181" t="s">
        <v>30</v>
      </c>
      <c r="C97" s="182">
        <v>28500</v>
      </c>
      <c r="D97" s="182">
        <v>28500</v>
      </c>
      <c r="E97" s="182"/>
      <c r="F97" s="182">
        <f>C97-D97+E97</f>
        <v>0</v>
      </c>
      <c r="G97" s="182"/>
      <c r="H97" s="182"/>
      <c r="I97" s="182"/>
      <c r="J97" s="220"/>
      <c r="K97" s="220"/>
      <c r="L97" s="220"/>
      <c r="M97" s="182"/>
      <c r="N97" s="182"/>
      <c r="O97" s="182"/>
      <c r="P97" s="182"/>
      <c r="Q97" s="182"/>
    </row>
    <row r="98" spans="1:17" hidden="1" x14ac:dyDescent="0.3">
      <c r="A98" s="180">
        <v>3238</v>
      </c>
      <c r="B98" s="181" t="s">
        <v>70</v>
      </c>
      <c r="C98" s="182">
        <v>0</v>
      </c>
      <c r="D98" s="182">
        <v>0</v>
      </c>
      <c r="E98" s="182"/>
      <c r="F98" s="182">
        <f t="shared" ref="F98:F99" si="89">C98-D98+E98</f>
        <v>0</v>
      </c>
      <c r="G98" s="182"/>
      <c r="H98" s="182"/>
      <c r="I98" s="182"/>
      <c r="J98" s="220"/>
      <c r="K98" s="220"/>
      <c r="L98" s="220"/>
      <c r="M98" s="182"/>
      <c r="N98" s="182"/>
      <c r="O98" s="182"/>
      <c r="P98" s="182"/>
      <c r="Q98" s="182"/>
    </row>
    <row r="99" spans="1:17" ht="13.05" customHeight="1" x14ac:dyDescent="0.3">
      <c r="A99" s="180">
        <v>3239</v>
      </c>
      <c r="B99" s="181" t="s">
        <v>31</v>
      </c>
      <c r="C99" s="182">
        <v>2000</v>
      </c>
      <c r="D99" s="182"/>
      <c r="E99" s="182"/>
      <c r="F99" s="182">
        <f t="shared" si="89"/>
        <v>2000</v>
      </c>
      <c r="G99" s="182"/>
      <c r="H99" s="182"/>
      <c r="I99" s="182"/>
      <c r="J99" s="220"/>
      <c r="K99" s="220">
        <v>5000</v>
      </c>
      <c r="L99" s="220">
        <f>I99-J99+K99</f>
        <v>5000</v>
      </c>
      <c r="M99" s="182"/>
      <c r="N99" s="182"/>
      <c r="O99" s="182">
        <v>5000</v>
      </c>
      <c r="P99" s="182">
        <v>5000</v>
      </c>
      <c r="Q99" s="182">
        <v>5000</v>
      </c>
    </row>
    <row r="100" spans="1:17" ht="26.4" hidden="1" x14ac:dyDescent="0.3">
      <c r="A100" s="188" t="s">
        <v>168</v>
      </c>
      <c r="B100" s="192" t="s">
        <v>32</v>
      </c>
      <c r="C100" s="202">
        <f t="shared" ref="C100:Q100" si="90">SUM(C101)</f>
        <v>27000</v>
      </c>
      <c r="D100" s="202">
        <f t="shared" si="90"/>
        <v>27000</v>
      </c>
      <c r="E100" s="202">
        <f t="shared" si="90"/>
        <v>0</v>
      </c>
      <c r="F100" s="202">
        <f t="shared" si="90"/>
        <v>0</v>
      </c>
      <c r="G100" s="202">
        <f t="shared" si="90"/>
        <v>0</v>
      </c>
      <c r="H100" s="202">
        <f t="shared" si="90"/>
        <v>0</v>
      </c>
      <c r="I100" s="202">
        <f t="shared" si="90"/>
        <v>0</v>
      </c>
      <c r="J100" s="202">
        <f t="shared" si="90"/>
        <v>0</v>
      </c>
      <c r="K100" s="202">
        <f t="shared" si="90"/>
        <v>0</v>
      </c>
      <c r="L100" s="202">
        <f t="shared" si="90"/>
        <v>0</v>
      </c>
      <c r="M100" s="202">
        <f t="shared" si="90"/>
        <v>0</v>
      </c>
      <c r="N100" s="202">
        <f t="shared" si="90"/>
        <v>0</v>
      </c>
      <c r="O100" s="202">
        <f t="shared" si="90"/>
        <v>0</v>
      </c>
      <c r="P100" s="202">
        <f t="shared" si="90"/>
        <v>0</v>
      </c>
      <c r="Q100" s="202">
        <f t="shared" si="90"/>
        <v>0</v>
      </c>
    </row>
    <row r="101" spans="1:17" ht="24.6" hidden="1" customHeight="1" x14ac:dyDescent="0.3">
      <c r="A101" s="189" t="s">
        <v>169</v>
      </c>
      <c r="B101" s="190" t="s">
        <v>32</v>
      </c>
      <c r="C101" s="191">
        <v>27000</v>
      </c>
      <c r="D101" s="191">
        <v>27000</v>
      </c>
      <c r="E101" s="191"/>
      <c r="F101" s="182">
        <f t="shared" ref="F101:F105" si="91">C101-D101+E101</f>
        <v>0</v>
      </c>
      <c r="G101" s="191"/>
      <c r="H101" s="191"/>
      <c r="I101" s="191"/>
      <c r="J101" s="233"/>
      <c r="K101" s="233"/>
      <c r="L101" s="220"/>
      <c r="M101" s="191"/>
      <c r="N101" s="191"/>
      <c r="O101" s="191"/>
      <c r="P101" s="191"/>
      <c r="Q101" s="191"/>
    </row>
    <row r="102" spans="1:17" ht="15.6" hidden="1" customHeight="1" x14ac:dyDescent="0.3">
      <c r="A102" s="188">
        <v>412</v>
      </c>
      <c r="B102" s="192" t="s">
        <v>67</v>
      </c>
      <c r="C102" s="179">
        <f t="shared" ref="C102:Q102" si="92">SUM(C103)</f>
        <v>4000</v>
      </c>
      <c r="D102" s="179">
        <f t="shared" si="92"/>
        <v>0</v>
      </c>
      <c r="E102" s="179">
        <f t="shared" si="92"/>
        <v>0</v>
      </c>
      <c r="F102" s="179">
        <f>SUM(F103)</f>
        <v>4000</v>
      </c>
      <c r="G102" s="179">
        <f t="shared" si="92"/>
        <v>0</v>
      </c>
      <c r="H102" s="179">
        <f t="shared" si="92"/>
        <v>0</v>
      </c>
      <c r="I102" s="179">
        <f t="shared" si="92"/>
        <v>0</v>
      </c>
      <c r="J102" s="179">
        <f t="shared" si="92"/>
        <v>0</v>
      </c>
      <c r="K102" s="179">
        <f t="shared" si="92"/>
        <v>0</v>
      </c>
      <c r="L102" s="179">
        <f t="shared" si="92"/>
        <v>0</v>
      </c>
      <c r="M102" s="179">
        <f t="shared" si="92"/>
        <v>0</v>
      </c>
      <c r="N102" s="179">
        <f t="shared" si="92"/>
        <v>0</v>
      </c>
      <c r="O102" s="179">
        <f t="shared" si="92"/>
        <v>0</v>
      </c>
      <c r="P102" s="179">
        <f t="shared" si="92"/>
        <v>0</v>
      </c>
      <c r="Q102" s="179">
        <f t="shared" si="92"/>
        <v>0</v>
      </c>
    </row>
    <row r="103" spans="1:17" ht="16.5" hidden="1" customHeight="1" x14ac:dyDescent="0.3">
      <c r="A103" s="189">
        <v>4123</v>
      </c>
      <c r="B103" s="190" t="s">
        <v>68</v>
      </c>
      <c r="C103" s="182">
        <v>4000</v>
      </c>
      <c r="D103" s="182"/>
      <c r="E103" s="182"/>
      <c r="F103" s="182">
        <f t="shared" si="91"/>
        <v>4000</v>
      </c>
      <c r="G103" s="182"/>
      <c r="H103" s="182"/>
      <c r="I103" s="182"/>
      <c r="J103" s="220"/>
      <c r="K103" s="220"/>
      <c r="L103" s="220"/>
      <c r="M103" s="182"/>
      <c r="N103" s="182"/>
      <c r="O103" s="182"/>
      <c r="P103" s="182"/>
      <c r="Q103" s="182"/>
    </row>
    <row r="104" spans="1:17" customFormat="1" ht="14.4" hidden="1" x14ac:dyDescent="0.3">
      <c r="A104" s="188">
        <v>422</v>
      </c>
      <c r="B104" s="192" t="s">
        <v>53</v>
      </c>
      <c r="C104" s="179">
        <f t="shared" ref="C104:E104" si="93">SUM(C105:C106)</f>
        <v>22000</v>
      </c>
      <c r="D104" s="179">
        <f t="shared" si="93"/>
        <v>0</v>
      </c>
      <c r="E104" s="179">
        <f t="shared" si="93"/>
        <v>28000</v>
      </c>
      <c r="F104" s="179">
        <f>SUM(F105)</f>
        <v>50000</v>
      </c>
      <c r="G104" s="179">
        <f t="shared" ref="G104:H104" si="94">SUM(G105:G106)</f>
        <v>20000</v>
      </c>
      <c r="H104" s="179">
        <f t="shared" si="94"/>
        <v>0</v>
      </c>
      <c r="I104" s="179">
        <f t="shared" ref="I104:M104" si="95">SUM(I105:I106)</f>
        <v>0</v>
      </c>
      <c r="J104" s="179">
        <f t="shared" si="95"/>
        <v>0</v>
      </c>
      <c r="K104" s="179">
        <f t="shared" si="95"/>
        <v>0</v>
      </c>
      <c r="L104" s="179">
        <f t="shared" si="95"/>
        <v>0</v>
      </c>
      <c r="M104" s="179">
        <f t="shared" si="95"/>
        <v>0</v>
      </c>
      <c r="N104" s="179">
        <f t="shared" ref="N104:O104" si="96">SUM(N105:N106)</f>
        <v>0</v>
      </c>
      <c r="O104" s="179">
        <f t="shared" si="96"/>
        <v>0</v>
      </c>
      <c r="P104" s="179">
        <f t="shared" ref="P104:Q104" si="97">SUM(P105:P106)</f>
        <v>0</v>
      </c>
      <c r="Q104" s="179">
        <f t="shared" si="97"/>
        <v>0</v>
      </c>
    </row>
    <row r="105" spans="1:17" customFormat="1" ht="15" hidden="1" customHeight="1" x14ac:dyDescent="0.3">
      <c r="A105" s="189">
        <v>4221</v>
      </c>
      <c r="B105" s="190" t="s">
        <v>54</v>
      </c>
      <c r="C105" s="182">
        <v>22000</v>
      </c>
      <c r="D105" s="182"/>
      <c r="E105" s="182">
        <v>28000</v>
      </c>
      <c r="F105" s="182">
        <f t="shared" si="91"/>
        <v>50000</v>
      </c>
      <c r="G105" s="182">
        <v>20000</v>
      </c>
      <c r="H105" s="182"/>
      <c r="I105" s="182"/>
      <c r="J105" s="220"/>
      <c r="K105" s="220"/>
      <c r="L105" s="220"/>
      <c r="M105" s="182"/>
      <c r="N105" s="182"/>
      <c r="O105" s="182"/>
      <c r="P105" s="182"/>
      <c r="Q105" s="182"/>
    </row>
    <row r="106" spans="1:17" customFormat="1" ht="2.25" hidden="1" customHeight="1" x14ac:dyDescent="0.3">
      <c r="A106" s="189">
        <v>4223</v>
      </c>
      <c r="B106" s="190" t="s">
        <v>59</v>
      </c>
      <c r="C106" s="182"/>
      <c r="D106" s="182"/>
      <c r="E106" s="182"/>
      <c r="F106" s="182"/>
      <c r="G106" s="182"/>
      <c r="H106" s="182"/>
      <c r="I106" s="182"/>
      <c r="J106" s="220"/>
      <c r="K106" s="220"/>
      <c r="L106" s="220"/>
      <c r="M106" s="182"/>
      <c r="N106" s="182"/>
      <c r="O106" s="182"/>
      <c r="P106" s="182"/>
      <c r="Q106" s="182"/>
    </row>
    <row r="107" spans="1:17" customFormat="1" ht="21" hidden="1" customHeight="1" x14ac:dyDescent="0.3">
      <c r="A107" s="177">
        <v>451</v>
      </c>
      <c r="B107" s="178" t="s">
        <v>55</v>
      </c>
      <c r="C107" s="199">
        <f t="shared" ref="C107:D107" si="98">SUM(C108)</f>
        <v>0</v>
      </c>
      <c r="D107" s="199">
        <f t="shared" si="98"/>
        <v>0</v>
      </c>
      <c r="E107" s="199"/>
      <c r="F107" s="199"/>
      <c r="G107" s="199"/>
      <c r="H107" s="199"/>
      <c r="I107" s="199"/>
      <c r="J107" s="390"/>
      <c r="K107" s="390"/>
      <c r="L107" s="390"/>
      <c r="M107" s="199"/>
      <c r="N107" s="199"/>
      <c r="O107" s="199"/>
      <c r="P107" s="199"/>
      <c r="Q107" s="199"/>
    </row>
    <row r="108" spans="1:17" customFormat="1" ht="14.4" hidden="1" x14ac:dyDescent="0.3">
      <c r="A108" s="180">
        <v>4511</v>
      </c>
      <c r="B108" s="181" t="s">
        <v>55</v>
      </c>
      <c r="C108" s="182"/>
      <c r="D108" s="182"/>
      <c r="E108" s="182"/>
      <c r="F108" s="182"/>
      <c r="G108" s="182"/>
      <c r="H108" s="182"/>
      <c r="I108" s="182"/>
      <c r="J108" s="220"/>
      <c r="K108" s="220"/>
      <c r="L108" s="220"/>
      <c r="M108" s="182"/>
      <c r="N108" s="182"/>
      <c r="O108" s="182"/>
      <c r="P108" s="182"/>
      <c r="Q108" s="182"/>
    </row>
    <row r="109" spans="1:17" customFormat="1" ht="24.75" hidden="1" customHeight="1" x14ac:dyDescent="0.3">
      <c r="A109" s="170" t="s">
        <v>233</v>
      </c>
      <c r="B109" s="171" t="s">
        <v>234</v>
      </c>
      <c r="C109" s="172">
        <f t="shared" ref="C109:D115" si="99">SUM(C110)</f>
        <v>0</v>
      </c>
      <c r="D109" s="172">
        <f t="shared" si="99"/>
        <v>0</v>
      </c>
      <c r="E109" s="172"/>
      <c r="F109" s="172"/>
      <c r="G109" s="172"/>
      <c r="H109" s="172"/>
      <c r="I109" s="172"/>
      <c r="J109" s="384"/>
      <c r="K109" s="384"/>
      <c r="L109" s="384"/>
      <c r="M109" s="172"/>
      <c r="N109" s="172"/>
      <c r="O109" s="172"/>
      <c r="P109" s="172"/>
      <c r="Q109" s="172"/>
    </row>
    <row r="110" spans="1:17" customFormat="1" ht="18" hidden="1" customHeight="1" x14ac:dyDescent="0.3">
      <c r="A110" s="721" t="s">
        <v>94</v>
      </c>
      <c r="B110" s="721"/>
      <c r="C110" s="173">
        <f t="shared" ref="C110:D110" si="100">SUM(C115+C113+C111)</f>
        <v>0</v>
      </c>
      <c r="D110" s="173">
        <f t="shared" si="100"/>
        <v>0</v>
      </c>
      <c r="E110" s="173"/>
      <c r="F110" s="173"/>
      <c r="G110" s="173"/>
      <c r="H110" s="173"/>
      <c r="I110" s="173"/>
      <c r="J110" s="385"/>
      <c r="K110" s="385"/>
      <c r="L110" s="385"/>
      <c r="M110" s="173"/>
      <c r="N110" s="173"/>
      <c r="O110" s="173"/>
      <c r="P110" s="173"/>
      <c r="Q110" s="173"/>
    </row>
    <row r="111" spans="1:17" customFormat="1" ht="14.4" hidden="1" x14ac:dyDescent="0.3">
      <c r="A111" s="188">
        <v>311</v>
      </c>
      <c r="B111" s="178" t="s">
        <v>5</v>
      </c>
      <c r="C111" s="179">
        <f t="shared" ref="C111:D111" si="101">SUM(C112)</f>
        <v>0</v>
      </c>
      <c r="D111" s="179">
        <f t="shared" si="101"/>
        <v>0</v>
      </c>
      <c r="E111" s="179"/>
      <c r="F111" s="179"/>
      <c r="G111" s="179"/>
      <c r="H111" s="179"/>
      <c r="I111" s="179"/>
      <c r="J111" s="219"/>
      <c r="K111" s="219"/>
      <c r="L111" s="219"/>
      <c r="M111" s="179"/>
      <c r="N111" s="179"/>
      <c r="O111" s="179"/>
      <c r="P111" s="179"/>
      <c r="Q111" s="179"/>
    </row>
    <row r="112" spans="1:17" customFormat="1" ht="14.4" hidden="1" x14ac:dyDescent="0.3">
      <c r="A112" s="189">
        <v>3111</v>
      </c>
      <c r="B112" s="190" t="s">
        <v>5</v>
      </c>
      <c r="C112" s="182"/>
      <c r="D112" s="182"/>
      <c r="E112" s="182"/>
      <c r="F112" s="182"/>
      <c r="G112" s="182"/>
      <c r="H112" s="182"/>
      <c r="I112" s="182"/>
      <c r="J112" s="220"/>
      <c r="K112" s="220"/>
      <c r="L112" s="220"/>
      <c r="M112" s="182"/>
      <c r="N112" s="182"/>
      <c r="O112" s="182"/>
      <c r="P112" s="182"/>
      <c r="Q112" s="182"/>
    </row>
    <row r="113" spans="1:17" customFormat="1" ht="14.4" hidden="1" x14ac:dyDescent="0.3">
      <c r="A113" s="188">
        <v>321</v>
      </c>
      <c r="B113" s="178" t="s">
        <v>12</v>
      </c>
      <c r="C113" s="179">
        <f t="shared" ref="C113:D113" si="102">SUM(C114)</f>
        <v>0</v>
      </c>
      <c r="D113" s="179">
        <f t="shared" si="102"/>
        <v>0</v>
      </c>
      <c r="E113" s="179"/>
      <c r="F113" s="179"/>
      <c r="G113" s="179"/>
      <c r="H113" s="179"/>
      <c r="I113" s="179"/>
      <c r="J113" s="219"/>
      <c r="K113" s="219"/>
      <c r="L113" s="219"/>
      <c r="M113" s="179"/>
      <c r="N113" s="179"/>
      <c r="O113" s="179"/>
      <c r="P113" s="179"/>
      <c r="Q113" s="179"/>
    </row>
    <row r="114" spans="1:17" customFormat="1" ht="14.4" hidden="1" x14ac:dyDescent="0.3">
      <c r="A114" s="180">
        <v>3211</v>
      </c>
      <c r="B114" s="204" t="s">
        <v>13</v>
      </c>
      <c r="C114" s="182"/>
      <c r="D114" s="182"/>
      <c r="E114" s="182"/>
      <c r="F114" s="182"/>
      <c r="G114" s="182"/>
      <c r="H114" s="182"/>
      <c r="I114" s="182"/>
      <c r="J114" s="220"/>
      <c r="K114" s="220"/>
      <c r="L114" s="220"/>
      <c r="M114" s="182"/>
      <c r="N114" s="182"/>
      <c r="O114" s="182"/>
      <c r="P114" s="182"/>
      <c r="Q114" s="182"/>
    </row>
    <row r="115" spans="1:17" customFormat="1" ht="39.6" hidden="1" x14ac:dyDescent="0.3">
      <c r="A115" s="188">
        <v>353</v>
      </c>
      <c r="B115" s="178" t="s">
        <v>235</v>
      </c>
      <c r="C115" s="179">
        <f t="shared" si="99"/>
        <v>0</v>
      </c>
      <c r="D115" s="179">
        <f t="shared" si="99"/>
        <v>0</v>
      </c>
      <c r="E115" s="179"/>
      <c r="F115" s="179"/>
      <c r="G115" s="179"/>
      <c r="H115" s="179"/>
      <c r="I115" s="179"/>
      <c r="J115" s="219"/>
      <c r="K115" s="219"/>
      <c r="L115" s="219"/>
      <c r="M115" s="179"/>
      <c r="N115" s="179"/>
      <c r="O115" s="179"/>
      <c r="P115" s="179"/>
      <c r="Q115" s="179"/>
    </row>
    <row r="116" spans="1:17" customFormat="1" ht="24.75" hidden="1" customHeight="1" x14ac:dyDescent="0.3">
      <c r="A116" s="189">
        <v>3531</v>
      </c>
      <c r="B116" s="181" t="s">
        <v>235</v>
      </c>
      <c r="C116" s="182"/>
      <c r="D116" s="182"/>
      <c r="E116" s="182"/>
      <c r="F116" s="182"/>
      <c r="G116" s="182"/>
      <c r="H116" s="182"/>
      <c r="I116" s="182"/>
      <c r="J116" s="220"/>
      <c r="K116" s="220"/>
      <c r="L116" s="220"/>
      <c r="M116" s="182"/>
      <c r="N116" s="182"/>
      <c r="O116" s="182"/>
      <c r="P116" s="182"/>
      <c r="Q116" s="182"/>
    </row>
    <row r="117" spans="1:17" s="6" customFormat="1" ht="14.4" hidden="1" x14ac:dyDescent="0.3">
      <c r="A117" s="177" t="s">
        <v>174</v>
      </c>
      <c r="B117" s="178" t="s">
        <v>40</v>
      </c>
      <c r="C117" s="179">
        <f t="shared" ref="C117:D117" si="103">SUM(C118:C121)</f>
        <v>0</v>
      </c>
      <c r="D117" s="179">
        <f t="shared" si="103"/>
        <v>0</v>
      </c>
      <c r="E117" s="179"/>
      <c r="F117" s="179"/>
      <c r="G117" s="179"/>
      <c r="H117" s="179"/>
      <c r="I117" s="179"/>
      <c r="J117" s="219"/>
      <c r="K117" s="219"/>
      <c r="L117" s="219"/>
      <c r="M117" s="179"/>
      <c r="N117" s="179"/>
      <c r="O117" s="179"/>
      <c r="P117" s="179"/>
      <c r="Q117" s="179"/>
    </row>
    <row r="118" spans="1:17" customFormat="1" ht="13.5" hidden="1" customHeight="1" x14ac:dyDescent="0.3">
      <c r="A118" s="180" t="s">
        <v>236</v>
      </c>
      <c r="B118" s="181" t="s">
        <v>41</v>
      </c>
      <c r="C118" s="182"/>
      <c r="D118" s="182"/>
      <c r="E118" s="182"/>
      <c r="F118" s="182"/>
      <c r="G118" s="182"/>
      <c r="H118" s="182"/>
      <c r="I118" s="182"/>
      <c r="J118" s="220"/>
      <c r="K118" s="220"/>
      <c r="L118" s="220"/>
      <c r="M118" s="182"/>
      <c r="N118" s="182"/>
      <c r="O118" s="182"/>
      <c r="P118" s="182"/>
      <c r="Q118" s="182"/>
    </row>
    <row r="119" spans="1:17" customFormat="1" ht="26.4" hidden="1" x14ac:dyDescent="0.3">
      <c r="A119" s="180" t="s">
        <v>237</v>
      </c>
      <c r="B119" s="181" t="s">
        <v>238</v>
      </c>
      <c r="C119" s="182"/>
      <c r="D119" s="182"/>
      <c r="E119" s="182"/>
      <c r="F119" s="182"/>
      <c r="G119" s="182"/>
      <c r="H119" s="182"/>
      <c r="I119" s="182"/>
      <c r="J119" s="220"/>
      <c r="K119" s="220"/>
      <c r="L119" s="220"/>
      <c r="M119" s="182"/>
      <c r="N119" s="182"/>
      <c r="O119" s="182"/>
      <c r="P119" s="182"/>
      <c r="Q119" s="182"/>
    </row>
    <row r="120" spans="1:17" customFormat="1" ht="14.4" hidden="1" x14ac:dyDescent="0.3">
      <c r="A120" s="180" t="s">
        <v>239</v>
      </c>
      <c r="B120" s="181" t="s">
        <v>42</v>
      </c>
      <c r="C120" s="182"/>
      <c r="D120" s="182"/>
      <c r="E120" s="182"/>
      <c r="F120" s="182"/>
      <c r="G120" s="182"/>
      <c r="H120" s="182"/>
      <c r="I120" s="182"/>
      <c r="J120" s="220"/>
      <c r="K120" s="220"/>
      <c r="L120" s="220"/>
      <c r="M120" s="182"/>
      <c r="N120" s="182"/>
      <c r="O120" s="182"/>
      <c r="P120" s="182"/>
      <c r="Q120" s="182"/>
    </row>
    <row r="121" spans="1:17" customFormat="1" ht="14.4" hidden="1" x14ac:dyDescent="0.3">
      <c r="A121" s="180" t="s">
        <v>175</v>
      </c>
      <c r="B121" s="181" t="s">
        <v>43</v>
      </c>
      <c r="C121" s="182"/>
      <c r="D121" s="182"/>
      <c r="E121" s="182"/>
      <c r="F121" s="182"/>
      <c r="G121" s="182"/>
      <c r="H121" s="182"/>
      <c r="I121" s="182"/>
      <c r="J121" s="220"/>
      <c r="K121" s="220"/>
      <c r="L121" s="220"/>
      <c r="M121" s="182"/>
      <c r="N121" s="182"/>
      <c r="O121" s="182"/>
      <c r="P121" s="182"/>
      <c r="Q121" s="182"/>
    </row>
    <row r="122" spans="1:17" s="6" customFormat="1" ht="14.4" hidden="1" x14ac:dyDescent="0.3">
      <c r="A122" s="177" t="s">
        <v>176</v>
      </c>
      <c r="B122" s="178" t="s">
        <v>67</v>
      </c>
      <c r="C122" s="179">
        <f t="shared" ref="C122:D122" si="104">SUM(C123)</f>
        <v>0</v>
      </c>
      <c r="D122" s="179">
        <f t="shared" si="104"/>
        <v>0</v>
      </c>
      <c r="E122" s="179"/>
      <c r="F122" s="179"/>
      <c r="G122" s="179"/>
      <c r="H122" s="179"/>
      <c r="I122" s="179"/>
      <c r="J122" s="219"/>
      <c r="K122" s="219"/>
      <c r="L122" s="219"/>
      <c r="M122" s="179"/>
      <c r="N122" s="179"/>
      <c r="O122" s="179"/>
      <c r="P122" s="179"/>
      <c r="Q122" s="179"/>
    </row>
    <row r="123" spans="1:17" customFormat="1" ht="14.4" hidden="1" x14ac:dyDescent="0.3">
      <c r="A123" s="180" t="s">
        <v>190</v>
      </c>
      <c r="B123" s="181" t="s">
        <v>68</v>
      </c>
      <c r="C123" s="182"/>
      <c r="D123" s="182"/>
      <c r="E123" s="182"/>
      <c r="F123" s="182"/>
      <c r="G123" s="182"/>
      <c r="H123" s="182"/>
      <c r="I123" s="182"/>
      <c r="J123" s="220"/>
      <c r="K123" s="220"/>
      <c r="L123" s="220"/>
      <c r="M123" s="182"/>
      <c r="N123" s="182"/>
      <c r="O123" s="182"/>
      <c r="P123" s="182"/>
      <c r="Q123" s="182"/>
    </row>
    <row r="124" spans="1:17" s="6" customFormat="1" ht="5.25" hidden="1" customHeight="1" x14ac:dyDescent="0.3">
      <c r="A124" s="177" t="s">
        <v>177</v>
      </c>
      <c r="B124" s="178" t="s">
        <v>129</v>
      </c>
      <c r="C124" s="179">
        <f t="shared" ref="C124:D124" si="105">SUM(C125:C127)</f>
        <v>0</v>
      </c>
      <c r="D124" s="179">
        <f t="shared" si="105"/>
        <v>0</v>
      </c>
      <c r="E124" s="179"/>
      <c r="F124" s="179"/>
      <c r="G124" s="179"/>
      <c r="H124" s="179"/>
      <c r="I124" s="179"/>
      <c r="J124" s="219"/>
      <c r="K124" s="219"/>
      <c r="L124" s="219"/>
      <c r="M124" s="179"/>
      <c r="N124" s="179"/>
      <c r="O124" s="179"/>
      <c r="P124" s="179"/>
      <c r="Q124" s="179"/>
    </row>
    <row r="125" spans="1:17" customFormat="1" ht="22.5" hidden="1" customHeight="1" x14ac:dyDescent="0.3">
      <c r="A125" s="180" t="s">
        <v>178</v>
      </c>
      <c r="B125" s="181" t="s">
        <v>54</v>
      </c>
      <c r="C125" s="182"/>
      <c r="D125" s="182"/>
      <c r="E125" s="182"/>
      <c r="F125" s="182"/>
      <c r="G125" s="182"/>
      <c r="H125" s="182"/>
      <c r="I125" s="182"/>
      <c r="J125" s="220"/>
      <c r="K125" s="220"/>
      <c r="L125" s="220"/>
      <c r="M125" s="182"/>
      <c r="N125" s="182"/>
      <c r="O125" s="182"/>
      <c r="P125" s="182"/>
      <c r="Q125" s="182"/>
    </row>
    <row r="126" spans="1:17" customFormat="1" ht="14.4" hidden="1" x14ac:dyDescent="0.3">
      <c r="A126" s="180" t="s">
        <v>186</v>
      </c>
      <c r="B126" s="181" t="s">
        <v>58</v>
      </c>
      <c r="C126" s="182"/>
      <c r="D126" s="182"/>
      <c r="E126" s="182"/>
      <c r="F126" s="182"/>
      <c r="G126" s="182"/>
      <c r="H126" s="182"/>
      <c r="I126" s="182"/>
      <c r="J126" s="220"/>
      <c r="K126" s="220"/>
      <c r="L126" s="220"/>
      <c r="M126" s="182"/>
      <c r="N126" s="182"/>
      <c r="O126" s="182"/>
      <c r="P126" s="182"/>
      <c r="Q126" s="182"/>
    </row>
    <row r="127" spans="1:17" customFormat="1" ht="18.75" hidden="1" customHeight="1" x14ac:dyDescent="0.3">
      <c r="A127" s="180" t="s">
        <v>180</v>
      </c>
      <c r="B127" s="181" t="s">
        <v>60</v>
      </c>
      <c r="C127" s="182"/>
      <c r="D127" s="182"/>
      <c r="E127" s="182"/>
      <c r="F127" s="182"/>
      <c r="G127" s="182"/>
      <c r="H127" s="182"/>
      <c r="I127" s="182"/>
      <c r="J127" s="220"/>
      <c r="K127" s="220"/>
      <c r="L127" s="220"/>
      <c r="M127" s="182"/>
      <c r="N127" s="182"/>
      <c r="O127" s="182"/>
      <c r="P127" s="182"/>
      <c r="Q127" s="182"/>
    </row>
    <row r="128" spans="1:17" s="6" customFormat="1" ht="17.25" hidden="1" customHeight="1" x14ac:dyDescent="0.3">
      <c r="A128" s="177" t="s">
        <v>193</v>
      </c>
      <c r="B128" s="178" t="s">
        <v>73</v>
      </c>
      <c r="C128" s="179">
        <f t="shared" ref="C128:D128" si="106">SUM(C129:C130)</f>
        <v>0</v>
      </c>
      <c r="D128" s="179">
        <f t="shared" si="106"/>
        <v>0</v>
      </c>
      <c r="E128" s="179"/>
      <c r="F128" s="179"/>
      <c r="G128" s="179"/>
      <c r="H128" s="179"/>
      <c r="I128" s="179"/>
      <c r="J128" s="219"/>
      <c r="K128" s="219"/>
      <c r="L128" s="219"/>
      <c r="M128" s="179"/>
      <c r="N128" s="179"/>
      <c r="O128" s="179"/>
      <c r="P128" s="179"/>
      <c r="Q128" s="179"/>
    </row>
    <row r="129" spans="1:17" customFormat="1" ht="13.5" hidden="1" customHeight="1" x14ac:dyDescent="0.3">
      <c r="A129" s="180" t="s">
        <v>194</v>
      </c>
      <c r="B129" s="181" t="s">
        <v>88</v>
      </c>
      <c r="C129" s="182"/>
      <c r="D129" s="182"/>
      <c r="E129" s="182"/>
      <c r="F129" s="182"/>
      <c r="G129" s="182"/>
      <c r="H129" s="182"/>
      <c r="I129" s="182"/>
      <c r="J129" s="220"/>
      <c r="K129" s="220"/>
      <c r="L129" s="220"/>
      <c r="M129" s="182"/>
      <c r="N129" s="182"/>
      <c r="O129" s="182"/>
      <c r="P129" s="182"/>
      <c r="Q129" s="182"/>
    </row>
    <row r="130" spans="1:17" customFormat="1" ht="27.75" hidden="1" customHeight="1" x14ac:dyDescent="0.3">
      <c r="A130" s="180" t="s">
        <v>240</v>
      </c>
      <c r="B130" s="181" t="s">
        <v>138</v>
      </c>
      <c r="C130" s="182"/>
      <c r="D130" s="182"/>
      <c r="E130" s="182"/>
      <c r="F130" s="182"/>
      <c r="G130" s="182"/>
      <c r="H130" s="182"/>
      <c r="I130" s="182"/>
      <c r="J130" s="220"/>
      <c r="K130" s="220"/>
      <c r="L130" s="220"/>
      <c r="M130" s="182"/>
      <c r="N130" s="182"/>
      <c r="O130" s="182"/>
      <c r="P130" s="182"/>
      <c r="Q130" s="182"/>
    </row>
    <row r="131" spans="1:17" customFormat="1" ht="22.5" hidden="1" customHeight="1" x14ac:dyDescent="0.3">
      <c r="A131" s="170" t="s">
        <v>289</v>
      </c>
      <c r="B131" s="171" t="s">
        <v>290</v>
      </c>
      <c r="C131" s="172">
        <f t="shared" ref="C131:D132" si="107">SUM(C132)</f>
        <v>0</v>
      </c>
      <c r="D131" s="172">
        <f t="shared" si="107"/>
        <v>0</v>
      </c>
      <c r="E131" s="172"/>
      <c r="F131" s="172"/>
      <c r="G131" s="172"/>
      <c r="H131" s="172"/>
      <c r="I131" s="172"/>
      <c r="J131" s="384"/>
      <c r="K131" s="384"/>
      <c r="L131" s="384"/>
      <c r="M131" s="172"/>
      <c r="N131" s="172"/>
      <c r="O131" s="172"/>
      <c r="P131" s="172"/>
      <c r="Q131" s="172"/>
    </row>
    <row r="132" spans="1:17" customFormat="1" ht="14.25" hidden="1" customHeight="1" x14ac:dyDescent="0.3">
      <c r="A132" s="721" t="s">
        <v>94</v>
      </c>
      <c r="B132" s="721"/>
      <c r="C132" s="173">
        <f t="shared" si="107"/>
        <v>0</v>
      </c>
      <c r="D132" s="173">
        <f t="shared" si="107"/>
        <v>0</v>
      </c>
      <c r="E132" s="173"/>
      <c r="F132" s="173"/>
      <c r="G132" s="173"/>
      <c r="H132" s="173"/>
      <c r="I132" s="173"/>
      <c r="J132" s="385"/>
      <c r="K132" s="385"/>
      <c r="L132" s="385"/>
      <c r="M132" s="173"/>
      <c r="N132" s="173"/>
      <c r="O132" s="173"/>
      <c r="P132" s="173"/>
      <c r="Q132" s="173"/>
    </row>
    <row r="133" spans="1:17" s="6" customFormat="1" ht="16.5" hidden="1" customHeight="1" x14ac:dyDescent="0.3">
      <c r="A133" s="177">
        <v>383</v>
      </c>
      <c r="B133" s="178" t="s">
        <v>47</v>
      </c>
      <c r="C133" s="179">
        <f t="shared" ref="C133:D133" si="108">SUM(C134:C134)</f>
        <v>0</v>
      </c>
      <c r="D133" s="179">
        <f t="shared" si="108"/>
        <v>0</v>
      </c>
      <c r="E133" s="179"/>
      <c r="F133" s="179"/>
      <c r="G133" s="179"/>
      <c r="H133" s="179"/>
      <c r="I133" s="179"/>
      <c r="J133" s="219"/>
      <c r="K133" s="219"/>
      <c r="L133" s="219"/>
      <c r="M133" s="179"/>
      <c r="N133" s="179"/>
      <c r="O133" s="179"/>
      <c r="P133" s="179"/>
      <c r="Q133" s="179"/>
    </row>
    <row r="134" spans="1:17" customFormat="1" ht="16.05" hidden="1" customHeight="1" x14ac:dyDescent="0.3">
      <c r="A134" s="180">
        <v>3835</v>
      </c>
      <c r="B134" s="181" t="s">
        <v>293</v>
      </c>
      <c r="C134" s="182"/>
      <c r="D134" s="182"/>
      <c r="E134" s="182"/>
      <c r="F134" s="182"/>
      <c r="G134" s="182"/>
      <c r="H134" s="182"/>
      <c r="I134" s="182"/>
      <c r="J134" s="220"/>
      <c r="K134" s="220"/>
      <c r="L134" s="220"/>
      <c r="M134" s="182"/>
      <c r="N134" s="182"/>
      <c r="O134" s="182"/>
      <c r="P134" s="182"/>
      <c r="Q134" s="182"/>
    </row>
    <row r="135" spans="1:17" customFormat="1" ht="9" hidden="1" customHeight="1" x14ac:dyDescent="0.3">
      <c r="A135" s="205" t="s">
        <v>323</v>
      </c>
      <c r="B135" s="206" t="s">
        <v>324</v>
      </c>
      <c r="C135" s="207">
        <f>SUM(C136)</f>
        <v>0</v>
      </c>
      <c r="D135" s="207">
        <f t="shared" ref="D135:Q136" si="109">SUM(D136)</f>
        <v>0</v>
      </c>
      <c r="E135" s="207">
        <f t="shared" si="109"/>
        <v>0</v>
      </c>
      <c r="F135" s="207">
        <f t="shared" si="109"/>
        <v>0</v>
      </c>
      <c r="G135" s="207">
        <f t="shared" si="109"/>
        <v>0</v>
      </c>
      <c r="H135" s="207">
        <f t="shared" si="109"/>
        <v>0</v>
      </c>
      <c r="I135" s="207">
        <f t="shared" si="109"/>
        <v>0</v>
      </c>
      <c r="J135" s="391"/>
      <c r="K135" s="391"/>
      <c r="L135" s="391"/>
      <c r="M135" s="207">
        <f t="shared" si="109"/>
        <v>0</v>
      </c>
      <c r="N135" s="207">
        <f t="shared" si="109"/>
        <v>0</v>
      </c>
      <c r="O135" s="207">
        <f t="shared" si="109"/>
        <v>0</v>
      </c>
      <c r="P135" s="207">
        <f t="shared" si="109"/>
        <v>0</v>
      </c>
      <c r="Q135" s="207">
        <f t="shared" si="109"/>
        <v>0</v>
      </c>
    </row>
    <row r="136" spans="1:17" customFormat="1" ht="15.6" hidden="1" customHeight="1" x14ac:dyDescent="0.3">
      <c r="A136" s="188">
        <v>422</v>
      </c>
      <c r="B136" s="192" t="s">
        <v>53</v>
      </c>
      <c r="C136" s="182">
        <f>SUM(C137)</f>
        <v>0</v>
      </c>
      <c r="D136" s="182">
        <f t="shared" si="109"/>
        <v>0</v>
      </c>
      <c r="E136" s="182">
        <f t="shared" si="109"/>
        <v>0</v>
      </c>
      <c r="F136" s="182">
        <f t="shared" si="109"/>
        <v>0</v>
      </c>
      <c r="G136" s="182">
        <f t="shared" si="109"/>
        <v>0</v>
      </c>
      <c r="H136" s="182">
        <f t="shared" si="109"/>
        <v>0</v>
      </c>
      <c r="I136" s="182">
        <f t="shared" si="109"/>
        <v>0</v>
      </c>
      <c r="J136" s="220"/>
      <c r="K136" s="220"/>
      <c r="L136" s="220"/>
      <c r="M136" s="182">
        <f t="shared" si="109"/>
        <v>0</v>
      </c>
      <c r="N136" s="182">
        <f t="shared" si="109"/>
        <v>0</v>
      </c>
      <c r="O136" s="182">
        <f t="shared" si="109"/>
        <v>0</v>
      </c>
      <c r="P136" s="182">
        <f t="shared" si="109"/>
        <v>0</v>
      </c>
      <c r="Q136" s="182">
        <f t="shared" si="109"/>
        <v>0</v>
      </c>
    </row>
    <row r="137" spans="1:17" customFormat="1" ht="9" hidden="1" customHeight="1" x14ac:dyDescent="0.3">
      <c r="A137" s="180">
        <v>4221</v>
      </c>
      <c r="B137" s="181" t="s">
        <v>54</v>
      </c>
      <c r="C137" s="182"/>
      <c r="D137" s="182"/>
      <c r="E137" s="182"/>
      <c r="F137" s="182">
        <f t="shared" ref="F137" si="110">C137-D137+E137</f>
        <v>0</v>
      </c>
      <c r="G137" s="182"/>
      <c r="H137" s="182"/>
      <c r="I137" s="182"/>
      <c r="J137" s="220"/>
      <c r="K137" s="220"/>
      <c r="L137" s="220"/>
      <c r="M137" s="182"/>
      <c r="N137" s="182"/>
      <c r="O137" s="182"/>
      <c r="P137" s="182"/>
      <c r="Q137" s="182"/>
    </row>
    <row r="138" spans="1:17" customFormat="1" ht="21" customHeight="1" x14ac:dyDescent="0.3">
      <c r="A138" s="170" t="s">
        <v>131</v>
      </c>
      <c r="B138" s="171" t="s">
        <v>135</v>
      </c>
      <c r="C138" s="172">
        <f t="shared" ref="C138:F138" si="111">SUM(C139,C143)</f>
        <v>6640000</v>
      </c>
      <c r="D138" s="172">
        <f t="shared" si="111"/>
        <v>0</v>
      </c>
      <c r="E138" s="172">
        <f t="shared" si="111"/>
        <v>853000</v>
      </c>
      <c r="F138" s="172">
        <f t="shared" si="111"/>
        <v>7493000</v>
      </c>
      <c r="G138" s="172">
        <f t="shared" ref="G138:H138" si="112">SUM(G139,G143)</f>
        <v>6640000</v>
      </c>
      <c r="H138" s="172">
        <f t="shared" si="112"/>
        <v>6640000</v>
      </c>
      <c r="I138" s="172">
        <f t="shared" ref="I138:M138" si="113">SUM(I139,I143)</f>
        <v>6640000</v>
      </c>
      <c r="J138" s="172">
        <f t="shared" si="113"/>
        <v>0</v>
      </c>
      <c r="K138" s="172">
        <f t="shared" si="113"/>
        <v>2360000</v>
      </c>
      <c r="L138" s="172">
        <f t="shared" si="113"/>
        <v>9000000</v>
      </c>
      <c r="M138" s="172">
        <f t="shared" si="113"/>
        <v>6640000</v>
      </c>
      <c r="N138" s="172">
        <f t="shared" ref="N138:O138" si="114">SUM(N139,N143)</f>
        <v>6640000</v>
      </c>
      <c r="O138" s="172">
        <f t="shared" si="114"/>
        <v>11000000</v>
      </c>
      <c r="P138" s="172">
        <f t="shared" ref="P138:Q138" si="115">SUM(P139,P143)</f>
        <v>11000000</v>
      </c>
      <c r="Q138" s="172">
        <f t="shared" si="115"/>
        <v>0</v>
      </c>
    </row>
    <row r="139" spans="1:17" customFormat="1" ht="18.75" customHeight="1" x14ac:dyDescent="0.3">
      <c r="A139" s="721" t="s">
        <v>97</v>
      </c>
      <c r="B139" s="721"/>
      <c r="C139" s="184">
        <f>SUM(C140)</f>
        <v>6640000</v>
      </c>
      <c r="D139" s="184">
        <f t="shared" ref="D139:Q140" si="116">SUM(D140)</f>
        <v>0</v>
      </c>
      <c r="E139" s="184">
        <f t="shared" si="116"/>
        <v>853000</v>
      </c>
      <c r="F139" s="184">
        <f t="shared" si="116"/>
        <v>7493000</v>
      </c>
      <c r="G139" s="184">
        <f t="shared" si="116"/>
        <v>6640000</v>
      </c>
      <c r="H139" s="184">
        <f t="shared" si="116"/>
        <v>6640000</v>
      </c>
      <c r="I139" s="184">
        <f t="shared" si="116"/>
        <v>6640000</v>
      </c>
      <c r="J139" s="184">
        <f t="shared" si="116"/>
        <v>0</v>
      </c>
      <c r="K139" s="184">
        <f t="shared" si="116"/>
        <v>2360000</v>
      </c>
      <c r="L139" s="184">
        <f t="shared" si="116"/>
        <v>9000000</v>
      </c>
      <c r="M139" s="184">
        <f t="shared" si="116"/>
        <v>6640000</v>
      </c>
      <c r="N139" s="184">
        <f t="shared" si="116"/>
        <v>6640000</v>
      </c>
      <c r="O139" s="184">
        <f t="shared" si="116"/>
        <v>11000000</v>
      </c>
      <c r="P139" s="184">
        <f t="shared" si="116"/>
        <v>11000000</v>
      </c>
      <c r="Q139" s="184">
        <f t="shared" si="116"/>
        <v>0</v>
      </c>
    </row>
    <row r="140" spans="1:17" customFormat="1" ht="18.75" customHeight="1" x14ac:dyDescent="0.3">
      <c r="A140" s="174" t="s">
        <v>317</v>
      </c>
      <c r="B140" s="175" t="s">
        <v>318</v>
      </c>
      <c r="C140" s="176">
        <f>SUM(C141)</f>
        <v>6640000</v>
      </c>
      <c r="D140" s="176">
        <f t="shared" si="116"/>
        <v>0</v>
      </c>
      <c r="E140" s="176">
        <f t="shared" si="116"/>
        <v>853000</v>
      </c>
      <c r="F140" s="176">
        <f t="shared" si="116"/>
        <v>7493000</v>
      </c>
      <c r="G140" s="176">
        <f t="shared" si="116"/>
        <v>6640000</v>
      </c>
      <c r="H140" s="176">
        <f t="shared" si="116"/>
        <v>6640000</v>
      </c>
      <c r="I140" s="176">
        <f t="shared" si="116"/>
        <v>6640000</v>
      </c>
      <c r="J140" s="176">
        <f t="shared" si="116"/>
        <v>0</v>
      </c>
      <c r="K140" s="176">
        <f t="shared" si="116"/>
        <v>2360000</v>
      </c>
      <c r="L140" s="176">
        <f t="shared" si="116"/>
        <v>9000000</v>
      </c>
      <c r="M140" s="176">
        <f t="shared" si="116"/>
        <v>6640000</v>
      </c>
      <c r="N140" s="176">
        <f t="shared" si="116"/>
        <v>6640000</v>
      </c>
      <c r="O140" s="176">
        <f t="shared" si="116"/>
        <v>11000000</v>
      </c>
      <c r="P140" s="176">
        <f t="shared" si="116"/>
        <v>11000000</v>
      </c>
      <c r="Q140" s="176">
        <f t="shared" si="116"/>
        <v>0</v>
      </c>
    </row>
    <row r="141" spans="1:17" customFormat="1" ht="15" customHeight="1" x14ac:dyDescent="0.3">
      <c r="A141" s="177">
        <v>323</v>
      </c>
      <c r="B141" s="178" t="s">
        <v>23</v>
      </c>
      <c r="C141" s="194">
        <f t="shared" ref="C141:Q141" si="117">SUM(C142)</f>
        <v>6640000</v>
      </c>
      <c r="D141" s="194">
        <f t="shared" si="117"/>
        <v>0</v>
      </c>
      <c r="E141" s="194">
        <f t="shared" si="117"/>
        <v>853000</v>
      </c>
      <c r="F141" s="194">
        <f t="shared" si="117"/>
        <v>7493000</v>
      </c>
      <c r="G141" s="194">
        <f t="shared" si="117"/>
        <v>6640000</v>
      </c>
      <c r="H141" s="194">
        <f t="shared" si="117"/>
        <v>6640000</v>
      </c>
      <c r="I141" s="194">
        <f t="shared" si="117"/>
        <v>6640000</v>
      </c>
      <c r="J141" s="194">
        <f t="shared" si="117"/>
        <v>0</v>
      </c>
      <c r="K141" s="194">
        <f t="shared" si="117"/>
        <v>2360000</v>
      </c>
      <c r="L141" s="194">
        <f t="shared" si="117"/>
        <v>9000000</v>
      </c>
      <c r="M141" s="194">
        <f t="shared" si="117"/>
        <v>6640000</v>
      </c>
      <c r="N141" s="194">
        <f t="shared" si="117"/>
        <v>6640000</v>
      </c>
      <c r="O141" s="194">
        <f t="shared" si="117"/>
        <v>11000000</v>
      </c>
      <c r="P141" s="194">
        <f t="shared" si="117"/>
        <v>11000000</v>
      </c>
      <c r="Q141" s="194">
        <f t="shared" si="117"/>
        <v>0</v>
      </c>
    </row>
    <row r="142" spans="1:17" customFormat="1" ht="15" customHeight="1" x14ac:dyDescent="0.3">
      <c r="A142" s="180">
        <v>3239</v>
      </c>
      <c r="B142" s="181" t="s">
        <v>31</v>
      </c>
      <c r="C142" s="195">
        <v>6640000</v>
      </c>
      <c r="D142" s="195"/>
      <c r="E142" s="208">
        <v>853000</v>
      </c>
      <c r="F142" s="182">
        <f t="shared" ref="F142" si="118">C142-D142+E142</f>
        <v>7493000</v>
      </c>
      <c r="G142" s="195">
        <v>6640000</v>
      </c>
      <c r="H142" s="195">
        <v>6640000</v>
      </c>
      <c r="I142" s="195">
        <v>6640000</v>
      </c>
      <c r="J142" s="297"/>
      <c r="K142" s="297">
        <v>2360000</v>
      </c>
      <c r="L142" s="220">
        <f>I142-J142+K142</f>
        <v>9000000</v>
      </c>
      <c r="M142" s="195">
        <v>6640000</v>
      </c>
      <c r="N142" s="195">
        <v>6640000</v>
      </c>
      <c r="O142" s="195">
        <v>11000000</v>
      </c>
      <c r="P142" s="195">
        <v>11000000</v>
      </c>
      <c r="Q142" s="195"/>
    </row>
    <row r="143" spans="1:17" customFormat="1" ht="15" hidden="1" customHeight="1" x14ac:dyDescent="0.3">
      <c r="A143" s="721" t="s">
        <v>113</v>
      </c>
      <c r="B143" s="721"/>
      <c r="C143" s="173">
        <f t="shared" ref="C143:D144" si="119">SUM(C144)</f>
        <v>0</v>
      </c>
      <c r="D143" s="173">
        <f t="shared" si="119"/>
        <v>0</v>
      </c>
      <c r="E143" s="173"/>
      <c r="F143" s="173"/>
      <c r="G143" s="173"/>
      <c r="H143" s="173"/>
      <c r="I143" s="173"/>
      <c r="J143" s="385"/>
      <c r="K143" s="385"/>
      <c r="L143" s="385"/>
      <c r="M143" s="173"/>
      <c r="N143" s="173"/>
      <c r="O143" s="173"/>
      <c r="P143" s="173"/>
      <c r="Q143" s="173"/>
    </row>
    <row r="144" spans="1:17" customFormat="1" ht="15" hidden="1" customHeight="1" x14ac:dyDescent="0.3">
      <c r="A144" s="177">
        <v>323</v>
      </c>
      <c r="B144" s="178" t="s">
        <v>23</v>
      </c>
      <c r="C144" s="194">
        <f t="shared" si="119"/>
        <v>0</v>
      </c>
      <c r="D144" s="194">
        <f t="shared" si="119"/>
        <v>0</v>
      </c>
      <c r="E144" s="194"/>
      <c r="F144" s="194"/>
      <c r="G144" s="194"/>
      <c r="H144" s="194"/>
      <c r="I144" s="194"/>
      <c r="J144" s="389"/>
      <c r="K144" s="389"/>
      <c r="L144" s="389"/>
      <c r="M144" s="194"/>
      <c r="N144" s="194"/>
      <c r="O144" s="194"/>
      <c r="P144" s="194"/>
      <c r="Q144" s="194"/>
    </row>
    <row r="145" spans="1:23" customFormat="1" ht="15" hidden="1" customHeight="1" x14ac:dyDescent="0.3">
      <c r="A145" s="180">
        <v>3239</v>
      </c>
      <c r="B145" s="181" t="s">
        <v>31</v>
      </c>
      <c r="C145" s="195"/>
      <c r="D145" s="195"/>
      <c r="E145" s="195"/>
      <c r="F145" s="195"/>
      <c r="G145" s="195"/>
      <c r="H145" s="195"/>
      <c r="I145" s="195"/>
      <c r="J145" s="297"/>
      <c r="K145" s="297"/>
      <c r="L145" s="297"/>
      <c r="M145" s="195"/>
      <c r="N145" s="195"/>
      <c r="O145" s="195"/>
      <c r="P145" s="195"/>
      <c r="Q145" s="195"/>
    </row>
    <row r="146" spans="1:23" customFormat="1" ht="15" customHeight="1" x14ac:dyDescent="0.3">
      <c r="A146" s="72" t="s">
        <v>270</v>
      </c>
      <c r="B146" s="73" t="s">
        <v>271</v>
      </c>
      <c r="C146" s="297"/>
      <c r="D146" s="297"/>
      <c r="E146" s="297"/>
      <c r="F146" s="297"/>
      <c r="G146" s="297"/>
      <c r="H146" s="297"/>
      <c r="I146" s="297"/>
      <c r="J146" s="297"/>
      <c r="K146" s="297"/>
      <c r="L146" s="651">
        <f>SUM(L147)</f>
        <v>0</v>
      </c>
      <c r="M146" s="651">
        <f t="shared" ref="M146:Q146" si="120">SUM(M147)</f>
        <v>0</v>
      </c>
      <c r="N146" s="651">
        <f t="shared" si="120"/>
        <v>0</v>
      </c>
      <c r="O146" s="653">
        <f t="shared" si="120"/>
        <v>5000000</v>
      </c>
      <c r="P146" s="651">
        <f t="shared" si="120"/>
        <v>0</v>
      </c>
      <c r="Q146" s="651">
        <f t="shared" si="120"/>
        <v>0</v>
      </c>
    </row>
    <row r="147" spans="1:23" customFormat="1" ht="15" customHeight="1" x14ac:dyDescent="0.3">
      <c r="A147" s="721" t="s">
        <v>113</v>
      </c>
      <c r="B147" s="721"/>
      <c r="C147" s="297"/>
      <c r="D147" s="297"/>
      <c r="E147" s="297"/>
      <c r="F147" s="297"/>
      <c r="G147" s="297"/>
      <c r="H147" s="297"/>
      <c r="I147" s="297"/>
      <c r="J147" s="297"/>
      <c r="K147" s="297"/>
      <c r="L147" s="650">
        <f>SUM(L148,L151)</f>
        <v>0</v>
      </c>
      <c r="M147" s="650">
        <f t="shared" ref="M147:Q147" si="121">SUM(M148,M151)</f>
        <v>0</v>
      </c>
      <c r="N147" s="650">
        <f t="shared" si="121"/>
        <v>0</v>
      </c>
      <c r="O147" s="387">
        <f t="shared" si="121"/>
        <v>5000000</v>
      </c>
      <c r="P147" s="650">
        <f t="shared" si="121"/>
        <v>0</v>
      </c>
      <c r="Q147" s="650">
        <f t="shared" si="121"/>
        <v>0</v>
      </c>
    </row>
    <row r="148" spans="1:23" customFormat="1" ht="15" customHeight="1" x14ac:dyDescent="0.3">
      <c r="A148" s="540" t="s">
        <v>317</v>
      </c>
      <c r="B148" s="145" t="s">
        <v>318</v>
      </c>
      <c r="C148" s="297"/>
      <c r="D148" s="297"/>
      <c r="E148" s="297"/>
      <c r="F148" s="297"/>
      <c r="G148" s="297"/>
      <c r="H148" s="297"/>
      <c r="I148" s="297"/>
      <c r="J148" s="297"/>
      <c r="K148" s="297"/>
      <c r="L148" s="145">
        <f>SUM(L149)</f>
        <v>0</v>
      </c>
      <c r="M148" s="145">
        <f t="shared" ref="M148:Q149" si="122">SUM(M149)</f>
        <v>0</v>
      </c>
      <c r="N148" s="145">
        <f t="shared" si="122"/>
        <v>0</v>
      </c>
      <c r="O148" s="654">
        <f t="shared" si="122"/>
        <v>1500000</v>
      </c>
      <c r="P148" s="145">
        <f t="shared" si="122"/>
        <v>0</v>
      </c>
      <c r="Q148" s="145">
        <f t="shared" si="122"/>
        <v>0</v>
      </c>
    </row>
    <row r="149" spans="1:23" customFormat="1" ht="15" customHeight="1" x14ac:dyDescent="0.3">
      <c r="A149" s="177">
        <v>323</v>
      </c>
      <c r="B149" s="178" t="s">
        <v>23</v>
      </c>
      <c r="C149" s="297"/>
      <c r="D149" s="297"/>
      <c r="E149" s="297"/>
      <c r="F149" s="297"/>
      <c r="G149" s="297"/>
      <c r="H149" s="297"/>
      <c r="I149" s="297"/>
      <c r="J149" s="297"/>
      <c r="K149" s="297"/>
      <c r="L149" s="652">
        <f>SUM(L150)</f>
        <v>0</v>
      </c>
      <c r="M149" s="652">
        <f t="shared" si="122"/>
        <v>0</v>
      </c>
      <c r="N149" s="652">
        <f t="shared" si="122"/>
        <v>0</v>
      </c>
      <c r="O149" s="652">
        <f t="shared" si="122"/>
        <v>1500000</v>
      </c>
      <c r="P149" s="652">
        <f t="shared" si="122"/>
        <v>0</v>
      </c>
      <c r="Q149" s="652">
        <f t="shared" si="122"/>
        <v>0</v>
      </c>
    </row>
    <row r="150" spans="1:23" customFormat="1" ht="15" customHeight="1" x14ac:dyDescent="0.3">
      <c r="A150" s="180">
        <v>3239</v>
      </c>
      <c r="B150" s="181" t="s">
        <v>31</v>
      </c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>
        <v>1500000</v>
      </c>
      <c r="P150" s="297"/>
      <c r="Q150" s="297"/>
    </row>
    <row r="151" spans="1:23" customFormat="1" ht="29.55" customHeight="1" x14ac:dyDescent="0.3">
      <c r="A151" s="174" t="s">
        <v>323</v>
      </c>
      <c r="B151" s="186" t="s">
        <v>324</v>
      </c>
      <c r="C151" s="297"/>
      <c r="D151" s="297"/>
      <c r="E151" s="297"/>
      <c r="F151" s="297"/>
      <c r="G151" s="297"/>
      <c r="H151" s="297"/>
      <c r="I151" s="297"/>
      <c r="J151" s="297"/>
      <c r="K151" s="297"/>
      <c r="L151" s="449">
        <f>SUM(L152)</f>
        <v>0</v>
      </c>
      <c r="M151" s="449">
        <f t="shared" ref="M151:Q152" si="123">SUM(M152)</f>
        <v>0</v>
      </c>
      <c r="N151" s="449">
        <f t="shared" si="123"/>
        <v>0</v>
      </c>
      <c r="O151" s="449">
        <f t="shared" si="123"/>
        <v>3500000</v>
      </c>
      <c r="P151" s="449">
        <f t="shared" si="123"/>
        <v>0</v>
      </c>
      <c r="Q151" s="449">
        <f t="shared" si="123"/>
        <v>0</v>
      </c>
    </row>
    <row r="152" spans="1:23" customFormat="1" ht="15" customHeight="1" x14ac:dyDescent="0.3">
      <c r="A152" s="188">
        <v>422</v>
      </c>
      <c r="B152" s="192" t="s">
        <v>53</v>
      </c>
      <c r="C152" s="297"/>
      <c r="D152" s="297"/>
      <c r="E152" s="297"/>
      <c r="F152" s="297"/>
      <c r="G152" s="297"/>
      <c r="H152" s="297"/>
      <c r="I152" s="297"/>
      <c r="J152" s="297"/>
      <c r="K152" s="297"/>
      <c r="L152" s="297">
        <f>SUM(L153)</f>
        <v>0</v>
      </c>
      <c r="M152" s="297">
        <f t="shared" si="123"/>
        <v>0</v>
      </c>
      <c r="N152" s="297">
        <f t="shared" si="123"/>
        <v>0</v>
      </c>
      <c r="O152" s="297">
        <f t="shared" si="123"/>
        <v>3500000</v>
      </c>
      <c r="P152" s="297">
        <f t="shared" si="123"/>
        <v>0</v>
      </c>
      <c r="Q152" s="297">
        <f t="shared" si="123"/>
        <v>0</v>
      </c>
    </row>
    <row r="153" spans="1:23" customFormat="1" ht="15" customHeight="1" x14ac:dyDescent="0.3">
      <c r="A153" s="189" t="s">
        <v>180</v>
      </c>
      <c r="B153" s="190" t="s">
        <v>60</v>
      </c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>
        <v>3500000</v>
      </c>
      <c r="P153" s="297"/>
      <c r="Q153" s="297"/>
    </row>
    <row r="154" spans="1:23" customFormat="1" ht="22.05" customHeight="1" x14ac:dyDescent="0.3">
      <c r="A154" s="170" t="s">
        <v>49</v>
      </c>
      <c r="B154" s="171" t="s">
        <v>50</v>
      </c>
      <c r="C154" s="172">
        <f t="shared" ref="C154:F154" si="124">SUM(C155+C164+C171)</f>
        <v>3990000</v>
      </c>
      <c r="D154" s="172">
        <f t="shared" si="124"/>
        <v>3699000</v>
      </c>
      <c r="E154" s="172">
        <f t="shared" si="124"/>
        <v>0</v>
      </c>
      <c r="F154" s="172">
        <f t="shared" si="124"/>
        <v>291000</v>
      </c>
      <c r="G154" s="172">
        <f t="shared" ref="G154:H154" si="125">SUM(G155+G164+G171)</f>
        <v>2130000</v>
      </c>
      <c r="H154" s="172">
        <f t="shared" si="125"/>
        <v>2130000</v>
      </c>
      <c r="I154" s="172">
        <f t="shared" ref="I154:M154" si="126">SUM(I155+I164+I171)</f>
        <v>2240000</v>
      </c>
      <c r="J154" s="172">
        <f t="shared" si="126"/>
        <v>2140000</v>
      </c>
      <c r="K154" s="172">
        <f t="shared" si="126"/>
        <v>446000</v>
      </c>
      <c r="L154" s="172">
        <f t="shared" si="126"/>
        <v>546000</v>
      </c>
      <c r="M154" s="172">
        <f t="shared" si="126"/>
        <v>7240000</v>
      </c>
      <c r="N154" s="172">
        <f t="shared" ref="N154:O154" si="127">SUM(N155+N164+N171)</f>
        <v>3620000</v>
      </c>
      <c r="O154" s="172">
        <f t="shared" si="127"/>
        <v>2340000</v>
      </c>
      <c r="P154" s="172">
        <f t="shared" ref="P154:Q154" si="128">SUM(P155+P164+P171)</f>
        <v>7240000</v>
      </c>
      <c r="Q154" s="172">
        <f t="shared" si="128"/>
        <v>3620000</v>
      </c>
      <c r="W154" s="433"/>
    </row>
    <row r="155" spans="1:23" customFormat="1" ht="1.05" hidden="1" customHeight="1" x14ac:dyDescent="0.3">
      <c r="A155" s="721" t="s">
        <v>97</v>
      </c>
      <c r="B155" s="721"/>
      <c r="C155" s="173">
        <f>SUM(C156,C161)</f>
        <v>1860000</v>
      </c>
      <c r="D155" s="173">
        <f t="shared" ref="D155:F155" si="129">SUM(D156,D161)</f>
        <v>1569000</v>
      </c>
      <c r="E155" s="173">
        <f t="shared" si="129"/>
        <v>0</v>
      </c>
      <c r="F155" s="173">
        <f t="shared" si="129"/>
        <v>291000</v>
      </c>
      <c r="G155" s="173">
        <f t="shared" ref="G155:H155" si="130">SUM(G156,G161)</f>
        <v>0</v>
      </c>
      <c r="H155" s="173">
        <f t="shared" si="130"/>
        <v>0</v>
      </c>
      <c r="I155" s="173">
        <f t="shared" ref="I155:M155" si="131">SUM(I156,I161)</f>
        <v>0</v>
      </c>
      <c r="J155" s="173">
        <f t="shared" si="131"/>
        <v>0</v>
      </c>
      <c r="K155" s="173">
        <f t="shared" si="131"/>
        <v>0</v>
      </c>
      <c r="L155" s="173">
        <f t="shared" si="131"/>
        <v>0</v>
      </c>
      <c r="M155" s="173">
        <f t="shared" si="131"/>
        <v>0</v>
      </c>
      <c r="N155" s="173">
        <f t="shared" ref="N155:O155" si="132">SUM(N156,N161)</f>
        <v>0</v>
      </c>
      <c r="O155" s="173">
        <f t="shared" si="132"/>
        <v>0</v>
      </c>
      <c r="P155" s="173">
        <f t="shared" ref="P155:Q155" si="133">SUM(P156,P161)</f>
        <v>0</v>
      </c>
      <c r="Q155" s="173">
        <f t="shared" si="133"/>
        <v>0</v>
      </c>
    </row>
    <row r="156" spans="1:23" customFormat="1" ht="18.600000000000001" hidden="1" customHeight="1" x14ac:dyDescent="0.3">
      <c r="A156" s="174" t="s">
        <v>317</v>
      </c>
      <c r="B156" s="175" t="s">
        <v>318</v>
      </c>
      <c r="C156" s="176">
        <f>SUM(C157)</f>
        <v>10000</v>
      </c>
      <c r="D156" s="176">
        <f t="shared" ref="D156:Q156" si="134">SUM(D157)</f>
        <v>0</v>
      </c>
      <c r="E156" s="176">
        <f t="shared" si="134"/>
        <v>0</v>
      </c>
      <c r="F156" s="176">
        <f t="shared" si="134"/>
        <v>10000</v>
      </c>
      <c r="G156" s="176">
        <f t="shared" si="134"/>
        <v>0</v>
      </c>
      <c r="H156" s="176">
        <f t="shared" si="134"/>
        <v>0</v>
      </c>
      <c r="I156" s="176">
        <f t="shared" si="134"/>
        <v>0</v>
      </c>
      <c r="J156" s="176">
        <f t="shared" si="134"/>
        <v>0</v>
      </c>
      <c r="K156" s="176">
        <f t="shared" si="134"/>
        <v>0</v>
      </c>
      <c r="L156" s="176">
        <f t="shared" si="134"/>
        <v>0</v>
      </c>
      <c r="M156" s="176">
        <f t="shared" si="134"/>
        <v>0</v>
      </c>
      <c r="N156" s="176">
        <f t="shared" si="134"/>
        <v>0</v>
      </c>
      <c r="O156" s="176">
        <f t="shared" si="134"/>
        <v>0</v>
      </c>
      <c r="P156" s="176">
        <f t="shared" si="134"/>
        <v>0</v>
      </c>
      <c r="Q156" s="176">
        <f t="shared" si="134"/>
        <v>0</v>
      </c>
    </row>
    <row r="157" spans="1:23" customFormat="1" ht="15" hidden="1" customHeight="1" x14ac:dyDescent="0.3">
      <c r="A157" s="177">
        <v>323</v>
      </c>
      <c r="B157" s="178" t="s">
        <v>23</v>
      </c>
      <c r="C157" s="194">
        <f t="shared" ref="C157:Q157" si="135">SUM(C158)</f>
        <v>10000</v>
      </c>
      <c r="D157" s="194">
        <f t="shared" si="135"/>
        <v>0</v>
      </c>
      <c r="E157" s="194">
        <f t="shared" si="135"/>
        <v>0</v>
      </c>
      <c r="F157" s="194">
        <f t="shared" si="135"/>
        <v>10000</v>
      </c>
      <c r="G157" s="194">
        <f t="shared" si="135"/>
        <v>0</v>
      </c>
      <c r="H157" s="194">
        <f t="shared" si="135"/>
        <v>0</v>
      </c>
      <c r="I157" s="194">
        <f t="shared" si="135"/>
        <v>0</v>
      </c>
      <c r="J157" s="194">
        <f t="shared" si="135"/>
        <v>0</v>
      </c>
      <c r="K157" s="194">
        <f t="shared" si="135"/>
        <v>0</v>
      </c>
      <c r="L157" s="194">
        <f t="shared" si="135"/>
        <v>0</v>
      </c>
      <c r="M157" s="194">
        <f t="shared" si="135"/>
        <v>0</v>
      </c>
      <c r="N157" s="194">
        <f t="shared" si="135"/>
        <v>0</v>
      </c>
      <c r="O157" s="194">
        <f t="shared" si="135"/>
        <v>0</v>
      </c>
      <c r="P157" s="194">
        <f t="shared" si="135"/>
        <v>0</v>
      </c>
      <c r="Q157" s="194">
        <f t="shared" si="135"/>
        <v>0</v>
      </c>
    </row>
    <row r="158" spans="1:23" customFormat="1" ht="14.1" hidden="1" customHeight="1" x14ac:dyDescent="0.3">
      <c r="A158" s="200">
        <v>3232</v>
      </c>
      <c r="B158" s="201" t="s">
        <v>25</v>
      </c>
      <c r="C158" s="195">
        <v>10000</v>
      </c>
      <c r="D158" s="195"/>
      <c r="E158" s="195"/>
      <c r="F158" s="195">
        <f t="shared" ref="F158" si="136">C158-D158+E158</f>
        <v>10000</v>
      </c>
      <c r="G158" s="195"/>
      <c r="H158" s="195"/>
      <c r="I158" s="195"/>
      <c r="J158" s="297"/>
      <c r="K158" s="297"/>
      <c r="L158" s="220"/>
      <c r="M158" s="195"/>
      <c r="N158" s="195"/>
      <c r="O158" s="195"/>
      <c r="P158" s="195"/>
      <c r="Q158" s="195"/>
    </row>
    <row r="159" spans="1:23" s="6" customFormat="1" ht="2.25" hidden="1" customHeight="1" x14ac:dyDescent="0.3">
      <c r="A159" s="177" t="s">
        <v>177</v>
      </c>
      <c r="B159" s="178" t="s">
        <v>129</v>
      </c>
      <c r="C159" s="179">
        <f t="shared" ref="C159:D159" si="137">SUM(C160)</f>
        <v>0</v>
      </c>
      <c r="D159" s="179">
        <f t="shared" si="137"/>
        <v>0</v>
      </c>
      <c r="E159" s="179"/>
      <c r="F159" s="179"/>
      <c r="G159" s="179"/>
      <c r="H159" s="179"/>
      <c r="I159" s="179"/>
      <c r="J159" s="219"/>
      <c r="K159" s="219"/>
      <c r="L159" s="219"/>
      <c r="M159" s="179"/>
      <c r="N159" s="179"/>
      <c r="O159" s="179"/>
      <c r="P159" s="179"/>
      <c r="Q159" s="179"/>
    </row>
    <row r="160" spans="1:23" customFormat="1" ht="9.75" hidden="1" customHeight="1" x14ac:dyDescent="0.3">
      <c r="A160" s="200" t="s">
        <v>178</v>
      </c>
      <c r="B160" s="181" t="s">
        <v>54</v>
      </c>
      <c r="C160" s="182"/>
      <c r="D160" s="182"/>
      <c r="E160" s="182"/>
      <c r="F160" s="182"/>
      <c r="G160" s="182"/>
      <c r="H160" s="182"/>
      <c r="I160" s="182"/>
      <c r="J160" s="220"/>
      <c r="K160" s="220"/>
      <c r="L160" s="220"/>
      <c r="M160" s="182"/>
      <c r="N160" s="182"/>
      <c r="O160" s="182"/>
      <c r="P160" s="182"/>
      <c r="Q160" s="182"/>
    </row>
    <row r="161" spans="1:17" customFormat="1" ht="26.4" hidden="1" x14ac:dyDescent="0.3">
      <c r="A161" s="209" t="s">
        <v>325</v>
      </c>
      <c r="B161" s="210" t="s">
        <v>326</v>
      </c>
      <c r="C161" s="176">
        <f>SUM(C162)</f>
        <v>1850000</v>
      </c>
      <c r="D161" s="176">
        <f t="shared" ref="D161:Q161" si="138">SUM(D162)</f>
        <v>1569000</v>
      </c>
      <c r="E161" s="176">
        <f t="shared" si="138"/>
        <v>0</v>
      </c>
      <c r="F161" s="176">
        <f t="shared" si="138"/>
        <v>281000</v>
      </c>
      <c r="G161" s="176">
        <f t="shared" si="138"/>
        <v>0</v>
      </c>
      <c r="H161" s="176">
        <f t="shared" si="138"/>
        <v>0</v>
      </c>
      <c r="I161" s="176">
        <f t="shared" si="138"/>
        <v>0</v>
      </c>
      <c r="J161" s="176">
        <f t="shared" si="138"/>
        <v>0</v>
      </c>
      <c r="K161" s="176">
        <f t="shared" si="138"/>
        <v>0</v>
      </c>
      <c r="L161" s="176">
        <f t="shared" si="138"/>
        <v>0</v>
      </c>
      <c r="M161" s="176">
        <f t="shared" si="138"/>
        <v>0</v>
      </c>
      <c r="N161" s="176">
        <f t="shared" si="138"/>
        <v>0</v>
      </c>
      <c r="O161" s="176">
        <f t="shared" si="138"/>
        <v>0</v>
      </c>
      <c r="P161" s="176">
        <f t="shared" si="138"/>
        <v>0</v>
      </c>
      <c r="Q161" s="176">
        <f t="shared" si="138"/>
        <v>0</v>
      </c>
    </row>
    <row r="162" spans="1:17" s="6" customFormat="1" ht="26.4" hidden="1" x14ac:dyDescent="0.3">
      <c r="A162" s="177">
        <v>451</v>
      </c>
      <c r="B162" s="178" t="s">
        <v>55</v>
      </c>
      <c r="C162" s="179">
        <f t="shared" ref="C162:Q162" si="139">SUM(C163)</f>
        <v>1850000</v>
      </c>
      <c r="D162" s="179">
        <f t="shared" si="139"/>
        <v>1569000</v>
      </c>
      <c r="E162" s="179">
        <f t="shared" si="139"/>
        <v>0</v>
      </c>
      <c r="F162" s="179">
        <f t="shared" si="139"/>
        <v>281000</v>
      </c>
      <c r="G162" s="179">
        <f t="shared" si="139"/>
        <v>0</v>
      </c>
      <c r="H162" s="179">
        <f t="shared" si="139"/>
        <v>0</v>
      </c>
      <c r="I162" s="179">
        <f t="shared" si="139"/>
        <v>0</v>
      </c>
      <c r="J162" s="179">
        <f t="shared" si="139"/>
        <v>0</v>
      </c>
      <c r="K162" s="179">
        <f t="shared" si="139"/>
        <v>0</v>
      </c>
      <c r="L162" s="179">
        <f t="shared" si="139"/>
        <v>0</v>
      </c>
      <c r="M162" s="179">
        <f t="shared" si="139"/>
        <v>0</v>
      </c>
      <c r="N162" s="179">
        <f t="shared" si="139"/>
        <v>0</v>
      </c>
      <c r="O162" s="179">
        <f t="shared" si="139"/>
        <v>0</v>
      </c>
      <c r="P162" s="179">
        <f t="shared" si="139"/>
        <v>0</v>
      </c>
      <c r="Q162" s="179">
        <f t="shared" si="139"/>
        <v>0</v>
      </c>
    </row>
    <row r="163" spans="1:17" customFormat="1" ht="14.4" hidden="1" x14ac:dyDescent="0.3">
      <c r="A163" s="180">
        <v>4511</v>
      </c>
      <c r="B163" s="181" t="s">
        <v>55</v>
      </c>
      <c r="C163" s="191">
        <v>1850000</v>
      </c>
      <c r="D163" s="182">
        <v>1569000</v>
      </c>
      <c r="E163" s="182"/>
      <c r="F163" s="182">
        <f t="shared" ref="F163" si="140">C163-D163+E163</f>
        <v>281000</v>
      </c>
      <c r="G163" s="182"/>
      <c r="H163" s="182"/>
      <c r="I163" s="182"/>
      <c r="J163" s="220"/>
      <c r="K163" s="220"/>
      <c r="L163" s="220"/>
      <c r="M163" s="182"/>
      <c r="N163" s="182"/>
      <c r="O163" s="182"/>
      <c r="P163" s="182"/>
      <c r="Q163" s="182"/>
    </row>
    <row r="164" spans="1:17" customFormat="1" ht="21" customHeight="1" x14ac:dyDescent="0.3">
      <c r="A164" s="721" t="s">
        <v>113</v>
      </c>
      <c r="B164" s="721"/>
      <c r="C164" s="173">
        <f>SUM(C166)</f>
        <v>0</v>
      </c>
      <c r="D164" s="173">
        <f>SUM(D166)</f>
        <v>0</v>
      </c>
      <c r="E164" s="173"/>
      <c r="F164" s="173"/>
      <c r="G164" s="173"/>
      <c r="H164" s="173"/>
      <c r="I164" s="173">
        <f>SUM(I165)</f>
        <v>0</v>
      </c>
      <c r="J164" s="173">
        <f t="shared" ref="J164:Q166" si="141">SUM(J165)</f>
        <v>0</v>
      </c>
      <c r="K164" s="173">
        <f>SUM(K165,K168)</f>
        <v>446000</v>
      </c>
      <c r="L164" s="173">
        <f>SUM(L165,L168)</f>
        <v>446000</v>
      </c>
      <c r="M164" s="173">
        <f t="shared" si="141"/>
        <v>0</v>
      </c>
      <c r="N164" s="173">
        <f t="shared" si="141"/>
        <v>0</v>
      </c>
      <c r="O164" s="173">
        <f>SUM(O165,O168)</f>
        <v>100000</v>
      </c>
      <c r="P164" s="173">
        <f t="shared" ref="P164:Q164" si="142">SUM(P165,P168)</f>
        <v>0</v>
      </c>
      <c r="Q164" s="173">
        <f t="shared" si="142"/>
        <v>0</v>
      </c>
    </row>
    <row r="165" spans="1:17" customFormat="1" ht="28.05" hidden="1" customHeight="1" x14ac:dyDescent="0.3">
      <c r="A165" s="174" t="s">
        <v>323</v>
      </c>
      <c r="B165" s="186" t="s">
        <v>324</v>
      </c>
      <c r="C165" s="385"/>
      <c r="D165" s="385"/>
      <c r="E165" s="385"/>
      <c r="F165" s="385"/>
      <c r="G165" s="385"/>
      <c r="H165" s="385"/>
      <c r="I165" s="449">
        <f>SUM(I166)</f>
        <v>0</v>
      </c>
      <c r="J165" s="449">
        <f t="shared" si="141"/>
        <v>0</v>
      </c>
      <c r="K165" s="449">
        <f t="shared" si="141"/>
        <v>361000</v>
      </c>
      <c r="L165" s="449">
        <f t="shared" si="141"/>
        <v>361000</v>
      </c>
      <c r="M165" s="449">
        <f t="shared" si="141"/>
        <v>0</v>
      </c>
      <c r="N165" s="449">
        <f t="shared" si="141"/>
        <v>0</v>
      </c>
      <c r="O165" s="449">
        <f t="shared" si="141"/>
        <v>0</v>
      </c>
      <c r="P165" s="449">
        <f t="shared" si="141"/>
        <v>0</v>
      </c>
      <c r="Q165" s="449">
        <f t="shared" si="141"/>
        <v>0</v>
      </c>
    </row>
    <row r="166" spans="1:17" customFormat="1" ht="12" hidden="1" customHeight="1" x14ac:dyDescent="0.3">
      <c r="A166" s="177">
        <v>421</v>
      </c>
      <c r="B166" s="178" t="s">
        <v>55</v>
      </c>
      <c r="C166" s="199">
        <f t="shared" ref="C166:D166" si="143">SUM(C167)</f>
        <v>0</v>
      </c>
      <c r="D166" s="199">
        <f t="shared" si="143"/>
        <v>0</v>
      </c>
      <c r="E166" s="199"/>
      <c r="F166" s="199"/>
      <c r="G166" s="199"/>
      <c r="H166" s="199"/>
      <c r="I166" s="199">
        <f>SUM(I167)</f>
        <v>0</v>
      </c>
      <c r="J166" s="199">
        <f t="shared" si="141"/>
        <v>0</v>
      </c>
      <c r="K166" s="199">
        <f t="shared" si="141"/>
        <v>361000</v>
      </c>
      <c r="L166" s="199">
        <f t="shared" si="141"/>
        <v>361000</v>
      </c>
      <c r="M166" s="199">
        <f t="shared" si="141"/>
        <v>0</v>
      </c>
      <c r="N166" s="199">
        <f t="shared" si="141"/>
        <v>0</v>
      </c>
      <c r="O166" s="199">
        <f t="shared" si="141"/>
        <v>0</v>
      </c>
      <c r="P166" s="199">
        <f t="shared" si="141"/>
        <v>0</v>
      </c>
      <c r="Q166" s="199">
        <f t="shared" si="141"/>
        <v>0</v>
      </c>
    </row>
    <row r="167" spans="1:17" customFormat="1" ht="13.5" hidden="1" customHeight="1" x14ac:dyDescent="0.3">
      <c r="A167" s="180">
        <v>4212</v>
      </c>
      <c r="B167" s="181" t="s">
        <v>52</v>
      </c>
      <c r="C167" s="182"/>
      <c r="D167" s="182"/>
      <c r="E167" s="182"/>
      <c r="F167" s="182"/>
      <c r="G167" s="182"/>
      <c r="H167" s="182"/>
      <c r="I167" s="182"/>
      <c r="J167" s="220"/>
      <c r="K167" s="220">
        <v>361000</v>
      </c>
      <c r="L167" s="220">
        <f>I167-J167+K167</f>
        <v>361000</v>
      </c>
      <c r="M167" s="182"/>
      <c r="N167" s="182"/>
      <c r="O167" s="182"/>
      <c r="P167" s="182"/>
      <c r="Q167" s="182"/>
    </row>
    <row r="168" spans="1:17" customFormat="1" ht="28.05" customHeight="1" x14ac:dyDescent="0.3">
      <c r="A168" s="209" t="s">
        <v>325</v>
      </c>
      <c r="B168" s="210" t="s">
        <v>326</v>
      </c>
      <c r="C168" s="176">
        <f>SUM(C169)</f>
        <v>2130000</v>
      </c>
      <c r="D168" s="176">
        <f t="shared" ref="D168:Q168" si="144">SUM(D169)</f>
        <v>2130000</v>
      </c>
      <c r="E168" s="176">
        <f t="shared" si="144"/>
        <v>0</v>
      </c>
      <c r="F168" s="176">
        <f t="shared" si="144"/>
        <v>0</v>
      </c>
      <c r="G168" s="176">
        <f t="shared" si="144"/>
        <v>2130000</v>
      </c>
      <c r="H168" s="176">
        <f t="shared" si="144"/>
        <v>2130000</v>
      </c>
      <c r="I168" s="176">
        <f t="shared" si="144"/>
        <v>0</v>
      </c>
      <c r="J168" s="176">
        <f t="shared" si="144"/>
        <v>0</v>
      </c>
      <c r="K168" s="176">
        <f t="shared" si="144"/>
        <v>85000</v>
      </c>
      <c r="L168" s="176">
        <f t="shared" si="144"/>
        <v>85000</v>
      </c>
      <c r="M168" s="176">
        <f t="shared" si="144"/>
        <v>0</v>
      </c>
      <c r="N168" s="176">
        <f t="shared" si="144"/>
        <v>0</v>
      </c>
      <c r="O168" s="176">
        <f t="shared" si="144"/>
        <v>100000</v>
      </c>
      <c r="P168" s="176">
        <f t="shared" si="144"/>
        <v>0</v>
      </c>
      <c r="Q168" s="176">
        <f t="shared" si="144"/>
        <v>0</v>
      </c>
    </row>
    <row r="169" spans="1:17" customFormat="1" ht="22.5" customHeight="1" x14ac:dyDescent="0.3">
      <c r="A169" s="188">
        <v>451</v>
      </c>
      <c r="B169" s="192" t="s">
        <v>55</v>
      </c>
      <c r="C169" s="179">
        <f t="shared" ref="C169:Q169" si="145">SUM(C170)</f>
        <v>2130000</v>
      </c>
      <c r="D169" s="179">
        <f t="shared" si="145"/>
        <v>2130000</v>
      </c>
      <c r="E169" s="179">
        <f t="shared" si="145"/>
        <v>0</v>
      </c>
      <c r="F169" s="179">
        <f t="shared" si="145"/>
        <v>0</v>
      </c>
      <c r="G169" s="179">
        <f t="shared" si="145"/>
        <v>2130000</v>
      </c>
      <c r="H169" s="179">
        <f t="shared" si="145"/>
        <v>2130000</v>
      </c>
      <c r="I169" s="179">
        <f t="shared" si="145"/>
        <v>0</v>
      </c>
      <c r="J169" s="179">
        <f t="shared" si="145"/>
        <v>0</v>
      </c>
      <c r="K169" s="179">
        <f t="shared" si="145"/>
        <v>85000</v>
      </c>
      <c r="L169" s="179">
        <f t="shared" si="145"/>
        <v>85000</v>
      </c>
      <c r="M169" s="179">
        <f t="shared" si="145"/>
        <v>0</v>
      </c>
      <c r="N169" s="179">
        <f t="shared" si="145"/>
        <v>0</v>
      </c>
      <c r="O169" s="179">
        <f t="shared" si="145"/>
        <v>100000</v>
      </c>
      <c r="P169" s="179">
        <f t="shared" si="145"/>
        <v>0</v>
      </c>
      <c r="Q169" s="179">
        <f t="shared" si="145"/>
        <v>0</v>
      </c>
    </row>
    <row r="170" spans="1:17" customFormat="1" ht="14.4" x14ac:dyDescent="0.3">
      <c r="A170" s="189">
        <v>4511</v>
      </c>
      <c r="B170" s="190" t="s">
        <v>55</v>
      </c>
      <c r="C170" s="212">
        <v>2130000</v>
      </c>
      <c r="D170" s="213">
        <v>2130000</v>
      </c>
      <c r="E170" s="212"/>
      <c r="F170" s="182">
        <f t="shared" ref="F170" si="146">C170-D170+E170</f>
        <v>0</v>
      </c>
      <c r="G170" s="212">
        <v>2130000</v>
      </c>
      <c r="H170" s="212">
        <v>2130000</v>
      </c>
      <c r="I170" s="214"/>
      <c r="J170" s="392"/>
      <c r="K170" s="392">
        <v>85000</v>
      </c>
      <c r="L170" s="220">
        <f>I170-J170+K170</f>
        <v>85000</v>
      </c>
      <c r="M170" s="220"/>
      <c r="N170" s="220"/>
      <c r="O170" s="220">
        <v>100000</v>
      </c>
      <c r="P170" s="220"/>
      <c r="Q170" s="220"/>
    </row>
    <row r="171" spans="1:17" customFormat="1" ht="29.25" customHeight="1" x14ac:dyDescent="0.3">
      <c r="A171" s="720" t="s">
        <v>241</v>
      </c>
      <c r="B171" s="720"/>
      <c r="C171" s="211">
        <f>SUM(C172)</f>
        <v>2130000</v>
      </c>
      <c r="D171" s="211">
        <f t="shared" ref="D171:Q172" si="147">SUM(D172)</f>
        <v>2130000</v>
      </c>
      <c r="E171" s="211">
        <f t="shared" si="147"/>
        <v>0</v>
      </c>
      <c r="F171" s="211">
        <f t="shared" si="147"/>
        <v>0</v>
      </c>
      <c r="G171" s="211">
        <f t="shared" si="147"/>
        <v>2130000</v>
      </c>
      <c r="H171" s="211">
        <f t="shared" si="147"/>
        <v>2130000</v>
      </c>
      <c r="I171" s="211">
        <f t="shared" si="147"/>
        <v>2240000</v>
      </c>
      <c r="J171" s="211">
        <f t="shared" si="147"/>
        <v>2140000</v>
      </c>
      <c r="K171" s="211">
        <f t="shared" si="147"/>
        <v>0</v>
      </c>
      <c r="L171" s="211">
        <f t="shared" si="147"/>
        <v>100000</v>
      </c>
      <c r="M171" s="211">
        <f t="shared" si="147"/>
        <v>7240000</v>
      </c>
      <c r="N171" s="211">
        <f t="shared" si="147"/>
        <v>3620000</v>
      </c>
      <c r="O171" s="211">
        <f t="shared" si="147"/>
        <v>2240000</v>
      </c>
      <c r="P171" s="211">
        <f t="shared" si="147"/>
        <v>7240000</v>
      </c>
      <c r="Q171" s="211">
        <f t="shared" si="147"/>
        <v>3620000</v>
      </c>
    </row>
    <row r="172" spans="1:17" customFormat="1" ht="26.4" x14ac:dyDescent="0.3">
      <c r="A172" s="209" t="s">
        <v>325</v>
      </c>
      <c r="B172" s="210" t="s">
        <v>326</v>
      </c>
      <c r="C172" s="176">
        <f>SUM(C173)</f>
        <v>2130000</v>
      </c>
      <c r="D172" s="176">
        <f t="shared" si="147"/>
        <v>2130000</v>
      </c>
      <c r="E172" s="176">
        <f t="shared" si="147"/>
        <v>0</v>
      </c>
      <c r="F172" s="176">
        <f t="shared" si="147"/>
        <v>0</v>
      </c>
      <c r="G172" s="176">
        <f t="shared" si="147"/>
        <v>2130000</v>
      </c>
      <c r="H172" s="176">
        <f t="shared" si="147"/>
        <v>2130000</v>
      </c>
      <c r="I172" s="176">
        <f t="shared" si="147"/>
        <v>2240000</v>
      </c>
      <c r="J172" s="176">
        <f t="shared" si="147"/>
        <v>2140000</v>
      </c>
      <c r="K172" s="176">
        <f t="shared" si="147"/>
        <v>0</v>
      </c>
      <c r="L172" s="176">
        <f t="shared" si="147"/>
        <v>100000</v>
      </c>
      <c r="M172" s="176">
        <f t="shared" si="147"/>
        <v>7240000</v>
      </c>
      <c r="N172" s="176">
        <f t="shared" si="147"/>
        <v>3620000</v>
      </c>
      <c r="O172" s="176">
        <f t="shared" si="147"/>
        <v>2240000</v>
      </c>
      <c r="P172" s="176">
        <f t="shared" si="147"/>
        <v>7240000</v>
      </c>
      <c r="Q172" s="176">
        <f t="shared" si="147"/>
        <v>3620000</v>
      </c>
    </row>
    <row r="173" spans="1:17" customFormat="1" ht="14.4" x14ac:dyDescent="0.3">
      <c r="A173" s="188">
        <v>451</v>
      </c>
      <c r="B173" s="192" t="s">
        <v>55</v>
      </c>
      <c r="C173" s="179">
        <f t="shared" ref="C173:Q173" si="148">SUM(C174)</f>
        <v>2130000</v>
      </c>
      <c r="D173" s="179">
        <f t="shared" si="148"/>
        <v>2130000</v>
      </c>
      <c r="E173" s="179">
        <f t="shared" si="148"/>
        <v>0</v>
      </c>
      <c r="F173" s="179">
        <f t="shared" si="148"/>
        <v>0</v>
      </c>
      <c r="G173" s="179">
        <f t="shared" si="148"/>
        <v>2130000</v>
      </c>
      <c r="H173" s="179">
        <f t="shared" si="148"/>
        <v>2130000</v>
      </c>
      <c r="I173" s="179">
        <f t="shared" si="148"/>
        <v>2240000</v>
      </c>
      <c r="J173" s="179">
        <f t="shared" si="148"/>
        <v>2140000</v>
      </c>
      <c r="K173" s="179">
        <f t="shared" si="148"/>
        <v>0</v>
      </c>
      <c r="L173" s="179">
        <f t="shared" si="148"/>
        <v>100000</v>
      </c>
      <c r="M173" s="179">
        <f t="shared" si="148"/>
        <v>7240000</v>
      </c>
      <c r="N173" s="179">
        <f t="shared" si="148"/>
        <v>3620000</v>
      </c>
      <c r="O173" s="179">
        <f t="shared" si="148"/>
        <v>2240000</v>
      </c>
      <c r="P173" s="179">
        <f t="shared" si="148"/>
        <v>7240000</v>
      </c>
      <c r="Q173" s="179">
        <f t="shared" si="148"/>
        <v>3620000</v>
      </c>
    </row>
    <row r="174" spans="1:17" customFormat="1" ht="14.4" x14ac:dyDescent="0.3">
      <c r="A174" s="189">
        <v>4511</v>
      </c>
      <c r="B174" s="190" t="s">
        <v>55</v>
      </c>
      <c r="C174" s="212">
        <v>2130000</v>
      </c>
      <c r="D174" s="213">
        <v>2130000</v>
      </c>
      <c r="E174" s="212"/>
      <c r="F174" s="182">
        <f t="shared" ref="F174" si="149">C174-D174+E174</f>
        <v>0</v>
      </c>
      <c r="G174" s="212">
        <v>2130000</v>
      </c>
      <c r="H174" s="212">
        <v>2130000</v>
      </c>
      <c r="I174" s="214">
        <f>7240000-5000000</f>
        <v>2240000</v>
      </c>
      <c r="J174" s="392">
        <v>2140000</v>
      </c>
      <c r="K174" s="392"/>
      <c r="L174" s="220">
        <f>I174-J174+K174</f>
        <v>100000</v>
      </c>
      <c r="M174" s="214">
        <v>7240000</v>
      </c>
      <c r="N174" s="214">
        <v>3620000</v>
      </c>
      <c r="O174" s="214">
        <v>2240000</v>
      </c>
      <c r="P174" s="214">
        <v>7240000</v>
      </c>
      <c r="Q174" s="214">
        <v>3620000</v>
      </c>
    </row>
    <row r="175" spans="1:17" customFormat="1" ht="14.4" hidden="1" x14ac:dyDescent="0.3">
      <c r="A175" s="410" t="s">
        <v>56</v>
      </c>
      <c r="B175" s="411" t="s">
        <v>57</v>
      </c>
      <c r="C175" s="172">
        <f t="shared" ref="C175:Q177" si="150">SUM(C176)</f>
        <v>0</v>
      </c>
      <c r="D175" s="172">
        <f t="shared" si="150"/>
        <v>0</v>
      </c>
      <c r="E175" s="172">
        <f t="shared" si="150"/>
        <v>418000</v>
      </c>
      <c r="F175" s="172">
        <f t="shared" si="150"/>
        <v>418000</v>
      </c>
      <c r="G175" s="172">
        <f t="shared" si="150"/>
        <v>0</v>
      </c>
      <c r="H175" s="172">
        <f t="shared" si="150"/>
        <v>0</v>
      </c>
      <c r="I175" s="172">
        <f t="shared" si="150"/>
        <v>0</v>
      </c>
      <c r="J175" s="172">
        <f t="shared" si="150"/>
        <v>0</v>
      </c>
      <c r="K175" s="172">
        <f t="shared" si="150"/>
        <v>0</v>
      </c>
      <c r="L175" s="172">
        <f t="shared" si="150"/>
        <v>0</v>
      </c>
      <c r="M175" s="172">
        <f t="shared" si="150"/>
        <v>0</v>
      </c>
      <c r="N175" s="172">
        <f t="shared" si="150"/>
        <v>0</v>
      </c>
      <c r="O175" s="172">
        <f t="shared" si="150"/>
        <v>0</v>
      </c>
      <c r="P175" s="172">
        <f t="shared" si="150"/>
        <v>0</v>
      </c>
      <c r="Q175" s="172">
        <f t="shared" si="150"/>
        <v>0</v>
      </c>
    </row>
    <row r="176" spans="1:17" customFormat="1" ht="14.4" hidden="1" x14ac:dyDescent="0.3">
      <c r="A176" s="721" t="s">
        <v>97</v>
      </c>
      <c r="B176" s="721"/>
      <c r="C176" s="173">
        <f t="shared" si="150"/>
        <v>0</v>
      </c>
      <c r="D176" s="173">
        <f t="shared" si="150"/>
        <v>0</v>
      </c>
      <c r="E176" s="173">
        <f t="shared" si="150"/>
        <v>418000</v>
      </c>
      <c r="F176" s="173">
        <f t="shared" si="150"/>
        <v>418000</v>
      </c>
      <c r="G176" s="173">
        <f t="shared" si="150"/>
        <v>0</v>
      </c>
      <c r="H176" s="173">
        <f t="shared" si="150"/>
        <v>0</v>
      </c>
      <c r="I176" s="173">
        <f t="shared" si="150"/>
        <v>0</v>
      </c>
      <c r="J176" s="173">
        <f t="shared" si="150"/>
        <v>0</v>
      </c>
      <c r="K176" s="173">
        <f t="shared" si="150"/>
        <v>0</v>
      </c>
      <c r="L176" s="173">
        <f t="shared" si="150"/>
        <v>0</v>
      </c>
      <c r="M176" s="173">
        <f t="shared" si="150"/>
        <v>0</v>
      </c>
      <c r="N176" s="173">
        <f t="shared" si="150"/>
        <v>0</v>
      </c>
      <c r="O176" s="173">
        <f t="shared" si="150"/>
        <v>0</v>
      </c>
      <c r="P176" s="173">
        <f t="shared" si="150"/>
        <v>0</v>
      </c>
      <c r="Q176" s="173">
        <f t="shared" si="150"/>
        <v>0</v>
      </c>
    </row>
    <row r="177" spans="1:17" s="6" customFormat="1" ht="14.4" hidden="1" x14ac:dyDescent="0.3">
      <c r="A177" s="177">
        <v>322</v>
      </c>
      <c r="B177" s="178" t="s">
        <v>16</v>
      </c>
      <c r="C177" s="179">
        <f t="shared" si="150"/>
        <v>0</v>
      </c>
      <c r="D177" s="179">
        <f t="shared" si="150"/>
        <v>0</v>
      </c>
      <c r="E177" s="179">
        <f t="shared" si="150"/>
        <v>418000</v>
      </c>
      <c r="F177" s="179">
        <f t="shared" si="150"/>
        <v>418000</v>
      </c>
      <c r="G177" s="179">
        <f t="shared" si="150"/>
        <v>0</v>
      </c>
      <c r="H177" s="179">
        <f t="shared" si="150"/>
        <v>0</v>
      </c>
      <c r="I177" s="179">
        <f t="shared" si="150"/>
        <v>0</v>
      </c>
      <c r="J177" s="179">
        <f t="shared" si="150"/>
        <v>0</v>
      </c>
      <c r="K177" s="179">
        <f t="shared" si="150"/>
        <v>0</v>
      </c>
      <c r="L177" s="179">
        <f t="shared" si="150"/>
        <v>0</v>
      </c>
      <c r="M177" s="179">
        <f t="shared" si="150"/>
        <v>0</v>
      </c>
      <c r="N177" s="179">
        <f t="shared" si="150"/>
        <v>0</v>
      </c>
      <c r="O177" s="179">
        <f t="shared" si="150"/>
        <v>0</v>
      </c>
      <c r="P177" s="179">
        <f t="shared" si="150"/>
        <v>0</v>
      </c>
      <c r="Q177" s="179">
        <f t="shared" si="150"/>
        <v>0</v>
      </c>
    </row>
    <row r="178" spans="1:17" customFormat="1" ht="14.4" hidden="1" x14ac:dyDescent="0.3">
      <c r="A178" s="200">
        <v>3227</v>
      </c>
      <c r="B178" s="201" t="s">
        <v>22</v>
      </c>
      <c r="C178" s="182"/>
      <c r="D178" s="182"/>
      <c r="E178" s="182">
        <v>418000</v>
      </c>
      <c r="F178" s="182">
        <f t="shared" ref="F178" si="151">C178-D178+E178</f>
        <v>418000</v>
      </c>
      <c r="G178" s="182"/>
      <c r="H178" s="182"/>
      <c r="I178" s="182"/>
      <c r="J178" s="220"/>
      <c r="K178" s="220"/>
      <c r="L178" s="220"/>
      <c r="M178" s="182"/>
      <c r="N178" s="182"/>
      <c r="O178" s="182"/>
      <c r="P178" s="182"/>
      <c r="Q178" s="182"/>
    </row>
    <row r="179" spans="1:17" customFormat="1" ht="22.5" customHeight="1" x14ac:dyDescent="0.3">
      <c r="A179" s="170" t="s">
        <v>191</v>
      </c>
      <c r="B179" s="171" t="s">
        <v>273</v>
      </c>
      <c r="C179" s="172">
        <f t="shared" ref="C179:E179" si="152">SUM(C180+C183)</f>
        <v>157500</v>
      </c>
      <c r="D179" s="172">
        <f t="shared" si="152"/>
        <v>60000</v>
      </c>
      <c r="E179" s="172">
        <f t="shared" si="152"/>
        <v>1500</v>
      </c>
      <c r="F179" s="172">
        <f>SUM(F180+F183)</f>
        <v>99000</v>
      </c>
      <c r="G179" s="172">
        <f t="shared" ref="G179:H179" si="153">SUM(G180+G183)</f>
        <v>0</v>
      </c>
      <c r="H179" s="172">
        <f t="shared" si="153"/>
        <v>0</v>
      </c>
      <c r="I179" s="172">
        <f t="shared" ref="I179:N179" si="154">SUM(I180+I183)</f>
        <v>197000</v>
      </c>
      <c r="J179" s="172">
        <f t="shared" si="154"/>
        <v>13000</v>
      </c>
      <c r="K179" s="172">
        <f t="shared" si="154"/>
        <v>40000</v>
      </c>
      <c r="L179" s="172">
        <f t="shared" si="154"/>
        <v>224000</v>
      </c>
      <c r="M179" s="172">
        <f t="shared" si="154"/>
        <v>184000</v>
      </c>
      <c r="N179" s="172">
        <f t="shared" si="154"/>
        <v>0</v>
      </c>
      <c r="O179" s="172">
        <f t="shared" ref="O179:P179" si="155">SUM(O180+O183)</f>
        <v>244000</v>
      </c>
      <c r="P179" s="172">
        <f t="shared" si="155"/>
        <v>32000</v>
      </c>
      <c r="Q179" s="172">
        <f t="shared" ref="Q179" si="156">SUM(Q180+Q183)</f>
        <v>10000</v>
      </c>
    </row>
    <row r="180" spans="1:17" customFormat="1" ht="18" hidden="1" customHeight="1" x14ac:dyDescent="0.3">
      <c r="A180" s="722" t="s">
        <v>97</v>
      </c>
      <c r="B180" s="722"/>
      <c r="C180" s="173">
        <f t="shared" ref="C180:Q215" si="157">SUM(C181)</f>
        <v>0</v>
      </c>
      <c r="D180" s="173">
        <f t="shared" si="157"/>
        <v>0</v>
      </c>
      <c r="E180" s="173">
        <f t="shared" si="157"/>
        <v>0</v>
      </c>
      <c r="F180" s="173">
        <f t="shared" si="157"/>
        <v>0</v>
      </c>
      <c r="G180" s="173">
        <f t="shared" si="157"/>
        <v>0</v>
      </c>
      <c r="H180" s="173">
        <f t="shared" si="157"/>
        <v>0</v>
      </c>
      <c r="I180" s="173">
        <f t="shared" si="157"/>
        <v>0</v>
      </c>
      <c r="J180" s="385"/>
      <c r="K180" s="385"/>
      <c r="L180" s="385"/>
      <c r="M180" s="173">
        <f t="shared" si="157"/>
        <v>0</v>
      </c>
      <c r="N180" s="173">
        <f t="shared" si="157"/>
        <v>0</v>
      </c>
      <c r="O180" s="173">
        <f t="shared" si="157"/>
        <v>0</v>
      </c>
      <c r="P180" s="173">
        <f t="shared" si="157"/>
        <v>0</v>
      </c>
      <c r="Q180" s="173">
        <f t="shared" si="157"/>
        <v>0</v>
      </c>
    </row>
    <row r="181" spans="1:17" customFormat="1" ht="15" hidden="1" customHeight="1" x14ac:dyDescent="0.3">
      <c r="A181" s="177">
        <v>323</v>
      </c>
      <c r="B181" s="178" t="s">
        <v>23</v>
      </c>
      <c r="C181" s="194">
        <f t="shared" si="157"/>
        <v>0</v>
      </c>
      <c r="D181" s="194">
        <f t="shared" si="157"/>
        <v>0</v>
      </c>
      <c r="E181" s="194">
        <f t="shared" si="157"/>
        <v>0</v>
      </c>
      <c r="F181" s="194">
        <f t="shared" si="157"/>
        <v>0</v>
      </c>
      <c r="G181" s="194">
        <f t="shared" si="157"/>
        <v>0</v>
      </c>
      <c r="H181" s="194">
        <f t="shared" si="157"/>
        <v>0</v>
      </c>
      <c r="I181" s="194">
        <f t="shared" si="157"/>
        <v>0</v>
      </c>
      <c r="J181" s="389"/>
      <c r="K181" s="389"/>
      <c r="L181" s="389"/>
      <c r="M181" s="194">
        <f t="shared" si="157"/>
        <v>0</v>
      </c>
      <c r="N181" s="194">
        <f t="shared" si="157"/>
        <v>0</v>
      </c>
      <c r="O181" s="194">
        <f t="shared" si="157"/>
        <v>0</v>
      </c>
      <c r="P181" s="194">
        <f t="shared" si="157"/>
        <v>0</v>
      </c>
      <c r="Q181" s="194">
        <f t="shared" si="157"/>
        <v>0</v>
      </c>
    </row>
    <row r="182" spans="1:17" customFormat="1" ht="15" hidden="1" customHeight="1" x14ac:dyDescent="0.3">
      <c r="A182" s="180">
        <v>3239</v>
      </c>
      <c r="B182" s="181" t="s">
        <v>31</v>
      </c>
      <c r="C182" s="195"/>
      <c r="D182" s="195"/>
      <c r="E182" s="195"/>
      <c r="F182" s="195"/>
      <c r="G182" s="195"/>
      <c r="H182" s="195"/>
      <c r="I182" s="195"/>
      <c r="J182" s="297"/>
      <c r="K182" s="297"/>
      <c r="L182" s="297"/>
      <c r="M182" s="195"/>
      <c r="N182" s="195"/>
      <c r="O182" s="195"/>
      <c r="P182" s="195"/>
      <c r="Q182" s="195"/>
    </row>
    <row r="183" spans="1:17" customFormat="1" ht="17.25" customHeight="1" x14ac:dyDescent="0.3">
      <c r="A183" s="721" t="s">
        <v>106</v>
      </c>
      <c r="B183" s="721"/>
      <c r="C183" s="173">
        <f>SUM(C184,C187)</f>
        <v>157500</v>
      </c>
      <c r="D183" s="173">
        <f t="shared" ref="D183:E183" si="158">SUM(D184,D187)</f>
        <v>60000</v>
      </c>
      <c r="E183" s="173">
        <f t="shared" si="158"/>
        <v>1500</v>
      </c>
      <c r="F183" s="173">
        <f>SUM(F184,F187)</f>
        <v>99000</v>
      </c>
      <c r="G183" s="173">
        <f t="shared" ref="G183:H183" si="159">SUM(G184,G187)</f>
        <v>0</v>
      </c>
      <c r="H183" s="173">
        <f t="shared" si="159"/>
        <v>0</v>
      </c>
      <c r="I183" s="173">
        <f t="shared" ref="I183:N183" si="160">SUM(I184,I187)</f>
        <v>197000</v>
      </c>
      <c r="J183" s="173">
        <f t="shared" si="160"/>
        <v>13000</v>
      </c>
      <c r="K183" s="173">
        <f t="shared" si="160"/>
        <v>40000</v>
      </c>
      <c r="L183" s="173">
        <f t="shared" si="160"/>
        <v>224000</v>
      </c>
      <c r="M183" s="173">
        <f t="shared" si="160"/>
        <v>184000</v>
      </c>
      <c r="N183" s="173">
        <f t="shared" si="160"/>
        <v>0</v>
      </c>
      <c r="O183" s="173">
        <f t="shared" ref="O183:P183" si="161">SUM(O184,O187)</f>
        <v>244000</v>
      </c>
      <c r="P183" s="173">
        <f t="shared" si="161"/>
        <v>32000</v>
      </c>
      <c r="Q183" s="173">
        <f t="shared" ref="Q183" si="162">SUM(Q184,Q187)</f>
        <v>10000</v>
      </c>
    </row>
    <row r="184" spans="1:17" customFormat="1" ht="17.25" customHeight="1" x14ac:dyDescent="0.3">
      <c r="A184" s="185" t="s">
        <v>315</v>
      </c>
      <c r="B184" s="186" t="s">
        <v>316</v>
      </c>
      <c r="C184" s="187">
        <f>SUM(C185)</f>
        <v>23000</v>
      </c>
      <c r="D184" s="187">
        <f t="shared" ref="D184:Q184" si="163">SUM(D185)</f>
        <v>0</v>
      </c>
      <c r="E184" s="187">
        <f t="shared" si="163"/>
        <v>0</v>
      </c>
      <c r="F184" s="187">
        <f t="shared" si="163"/>
        <v>23000</v>
      </c>
      <c r="G184" s="187">
        <f t="shared" si="163"/>
        <v>0</v>
      </c>
      <c r="H184" s="187">
        <f t="shared" si="163"/>
        <v>0</v>
      </c>
      <c r="I184" s="187">
        <f t="shared" si="163"/>
        <v>100000</v>
      </c>
      <c r="J184" s="187">
        <f t="shared" si="163"/>
        <v>0</v>
      </c>
      <c r="K184" s="187">
        <f t="shared" si="163"/>
        <v>0</v>
      </c>
      <c r="L184" s="187">
        <f t="shared" si="163"/>
        <v>100000</v>
      </c>
      <c r="M184" s="187">
        <f t="shared" si="163"/>
        <v>85000</v>
      </c>
      <c r="N184" s="187">
        <f t="shared" si="163"/>
        <v>0</v>
      </c>
      <c r="O184" s="187">
        <f t="shared" si="163"/>
        <v>85000</v>
      </c>
      <c r="P184" s="187">
        <f t="shared" si="163"/>
        <v>0</v>
      </c>
      <c r="Q184" s="187">
        <f t="shared" si="163"/>
        <v>0</v>
      </c>
    </row>
    <row r="185" spans="1:17" customFormat="1" ht="17.25" customHeight="1" x14ac:dyDescent="0.3">
      <c r="A185" s="188">
        <v>311</v>
      </c>
      <c r="B185" s="178" t="s">
        <v>5</v>
      </c>
      <c r="C185" s="179">
        <f t="shared" ref="C185:Q185" si="164">SUM(C186)</f>
        <v>23000</v>
      </c>
      <c r="D185" s="179">
        <f t="shared" si="164"/>
        <v>0</v>
      </c>
      <c r="E185" s="179">
        <f t="shared" si="164"/>
        <v>0</v>
      </c>
      <c r="F185" s="179">
        <f t="shared" si="164"/>
        <v>23000</v>
      </c>
      <c r="G185" s="179">
        <f t="shared" si="164"/>
        <v>0</v>
      </c>
      <c r="H185" s="179">
        <f t="shared" si="164"/>
        <v>0</v>
      </c>
      <c r="I185" s="179">
        <f t="shared" si="164"/>
        <v>100000</v>
      </c>
      <c r="J185" s="179">
        <f t="shared" si="164"/>
        <v>0</v>
      </c>
      <c r="K185" s="179">
        <f t="shared" si="164"/>
        <v>0</v>
      </c>
      <c r="L185" s="179">
        <f t="shared" si="164"/>
        <v>100000</v>
      </c>
      <c r="M185" s="179">
        <f t="shared" si="164"/>
        <v>85000</v>
      </c>
      <c r="N185" s="179">
        <f t="shared" si="164"/>
        <v>0</v>
      </c>
      <c r="O185" s="179">
        <f t="shared" si="164"/>
        <v>85000</v>
      </c>
      <c r="P185" s="179">
        <f t="shared" si="164"/>
        <v>0</v>
      </c>
      <c r="Q185" s="179">
        <f t="shared" si="164"/>
        <v>0</v>
      </c>
    </row>
    <row r="186" spans="1:17" customFormat="1" ht="12" customHeight="1" x14ac:dyDescent="0.3">
      <c r="A186" s="189">
        <v>3111</v>
      </c>
      <c r="B186" s="190" t="s">
        <v>5</v>
      </c>
      <c r="C186" s="182">
        <v>23000</v>
      </c>
      <c r="D186" s="182"/>
      <c r="E186" s="182"/>
      <c r="F186" s="182">
        <f t="shared" ref="F186" si="165">C186-D186+E186</f>
        <v>23000</v>
      </c>
      <c r="G186" s="182"/>
      <c r="H186" s="182"/>
      <c r="I186" s="182">
        <v>100000</v>
      </c>
      <c r="J186" s="220"/>
      <c r="K186" s="220"/>
      <c r="L186" s="220">
        <f>I186-J186+K186</f>
        <v>100000</v>
      </c>
      <c r="M186" s="182">
        <v>85000</v>
      </c>
      <c r="N186" s="182"/>
      <c r="O186" s="182">
        <v>85000</v>
      </c>
      <c r="P186" s="182"/>
      <c r="Q186" s="182"/>
    </row>
    <row r="187" spans="1:17" customFormat="1" ht="17.25" customHeight="1" x14ac:dyDescent="0.3">
      <c r="A187" s="174" t="s">
        <v>317</v>
      </c>
      <c r="B187" s="175" t="s">
        <v>318</v>
      </c>
      <c r="C187" s="176">
        <f>SUM(C188,C190,C197,C205)</f>
        <v>134500</v>
      </c>
      <c r="D187" s="176">
        <f>SUM(D188,D190,D197,D205)</f>
        <v>60000</v>
      </c>
      <c r="E187" s="176">
        <f>SUM(E188,E190,E197,E205)</f>
        <v>1500</v>
      </c>
      <c r="F187" s="176">
        <f>SUM(F188,F190,F197,F205)</f>
        <v>76000</v>
      </c>
      <c r="G187" s="176">
        <f t="shared" ref="G187:H187" si="166">SUM(G188,G197,G205,G190)</f>
        <v>0</v>
      </c>
      <c r="H187" s="176">
        <f t="shared" si="166"/>
        <v>0</v>
      </c>
      <c r="I187" s="176">
        <f>SUM(I188,I197,I205,I190,I207)</f>
        <v>97000</v>
      </c>
      <c r="J187" s="176">
        <f t="shared" ref="J187:K187" si="167">SUM(J188,J197,J205,J190,J207)</f>
        <v>13000</v>
      </c>
      <c r="K187" s="176">
        <f t="shared" si="167"/>
        <v>40000</v>
      </c>
      <c r="L187" s="176">
        <f>SUM(L188,L197,L205,L190,L207)</f>
        <v>124000</v>
      </c>
      <c r="M187" s="176">
        <f t="shared" ref="M187:N187" si="168">SUM(M188,M197,M205,M190,M207)</f>
        <v>99000</v>
      </c>
      <c r="N187" s="176">
        <f t="shared" si="168"/>
        <v>0</v>
      </c>
      <c r="O187" s="176">
        <f t="shared" ref="O187:P187" si="169">SUM(O188,O197,O205,O190,O207)</f>
        <v>159000</v>
      </c>
      <c r="P187" s="176">
        <f t="shared" si="169"/>
        <v>32000</v>
      </c>
      <c r="Q187" s="176">
        <f t="shared" ref="Q187" si="170">SUM(Q188,Q197,Q205,Q190,Q207)</f>
        <v>10000</v>
      </c>
    </row>
    <row r="188" spans="1:17" s="6" customFormat="1" ht="14.4" x14ac:dyDescent="0.3">
      <c r="A188" s="188" t="s">
        <v>149</v>
      </c>
      <c r="B188" s="192" t="s">
        <v>12</v>
      </c>
      <c r="C188" s="202">
        <f t="shared" ref="C188:Q188" si="171">SUM(C189)</f>
        <v>51000</v>
      </c>
      <c r="D188" s="202">
        <f t="shared" si="171"/>
        <v>40000</v>
      </c>
      <c r="E188" s="202">
        <f t="shared" si="171"/>
        <v>0</v>
      </c>
      <c r="F188" s="202">
        <f t="shared" si="171"/>
        <v>11000</v>
      </c>
      <c r="G188" s="202">
        <f t="shared" si="171"/>
        <v>0</v>
      </c>
      <c r="H188" s="202">
        <f t="shared" si="171"/>
        <v>0</v>
      </c>
      <c r="I188" s="202">
        <f t="shared" si="171"/>
        <v>15000</v>
      </c>
      <c r="J188" s="202">
        <f t="shared" si="171"/>
        <v>0</v>
      </c>
      <c r="K188" s="202">
        <f t="shared" si="171"/>
        <v>0</v>
      </c>
      <c r="L188" s="202">
        <f t="shared" si="171"/>
        <v>15000</v>
      </c>
      <c r="M188" s="202">
        <f t="shared" si="171"/>
        <v>10000</v>
      </c>
      <c r="N188" s="202">
        <f t="shared" si="171"/>
        <v>0</v>
      </c>
      <c r="O188" s="202">
        <f t="shared" si="171"/>
        <v>25000</v>
      </c>
      <c r="P188" s="202">
        <f t="shared" si="171"/>
        <v>18000</v>
      </c>
      <c r="Q188" s="202">
        <f t="shared" si="171"/>
        <v>10000</v>
      </c>
    </row>
    <row r="189" spans="1:17" customFormat="1" ht="14.4" x14ac:dyDescent="0.3">
      <c r="A189" s="189" t="s">
        <v>150</v>
      </c>
      <c r="B189" s="190" t="s">
        <v>13</v>
      </c>
      <c r="C189" s="191">
        <v>51000</v>
      </c>
      <c r="D189" s="191">
        <v>40000</v>
      </c>
      <c r="E189" s="191"/>
      <c r="F189" s="182">
        <f t="shared" ref="F189" si="172">C189-D189+E189</f>
        <v>11000</v>
      </c>
      <c r="G189" s="191"/>
      <c r="H189" s="191"/>
      <c r="I189" s="191">
        <v>15000</v>
      </c>
      <c r="J189" s="233"/>
      <c r="K189" s="233"/>
      <c r="L189" s="220">
        <f>I189-J189+K189</f>
        <v>15000</v>
      </c>
      <c r="M189" s="191">
        <v>10000</v>
      </c>
      <c r="N189" s="191"/>
      <c r="O189" s="191">
        <v>25000</v>
      </c>
      <c r="P189" s="191">
        <v>18000</v>
      </c>
      <c r="Q189" s="191">
        <v>10000</v>
      </c>
    </row>
    <row r="190" spans="1:17" s="6" customFormat="1" ht="15" hidden="1" customHeight="1" x14ac:dyDescent="0.3">
      <c r="A190" s="188" t="s">
        <v>153</v>
      </c>
      <c r="B190" s="192" t="s">
        <v>16</v>
      </c>
      <c r="C190" s="202">
        <f>SUM(C191,C196)</f>
        <v>2000</v>
      </c>
      <c r="D190" s="202">
        <f t="shared" ref="D190:E190" si="173">SUM(D191,D196)</f>
        <v>2000</v>
      </c>
      <c r="E190" s="202">
        <f t="shared" si="173"/>
        <v>0</v>
      </c>
      <c r="F190" s="202">
        <f t="shared" ref="F190" si="174">SUM(F191,F196)</f>
        <v>0</v>
      </c>
      <c r="G190" s="202">
        <f t="shared" ref="G190" si="175">SUM(G191,G196)</f>
        <v>0</v>
      </c>
      <c r="H190" s="202">
        <f t="shared" ref="H190" si="176">SUM(H191,H196)</f>
        <v>0</v>
      </c>
      <c r="I190" s="202">
        <f t="shared" ref="I190:J190" si="177">SUM(I191,I196)</f>
        <v>2000</v>
      </c>
      <c r="J190" s="202">
        <f t="shared" si="177"/>
        <v>0</v>
      </c>
      <c r="K190" s="202">
        <f>SUM(K191:K196)</f>
        <v>15000</v>
      </c>
      <c r="L190" s="202">
        <f t="shared" ref="L190:Q190" si="178">SUM(L191:L196)</f>
        <v>17000</v>
      </c>
      <c r="M190" s="202">
        <f t="shared" si="178"/>
        <v>0</v>
      </c>
      <c r="N190" s="202">
        <f t="shared" si="178"/>
        <v>0</v>
      </c>
      <c r="O190" s="202">
        <f t="shared" si="178"/>
        <v>0</v>
      </c>
      <c r="P190" s="202">
        <f t="shared" si="178"/>
        <v>0</v>
      </c>
      <c r="Q190" s="202">
        <f t="shared" si="178"/>
        <v>0</v>
      </c>
    </row>
    <row r="191" spans="1:17" customFormat="1" ht="17.25" hidden="1" customHeight="1" x14ac:dyDescent="0.3">
      <c r="A191" s="189" t="s">
        <v>154</v>
      </c>
      <c r="B191" s="190" t="s">
        <v>17</v>
      </c>
      <c r="C191" s="191">
        <v>1000</v>
      </c>
      <c r="D191" s="191">
        <v>1000</v>
      </c>
      <c r="E191" s="191">
        <v>0</v>
      </c>
      <c r="F191" s="182">
        <f t="shared" ref="F191:F196" si="179">C191-D191+E191</f>
        <v>0</v>
      </c>
      <c r="G191" s="191"/>
      <c r="H191" s="191"/>
      <c r="I191" s="191">
        <v>2000</v>
      </c>
      <c r="J191" s="233"/>
      <c r="K191" s="233"/>
      <c r="L191" s="220">
        <f>I191-J191+K191</f>
        <v>2000</v>
      </c>
      <c r="M191" s="191"/>
      <c r="N191" s="191"/>
      <c r="O191" s="191"/>
      <c r="P191" s="191"/>
      <c r="Q191" s="191"/>
    </row>
    <row r="192" spans="1:17" customFormat="1" ht="20.25" hidden="1" customHeight="1" x14ac:dyDescent="0.3">
      <c r="A192" s="189" t="s">
        <v>155</v>
      </c>
      <c r="B192" s="190" t="s">
        <v>18</v>
      </c>
      <c r="C192" s="191">
        <v>0</v>
      </c>
      <c r="D192" s="191"/>
      <c r="E192" s="191">
        <v>1000</v>
      </c>
      <c r="F192" s="182">
        <f t="shared" si="179"/>
        <v>1000</v>
      </c>
      <c r="G192" s="191"/>
      <c r="H192" s="191"/>
      <c r="I192" s="191"/>
      <c r="J192" s="233"/>
      <c r="K192" s="233"/>
      <c r="L192" s="220">
        <f t="shared" ref="L192:L195" si="180">I192-J192+K192</f>
        <v>0</v>
      </c>
      <c r="M192" s="191"/>
      <c r="N192" s="191"/>
      <c r="O192" s="191"/>
      <c r="P192" s="191"/>
      <c r="Q192" s="191"/>
    </row>
    <row r="193" spans="1:17" customFormat="1" ht="26.25" hidden="1" customHeight="1" x14ac:dyDescent="0.3">
      <c r="A193" s="189" t="s">
        <v>156</v>
      </c>
      <c r="B193" s="190" t="s">
        <v>19</v>
      </c>
      <c r="C193" s="191">
        <v>0</v>
      </c>
      <c r="D193" s="191"/>
      <c r="E193" s="191">
        <v>1000</v>
      </c>
      <c r="F193" s="182">
        <f t="shared" si="179"/>
        <v>1000</v>
      </c>
      <c r="G193" s="191"/>
      <c r="H193" s="191"/>
      <c r="I193" s="191"/>
      <c r="J193" s="233"/>
      <c r="K193" s="233"/>
      <c r="L193" s="220">
        <f t="shared" si="180"/>
        <v>0</v>
      </c>
      <c r="M193" s="191"/>
      <c r="N193" s="191"/>
      <c r="O193" s="191"/>
      <c r="P193" s="191"/>
      <c r="Q193" s="191"/>
    </row>
    <row r="194" spans="1:17" customFormat="1" ht="21" hidden="1" customHeight="1" x14ac:dyDescent="0.3">
      <c r="A194" s="189">
        <v>3224</v>
      </c>
      <c r="B194" s="215" t="s">
        <v>112</v>
      </c>
      <c r="C194" s="191">
        <v>0</v>
      </c>
      <c r="D194" s="191"/>
      <c r="E194" s="191">
        <v>1000</v>
      </c>
      <c r="F194" s="182">
        <f t="shared" si="179"/>
        <v>1000</v>
      </c>
      <c r="G194" s="191"/>
      <c r="H194" s="191"/>
      <c r="I194" s="191"/>
      <c r="J194" s="233"/>
      <c r="K194" s="233"/>
      <c r="L194" s="220">
        <f t="shared" si="180"/>
        <v>0</v>
      </c>
      <c r="M194" s="191"/>
      <c r="N194" s="191"/>
      <c r="O194" s="191"/>
      <c r="P194" s="191"/>
      <c r="Q194" s="191"/>
    </row>
    <row r="195" spans="1:17" customFormat="1" ht="14.4" hidden="1" x14ac:dyDescent="0.3">
      <c r="A195" s="189" t="s">
        <v>155</v>
      </c>
      <c r="B195" s="190" t="s">
        <v>18</v>
      </c>
      <c r="C195" s="191"/>
      <c r="D195" s="191"/>
      <c r="E195" s="191"/>
      <c r="F195" s="182">
        <f t="shared" si="179"/>
        <v>0</v>
      </c>
      <c r="G195" s="191"/>
      <c r="H195" s="191"/>
      <c r="I195" s="191"/>
      <c r="J195" s="233"/>
      <c r="K195" s="233">
        <v>15000</v>
      </c>
      <c r="L195" s="220">
        <f t="shared" si="180"/>
        <v>15000</v>
      </c>
      <c r="M195" s="191"/>
      <c r="N195" s="191"/>
      <c r="O195" s="191"/>
      <c r="P195" s="191"/>
      <c r="Q195" s="191"/>
    </row>
    <row r="196" spans="1:17" customFormat="1" ht="14.1" hidden="1" customHeight="1" x14ac:dyDescent="0.3">
      <c r="A196" s="189" t="s">
        <v>158</v>
      </c>
      <c r="B196" s="190" t="s">
        <v>21</v>
      </c>
      <c r="C196" s="191">
        <v>1000</v>
      </c>
      <c r="D196" s="191">
        <v>1000</v>
      </c>
      <c r="E196" s="191">
        <v>0</v>
      </c>
      <c r="F196" s="182">
        <f t="shared" si="179"/>
        <v>0</v>
      </c>
      <c r="G196" s="191"/>
      <c r="H196" s="191"/>
      <c r="I196" s="191"/>
      <c r="J196" s="233"/>
      <c r="K196" s="233"/>
      <c r="L196" s="220"/>
      <c r="M196" s="191"/>
      <c r="N196" s="191"/>
      <c r="O196" s="191"/>
      <c r="P196" s="191"/>
      <c r="Q196" s="191"/>
    </row>
    <row r="197" spans="1:17" s="6" customFormat="1" ht="14.1" customHeight="1" x14ac:dyDescent="0.3">
      <c r="A197" s="188" t="s">
        <v>159</v>
      </c>
      <c r="B197" s="192" t="s">
        <v>123</v>
      </c>
      <c r="C197" s="202">
        <f t="shared" ref="C197:F197" si="181">SUM(C198:C204)</f>
        <v>72500</v>
      </c>
      <c r="D197" s="202">
        <f t="shared" si="181"/>
        <v>18000</v>
      </c>
      <c r="E197" s="202">
        <f t="shared" si="181"/>
        <v>1500</v>
      </c>
      <c r="F197" s="202">
        <f t="shared" si="181"/>
        <v>56000</v>
      </c>
      <c r="G197" s="202">
        <f t="shared" ref="G197:H197" si="182">SUM(G198:G204)</f>
        <v>0</v>
      </c>
      <c r="H197" s="202">
        <f t="shared" si="182"/>
        <v>0</v>
      </c>
      <c r="I197" s="202">
        <f t="shared" ref="I197:M197" si="183">SUM(I198:I204)</f>
        <v>52000</v>
      </c>
      <c r="J197" s="202">
        <f t="shared" si="183"/>
        <v>0</v>
      </c>
      <c r="K197" s="202">
        <f t="shared" si="183"/>
        <v>25000</v>
      </c>
      <c r="L197" s="202">
        <f t="shared" si="183"/>
        <v>77000</v>
      </c>
      <c r="M197" s="202">
        <f t="shared" si="183"/>
        <v>45000</v>
      </c>
      <c r="N197" s="202">
        <f t="shared" ref="N197:O197" si="184">SUM(N198:N204)</f>
        <v>0</v>
      </c>
      <c r="O197" s="202">
        <f t="shared" si="184"/>
        <v>90000</v>
      </c>
      <c r="P197" s="202">
        <f t="shared" ref="P197:Q197" si="185">SUM(P198:P204)</f>
        <v>14000</v>
      </c>
      <c r="Q197" s="202">
        <f t="shared" si="185"/>
        <v>0</v>
      </c>
    </row>
    <row r="198" spans="1:17" customFormat="1" ht="14.4" hidden="1" x14ac:dyDescent="0.3">
      <c r="A198" s="189" t="s">
        <v>160</v>
      </c>
      <c r="B198" s="190" t="s">
        <v>24</v>
      </c>
      <c r="C198" s="182">
        <v>6000</v>
      </c>
      <c r="D198" s="182"/>
      <c r="E198" s="182"/>
      <c r="F198" s="182">
        <f t="shared" ref="F198:F206" si="186">C198-D198+E198</f>
        <v>6000</v>
      </c>
      <c r="G198" s="182"/>
      <c r="H198" s="182"/>
      <c r="I198" s="182"/>
      <c r="J198" s="220"/>
      <c r="K198" s="220"/>
      <c r="L198" s="220"/>
      <c r="M198" s="182"/>
      <c r="N198" s="182"/>
      <c r="O198" s="182"/>
      <c r="P198" s="182"/>
      <c r="Q198" s="182"/>
    </row>
    <row r="199" spans="1:17" customFormat="1" ht="14.4" hidden="1" x14ac:dyDescent="0.3">
      <c r="A199" s="189" t="s">
        <v>161</v>
      </c>
      <c r="B199" s="190" t="s">
        <v>25</v>
      </c>
      <c r="C199" s="182"/>
      <c r="D199" s="182"/>
      <c r="E199" s="182"/>
      <c r="F199" s="182">
        <f t="shared" si="186"/>
        <v>0</v>
      </c>
      <c r="G199" s="182"/>
      <c r="H199" s="182"/>
      <c r="I199" s="182"/>
      <c r="J199" s="220"/>
      <c r="K199" s="220"/>
      <c r="L199" s="220"/>
      <c r="M199" s="182"/>
      <c r="N199" s="182"/>
      <c r="O199" s="182"/>
      <c r="P199" s="182"/>
      <c r="Q199" s="182"/>
    </row>
    <row r="200" spans="1:17" customFormat="1" ht="15.75" customHeight="1" x14ac:dyDescent="0.3">
      <c r="A200" s="189" t="s">
        <v>162</v>
      </c>
      <c r="B200" s="190" t="s">
        <v>26</v>
      </c>
      <c r="C200" s="182">
        <v>8500</v>
      </c>
      <c r="D200" s="182"/>
      <c r="E200" s="182">
        <v>1500</v>
      </c>
      <c r="F200" s="182">
        <f t="shared" si="186"/>
        <v>10000</v>
      </c>
      <c r="G200" s="182"/>
      <c r="H200" s="182"/>
      <c r="I200" s="182">
        <v>10000</v>
      </c>
      <c r="J200" s="220"/>
      <c r="K200" s="220"/>
      <c r="L200" s="220">
        <f>I200-J200+K200</f>
        <v>10000</v>
      </c>
      <c r="M200" s="182">
        <v>20000</v>
      </c>
      <c r="N200" s="182"/>
      <c r="O200" s="182">
        <v>20000</v>
      </c>
      <c r="P200" s="182"/>
      <c r="Q200" s="182"/>
    </row>
    <row r="201" spans="1:17" customFormat="1" ht="14.4" x14ac:dyDescent="0.3">
      <c r="A201" s="189" t="s">
        <v>164</v>
      </c>
      <c r="B201" s="190" t="s">
        <v>28</v>
      </c>
      <c r="C201" s="182">
        <v>2000</v>
      </c>
      <c r="D201" s="182">
        <v>2000</v>
      </c>
      <c r="E201" s="182"/>
      <c r="F201" s="182">
        <f t="shared" si="186"/>
        <v>0</v>
      </c>
      <c r="G201" s="182"/>
      <c r="H201" s="182"/>
      <c r="I201" s="182">
        <v>2000</v>
      </c>
      <c r="J201" s="220"/>
      <c r="K201" s="220"/>
      <c r="L201" s="220">
        <f>I201-J201+K201</f>
        <v>2000</v>
      </c>
      <c r="M201" s="182">
        <v>5000</v>
      </c>
      <c r="N201" s="182"/>
      <c r="O201" s="182">
        <v>5000</v>
      </c>
      <c r="P201" s="182"/>
      <c r="Q201" s="182"/>
    </row>
    <row r="202" spans="1:17" customFormat="1" ht="13.05" hidden="1" customHeight="1" x14ac:dyDescent="0.3">
      <c r="A202" s="189">
        <v>3237</v>
      </c>
      <c r="B202" s="190" t="s">
        <v>30</v>
      </c>
      <c r="C202" s="182">
        <v>13000</v>
      </c>
      <c r="D202" s="182">
        <v>13000</v>
      </c>
      <c r="E202" s="182"/>
      <c r="F202" s="182">
        <f t="shared" si="186"/>
        <v>0</v>
      </c>
      <c r="G202" s="182"/>
      <c r="H202" s="182"/>
      <c r="I202" s="182">
        <v>15000</v>
      </c>
      <c r="J202" s="220"/>
      <c r="K202" s="220"/>
      <c r="L202" s="220">
        <f>I202-J202+K202</f>
        <v>15000</v>
      </c>
      <c r="M202" s="182">
        <v>0</v>
      </c>
      <c r="N202" s="182"/>
      <c r="O202" s="182"/>
      <c r="P202" s="182"/>
      <c r="Q202" s="182"/>
    </row>
    <row r="203" spans="1:17" customFormat="1" ht="14.4" x14ac:dyDescent="0.3">
      <c r="A203" s="189">
        <v>3238</v>
      </c>
      <c r="B203" s="190" t="s">
        <v>70</v>
      </c>
      <c r="C203" s="182"/>
      <c r="D203" s="182"/>
      <c r="E203" s="182"/>
      <c r="F203" s="182"/>
      <c r="G203" s="182"/>
      <c r="H203" s="182"/>
      <c r="I203" s="182"/>
      <c r="J203" s="220"/>
      <c r="K203" s="220"/>
      <c r="L203" s="220"/>
      <c r="M203" s="182">
        <v>20000</v>
      </c>
      <c r="N203" s="182"/>
      <c r="O203" s="182">
        <v>20000</v>
      </c>
      <c r="P203" s="182"/>
      <c r="Q203" s="182"/>
    </row>
    <row r="204" spans="1:17" customFormat="1" ht="14.25" customHeight="1" x14ac:dyDescent="0.3">
      <c r="A204" s="189" t="s">
        <v>167</v>
      </c>
      <c r="B204" s="190" t="s">
        <v>31</v>
      </c>
      <c r="C204" s="191">
        <v>43000</v>
      </c>
      <c r="D204" s="191">
        <v>3000</v>
      </c>
      <c r="E204" s="191"/>
      <c r="F204" s="182">
        <f t="shared" si="186"/>
        <v>40000</v>
      </c>
      <c r="G204" s="191"/>
      <c r="H204" s="191"/>
      <c r="I204" s="191">
        <v>25000</v>
      </c>
      <c r="J204" s="233"/>
      <c r="K204" s="233">
        <v>25000</v>
      </c>
      <c r="L204" s="220">
        <f>I204-J204+K204</f>
        <v>50000</v>
      </c>
      <c r="M204" s="191">
        <v>0</v>
      </c>
      <c r="N204" s="191"/>
      <c r="O204" s="191">
        <v>45000</v>
      </c>
      <c r="P204" s="191">
        <v>14000</v>
      </c>
      <c r="Q204" s="191"/>
    </row>
    <row r="205" spans="1:17" s="6" customFormat="1" ht="14.4" x14ac:dyDescent="0.3">
      <c r="A205" s="188" t="s">
        <v>168</v>
      </c>
      <c r="B205" s="192" t="s">
        <v>32</v>
      </c>
      <c r="C205" s="202">
        <f t="shared" ref="C205:Q205" si="187">SUM(C206)</f>
        <v>9000</v>
      </c>
      <c r="D205" s="202">
        <f t="shared" si="187"/>
        <v>0</v>
      </c>
      <c r="E205" s="202">
        <f t="shared" si="187"/>
        <v>0</v>
      </c>
      <c r="F205" s="202">
        <f t="shared" si="187"/>
        <v>9000</v>
      </c>
      <c r="G205" s="202">
        <f t="shared" si="187"/>
        <v>0</v>
      </c>
      <c r="H205" s="202">
        <f t="shared" si="187"/>
        <v>0</v>
      </c>
      <c r="I205" s="202">
        <f t="shared" si="187"/>
        <v>10000</v>
      </c>
      <c r="J205" s="202">
        <f t="shared" si="187"/>
        <v>0</v>
      </c>
      <c r="K205" s="202">
        <f t="shared" si="187"/>
        <v>0</v>
      </c>
      <c r="L205" s="202">
        <f t="shared" si="187"/>
        <v>10000</v>
      </c>
      <c r="M205" s="202">
        <f>SUM(M206)</f>
        <v>20000</v>
      </c>
      <c r="N205" s="202">
        <f t="shared" si="187"/>
        <v>0</v>
      </c>
      <c r="O205" s="202">
        <f>SUM(O206)</f>
        <v>20000</v>
      </c>
      <c r="P205" s="202">
        <f t="shared" si="187"/>
        <v>0</v>
      </c>
      <c r="Q205" s="202">
        <f t="shared" si="187"/>
        <v>0</v>
      </c>
    </row>
    <row r="206" spans="1:17" customFormat="1" ht="14.4" x14ac:dyDescent="0.3">
      <c r="A206" s="189" t="s">
        <v>169</v>
      </c>
      <c r="B206" s="190" t="s">
        <v>32</v>
      </c>
      <c r="C206" s="191">
        <v>9000</v>
      </c>
      <c r="D206" s="191"/>
      <c r="E206" s="191"/>
      <c r="F206" s="182">
        <f t="shared" si="186"/>
        <v>9000</v>
      </c>
      <c r="G206" s="191"/>
      <c r="H206" s="191"/>
      <c r="I206" s="191">
        <v>10000</v>
      </c>
      <c r="J206" s="233"/>
      <c r="K206" s="233"/>
      <c r="L206" s="220">
        <f>I206-J206+K206</f>
        <v>10000</v>
      </c>
      <c r="M206" s="191">
        <v>20000</v>
      </c>
      <c r="N206" s="191"/>
      <c r="O206" s="191">
        <v>20000</v>
      </c>
      <c r="P206" s="191"/>
      <c r="Q206" s="191"/>
    </row>
    <row r="207" spans="1:17" s="6" customFormat="1" ht="14.25" customHeight="1" x14ac:dyDescent="0.3">
      <c r="A207" s="188" t="s">
        <v>170</v>
      </c>
      <c r="B207" s="192" t="s">
        <v>33</v>
      </c>
      <c r="C207" s="202">
        <f t="shared" ref="C207:N207" si="188">SUM(C208:C210)</f>
        <v>0</v>
      </c>
      <c r="D207" s="202">
        <f t="shared" si="188"/>
        <v>0</v>
      </c>
      <c r="E207" s="202">
        <f t="shared" si="188"/>
        <v>0</v>
      </c>
      <c r="F207" s="202">
        <f t="shared" si="188"/>
        <v>0</v>
      </c>
      <c r="G207" s="202">
        <f t="shared" si="188"/>
        <v>0</v>
      </c>
      <c r="H207" s="202">
        <f t="shared" si="188"/>
        <v>0</v>
      </c>
      <c r="I207" s="202">
        <f t="shared" si="188"/>
        <v>18000</v>
      </c>
      <c r="J207" s="202">
        <f t="shared" si="188"/>
        <v>13000</v>
      </c>
      <c r="K207" s="202">
        <f t="shared" si="188"/>
        <v>0</v>
      </c>
      <c r="L207" s="202">
        <f t="shared" si="188"/>
        <v>5000</v>
      </c>
      <c r="M207" s="202">
        <f t="shared" si="188"/>
        <v>24000</v>
      </c>
      <c r="N207" s="202">
        <f t="shared" si="188"/>
        <v>0</v>
      </c>
      <c r="O207" s="202">
        <f t="shared" ref="O207:P207" si="189">SUM(O208:O210)</f>
        <v>24000</v>
      </c>
      <c r="P207" s="202">
        <f t="shared" si="189"/>
        <v>0</v>
      </c>
      <c r="Q207" s="202">
        <f t="shared" ref="Q207" si="190">SUM(Q208:Q210)</f>
        <v>0</v>
      </c>
    </row>
    <row r="208" spans="1:17" customFormat="1" ht="14.25" hidden="1" customHeight="1" x14ac:dyDescent="0.3">
      <c r="A208" s="189" t="s">
        <v>171</v>
      </c>
      <c r="B208" s="190" t="s">
        <v>35</v>
      </c>
      <c r="C208" s="191"/>
      <c r="D208" s="191"/>
      <c r="E208" s="191"/>
      <c r="F208" s="191"/>
      <c r="G208" s="191"/>
      <c r="H208" s="191"/>
      <c r="I208" s="191"/>
      <c r="J208" s="233"/>
      <c r="K208" s="233"/>
      <c r="L208" s="233"/>
      <c r="M208" s="191"/>
      <c r="N208" s="191"/>
      <c r="O208" s="191"/>
      <c r="P208" s="191"/>
      <c r="Q208" s="191"/>
    </row>
    <row r="209" spans="1:17" customFormat="1" ht="16.5" customHeight="1" x14ac:dyDescent="0.3">
      <c r="A209" s="189" t="s">
        <v>172</v>
      </c>
      <c r="B209" s="190" t="s">
        <v>36</v>
      </c>
      <c r="C209" s="191"/>
      <c r="D209" s="191"/>
      <c r="E209" s="191"/>
      <c r="F209" s="191"/>
      <c r="G209" s="191"/>
      <c r="H209" s="191"/>
      <c r="I209" s="191">
        <v>18000</v>
      </c>
      <c r="J209" s="233">
        <v>13000</v>
      </c>
      <c r="K209" s="233"/>
      <c r="L209" s="220">
        <f>I209-J209+K209</f>
        <v>5000</v>
      </c>
      <c r="M209" s="191">
        <v>24000</v>
      </c>
      <c r="N209" s="191"/>
      <c r="O209" s="191">
        <v>24000</v>
      </c>
      <c r="P209" s="191"/>
      <c r="Q209" s="191"/>
    </row>
    <row r="210" spans="1:17" customFormat="1" ht="14.25" hidden="1" customHeight="1" x14ac:dyDescent="0.3">
      <c r="A210" s="189">
        <v>3299</v>
      </c>
      <c r="B210" s="181" t="s">
        <v>33</v>
      </c>
      <c r="C210" s="191"/>
      <c r="D210" s="191"/>
      <c r="E210" s="191"/>
      <c r="F210" s="191"/>
      <c r="G210" s="191"/>
      <c r="H210" s="191"/>
      <c r="I210" s="191"/>
      <c r="J210" s="233"/>
      <c r="K210" s="233"/>
      <c r="L210" s="233"/>
      <c r="M210" s="191"/>
      <c r="N210" s="191"/>
      <c r="O210" s="191"/>
      <c r="P210" s="191"/>
      <c r="Q210" s="191"/>
    </row>
    <row r="211" spans="1:17" customFormat="1" ht="15" hidden="1" customHeight="1" x14ac:dyDescent="0.3">
      <c r="A211" s="188">
        <v>361</v>
      </c>
      <c r="B211" s="178" t="s">
        <v>137</v>
      </c>
      <c r="C211" s="179">
        <f t="shared" ref="C211:D211" si="191">SUM(C212)</f>
        <v>0</v>
      </c>
      <c r="D211" s="179">
        <f t="shared" si="191"/>
        <v>0</v>
      </c>
      <c r="E211" s="179"/>
      <c r="F211" s="179"/>
      <c r="G211" s="179"/>
      <c r="H211" s="179"/>
      <c r="I211" s="179"/>
      <c r="J211" s="219"/>
      <c r="K211" s="219"/>
      <c r="L211" s="219"/>
      <c r="M211" s="179"/>
      <c r="N211" s="179"/>
      <c r="O211" s="179"/>
      <c r="P211" s="179"/>
      <c r="Q211" s="179"/>
    </row>
    <row r="212" spans="1:17" customFormat="1" ht="23.25" hidden="1" customHeight="1" x14ac:dyDescent="0.3">
      <c r="A212" s="189">
        <v>3611</v>
      </c>
      <c r="B212" s="181" t="s">
        <v>258</v>
      </c>
      <c r="C212" s="182"/>
      <c r="D212" s="182"/>
      <c r="E212" s="182"/>
      <c r="F212" s="182"/>
      <c r="G212" s="182"/>
      <c r="H212" s="182"/>
      <c r="I212" s="182"/>
      <c r="J212" s="220"/>
      <c r="K212" s="220"/>
      <c r="L212" s="220"/>
      <c r="M212" s="182"/>
      <c r="N212" s="182"/>
      <c r="O212" s="182"/>
      <c r="P212" s="182"/>
      <c r="Q212" s="182"/>
    </row>
    <row r="213" spans="1:17" ht="15.75" hidden="1" customHeight="1" x14ac:dyDescent="0.3">
      <c r="A213" s="170" t="s">
        <v>56</v>
      </c>
      <c r="B213" s="171" t="s">
        <v>57</v>
      </c>
      <c r="C213" s="172">
        <f t="shared" si="157"/>
        <v>0</v>
      </c>
      <c r="D213" s="172">
        <f t="shared" si="157"/>
        <v>0</v>
      </c>
      <c r="E213" s="172"/>
      <c r="F213" s="172"/>
      <c r="G213" s="172"/>
      <c r="H213" s="172"/>
      <c r="I213" s="172"/>
      <c r="J213" s="384"/>
      <c r="K213" s="384"/>
      <c r="L213" s="384"/>
      <c r="M213" s="172"/>
      <c r="N213" s="172"/>
      <c r="O213" s="172"/>
      <c r="P213" s="172"/>
      <c r="Q213" s="172"/>
    </row>
    <row r="214" spans="1:17" ht="18.75" hidden="1" customHeight="1" x14ac:dyDescent="0.3">
      <c r="A214" s="216" t="s">
        <v>97</v>
      </c>
      <c r="B214" s="216"/>
      <c r="C214" s="173">
        <f t="shared" si="157"/>
        <v>0</v>
      </c>
      <c r="D214" s="173">
        <f t="shared" si="157"/>
        <v>0</v>
      </c>
      <c r="E214" s="173"/>
      <c r="F214" s="173"/>
      <c r="G214" s="173"/>
      <c r="H214" s="173"/>
      <c r="I214" s="173"/>
      <c r="J214" s="385"/>
      <c r="K214" s="385"/>
      <c r="L214" s="385"/>
      <c r="M214" s="173"/>
      <c r="N214" s="173"/>
      <c r="O214" s="173"/>
      <c r="P214" s="173"/>
      <c r="Q214" s="173"/>
    </row>
    <row r="215" spans="1:17" ht="12.75" hidden="1" customHeight="1" x14ac:dyDescent="0.3">
      <c r="A215" s="188">
        <v>322</v>
      </c>
      <c r="B215" s="178" t="s">
        <v>16</v>
      </c>
      <c r="C215" s="179">
        <f t="shared" si="157"/>
        <v>0</v>
      </c>
      <c r="D215" s="179">
        <f t="shared" si="157"/>
        <v>0</v>
      </c>
      <c r="E215" s="179"/>
      <c r="F215" s="179"/>
      <c r="G215" s="179"/>
      <c r="H215" s="179"/>
      <c r="I215" s="179"/>
      <c r="J215" s="219"/>
      <c r="K215" s="219"/>
      <c r="L215" s="219"/>
      <c r="M215" s="179"/>
      <c r="N215" s="179"/>
      <c r="O215" s="179"/>
      <c r="P215" s="179"/>
      <c r="Q215" s="179"/>
    </row>
    <row r="216" spans="1:17" ht="14.25" hidden="1" customHeight="1" x14ac:dyDescent="0.3">
      <c r="A216" s="189">
        <v>3227</v>
      </c>
      <c r="B216" s="190" t="s">
        <v>22</v>
      </c>
      <c r="C216" s="182"/>
      <c r="D216" s="182"/>
      <c r="E216" s="182"/>
      <c r="F216" s="182"/>
      <c r="G216" s="182"/>
      <c r="H216" s="182"/>
      <c r="I216" s="182"/>
      <c r="J216" s="220"/>
      <c r="K216" s="220"/>
      <c r="L216" s="220"/>
      <c r="M216" s="182"/>
      <c r="N216" s="182"/>
      <c r="O216" s="182"/>
      <c r="P216" s="182"/>
      <c r="Q216" s="182"/>
    </row>
    <row r="217" spans="1:17" ht="21.75" hidden="1" customHeight="1" x14ac:dyDescent="0.3">
      <c r="A217" s="17"/>
      <c r="B217" s="18"/>
      <c r="C217" s="16"/>
      <c r="D217" s="16"/>
      <c r="E217" s="16"/>
      <c r="F217" s="16"/>
      <c r="G217" s="16"/>
      <c r="H217" s="16"/>
      <c r="I217" s="16"/>
      <c r="J217" s="393"/>
      <c r="K217" s="393"/>
      <c r="L217" s="393"/>
      <c r="M217" s="16"/>
      <c r="N217" s="16"/>
      <c r="O217" s="16"/>
      <c r="P217" s="16"/>
      <c r="Q217" s="16"/>
    </row>
    <row r="218" spans="1:17" customFormat="1" ht="25.05" customHeight="1" x14ac:dyDescent="0.3">
      <c r="A218" s="170" t="s">
        <v>98</v>
      </c>
      <c r="B218" s="171" t="s">
        <v>99</v>
      </c>
      <c r="C218" s="217">
        <f t="shared" ref="C218:Q218" si="192">SUM(C219)</f>
        <v>9293000</v>
      </c>
      <c r="D218" s="217">
        <f t="shared" si="192"/>
        <v>0</v>
      </c>
      <c r="E218" s="217">
        <f t="shared" si="192"/>
        <v>2777000</v>
      </c>
      <c r="F218" s="217">
        <f t="shared" si="192"/>
        <v>12070000</v>
      </c>
      <c r="G218" s="217">
        <f t="shared" si="192"/>
        <v>9293000</v>
      </c>
      <c r="H218" s="217">
        <f t="shared" si="192"/>
        <v>9293000</v>
      </c>
      <c r="I218" s="217">
        <f t="shared" si="192"/>
        <v>9570000</v>
      </c>
      <c r="J218" s="217">
        <f t="shared" si="192"/>
        <v>0</v>
      </c>
      <c r="K218" s="217">
        <f t="shared" si="192"/>
        <v>1949000</v>
      </c>
      <c r="L218" s="217">
        <f t="shared" si="192"/>
        <v>11519000</v>
      </c>
      <c r="M218" s="217">
        <f t="shared" si="192"/>
        <v>9570000</v>
      </c>
      <c r="N218" s="217">
        <f t="shared" si="192"/>
        <v>9570000</v>
      </c>
      <c r="O218" s="217">
        <f t="shared" si="192"/>
        <v>11719000</v>
      </c>
      <c r="P218" s="217">
        <f t="shared" si="192"/>
        <v>11719000</v>
      </c>
      <c r="Q218" s="217">
        <f t="shared" si="192"/>
        <v>11719000</v>
      </c>
    </row>
    <row r="219" spans="1:17" customFormat="1" ht="18" customHeight="1" x14ac:dyDescent="0.3">
      <c r="A219" s="721" t="s">
        <v>97</v>
      </c>
      <c r="B219" s="721"/>
      <c r="C219" s="184">
        <f>SUM(C220,C239,C244,C253,C256,C259)</f>
        <v>9293000</v>
      </c>
      <c r="D219" s="184">
        <f t="shared" ref="D219:F219" si="193">SUM(D220,D239,D244,D253,D256,D259)</f>
        <v>0</v>
      </c>
      <c r="E219" s="184">
        <f t="shared" si="193"/>
        <v>2777000</v>
      </c>
      <c r="F219" s="184">
        <f t="shared" si="193"/>
        <v>12070000</v>
      </c>
      <c r="G219" s="184">
        <f t="shared" ref="G219:H219" si="194">SUM(G220,G239,G244,G253,G256,G259)</f>
        <v>9293000</v>
      </c>
      <c r="H219" s="184">
        <f t="shared" si="194"/>
        <v>9293000</v>
      </c>
      <c r="I219" s="184">
        <f t="shared" ref="I219:N219" si="195">SUM(I220,I239,I244,I253,I256,I259)</f>
        <v>9570000</v>
      </c>
      <c r="J219" s="184">
        <f t="shared" si="195"/>
        <v>0</v>
      </c>
      <c r="K219" s="184">
        <f t="shared" si="195"/>
        <v>1949000</v>
      </c>
      <c r="L219" s="184">
        <f t="shared" si="195"/>
        <v>11519000</v>
      </c>
      <c r="M219" s="184">
        <f t="shared" si="195"/>
        <v>9570000</v>
      </c>
      <c r="N219" s="184">
        <f t="shared" si="195"/>
        <v>9570000</v>
      </c>
      <c r="O219" s="184">
        <f t="shared" ref="O219:P219" si="196">SUM(O220,O239,O244,O253,O256,O259)</f>
        <v>11719000</v>
      </c>
      <c r="P219" s="184">
        <f t="shared" si="196"/>
        <v>11719000</v>
      </c>
      <c r="Q219" s="184">
        <f t="shared" ref="Q219" si="197">SUM(Q220,Q239,Q244,Q253,Q256,Q259)</f>
        <v>11719000</v>
      </c>
    </row>
    <row r="220" spans="1:17" customFormat="1" ht="18" customHeight="1" x14ac:dyDescent="0.3">
      <c r="A220" s="185" t="s">
        <v>317</v>
      </c>
      <c r="B220" s="185" t="s">
        <v>318</v>
      </c>
      <c r="C220" s="218">
        <f>SUM(C221,C223,C230,C236)</f>
        <v>3674000</v>
      </c>
      <c r="D220" s="218">
        <f t="shared" ref="D220:F220" si="198">SUM(D221,D223,D230,D236)</f>
        <v>0</v>
      </c>
      <c r="E220" s="218">
        <f t="shared" si="198"/>
        <v>800000</v>
      </c>
      <c r="F220" s="218">
        <f t="shared" si="198"/>
        <v>4474000</v>
      </c>
      <c r="G220" s="218">
        <f t="shared" ref="G220:H220" si="199">SUM(G221,G223,G230,G236)</f>
        <v>2921000</v>
      </c>
      <c r="H220" s="218">
        <f t="shared" si="199"/>
        <v>2921000</v>
      </c>
      <c r="I220" s="218">
        <f t="shared" ref="I220:N220" si="200">SUM(I221,I223,I230,I236)</f>
        <v>2921000</v>
      </c>
      <c r="J220" s="218">
        <f t="shared" si="200"/>
        <v>0</v>
      </c>
      <c r="K220" s="218">
        <f t="shared" si="200"/>
        <v>558000</v>
      </c>
      <c r="L220" s="218">
        <f t="shared" si="200"/>
        <v>3479000</v>
      </c>
      <c r="M220" s="218">
        <f t="shared" si="200"/>
        <v>2921000</v>
      </c>
      <c r="N220" s="218">
        <f t="shared" si="200"/>
        <v>2921000</v>
      </c>
      <c r="O220" s="218">
        <f t="shared" ref="O220:P220" si="201">SUM(O221,O223,O230,O236)</f>
        <v>3479000</v>
      </c>
      <c r="P220" s="218">
        <f t="shared" si="201"/>
        <v>3479000</v>
      </c>
      <c r="Q220" s="218">
        <f t="shared" ref="Q220" si="202">SUM(Q221,Q223,Q230,Q236)</f>
        <v>3479000</v>
      </c>
    </row>
    <row r="221" spans="1:17" customFormat="1" ht="14.4" x14ac:dyDescent="0.3">
      <c r="A221" s="188">
        <v>321</v>
      </c>
      <c r="B221" s="178" t="s">
        <v>12</v>
      </c>
      <c r="C221" s="179">
        <f t="shared" ref="C221:H221" si="203">SUM(C222:C222)</f>
        <v>75000</v>
      </c>
      <c r="D221" s="179">
        <f t="shared" si="203"/>
        <v>0</v>
      </c>
      <c r="E221" s="179">
        <f t="shared" si="203"/>
        <v>0</v>
      </c>
      <c r="F221" s="179">
        <f t="shared" si="203"/>
        <v>75000</v>
      </c>
      <c r="G221" s="179">
        <f t="shared" si="203"/>
        <v>75000</v>
      </c>
      <c r="H221" s="179">
        <f t="shared" si="203"/>
        <v>75000</v>
      </c>
      <c r="I221" s="179">
        <f t="shared" ref="I221:Q221" si="204">SUM(I222)</f>
        <v>75000</v>
      </c>
      <c r="J221" s="179">
        <f t="shared" si="204"/>
        <v>0</v>
      </c>
      <c r="K221" s="179">
        <f t="shared" si="204"/>
        <v>0</v>
      </c>
      <c r="L221" s="179">
        <f t="shared" si="204"/>
        <v>75000</v>
      </c>
      <c r="M221" s="179">
        <f t="shared" si="204"/>
        <v>75000</v>
      </c>
      <c r="N221" s="179">
        <f t="shared" si="204"/>
        <v>75000</v>
      </c>
      <c r="O221" s="179">
        <f t="shared" si="204"/>
        <v>75000</v>
      </c>
      <c r="P221" s="179">
        <f t="shared" si="204"/>
        <v>75000</v>
      </c>
      <c r="Q221" s="179">
        <f t="shared" si="204"/>
        <v>75000</v>
      </c>
    </row>
    <row r="222" spans="1:17" customFormat="1" ht="14.4" x14ac:dyDescent="0.3">
      <c r="A222" s="189">
        <v>3213</v>
      </c>
      <c r="B222" s="190" t="s">
        <v>15</v>
      </c>
      <c r="C222" s="182">
        <v>75000</v>
      </c>
      <c r="D222" s="182"/>
      <c r="E222" s="182"/>
      <c r="F222" s="182">
        <f t="shared" ref="F222:F238" si="205">C222-D222+E222</f>
        <v>75000</v>
      </c>
      <c r="G222" s="182">
        <v>75000</v>
      </c>
      <c r="H222" s="182">
        <v>75000</v>
      </c>
      <c r="I222" s="182">
        <v>75000</v>
      </c>
      <c r="J222" s="220"/>
      <c r="K222" s="220"/>
      <c r="L222" s="220">
        <f>I222-J222+K222</f>
        <v>75000</v>
      </c>
      <c r="M222" s="182">
        <v>75000</v>
      </c>
      <c r="N222" s="182">
        <v>75000</v>
      </c>
      <c r="O222" s="182">
        <v>75000</v>
      </c>
      <c r="P222" s="182">
        <v>75000</v>
      </c>
      <c r="Q222" s="182">
        <v>75000</v>
      </c>
    </row>
    <row r="223" spans="1:17" customFormat="1" ht="14.4" x14ac:dyDescent="0.3">
      <c r="A223" s="188">
        <v>322</v>
      </c>
      <c r="B223" s="178" t="s">
        <v>16</v>
      </c>
      <c r="C223" s="179">
        <f t="shared" ref="C223:F223" si="206">SUM(C224:C229)</f>
        <v>1324000</v>
      </c>
      <c r="D223" s="179">
        <f t="shared" si="206"/>
        <v>0</v>
      </c>
      <c r="E223" s="179">
        <f t="shared" si="206"/>
        <v>400000</v>
      </c>
      <c r="F223" s="179">
        <f t="shared" si="206"/>
        <v>1724000</v>
      </c>
      <c r="G223" s="179">
        <f t="shared" ref="G223:H223" si="207">SUM(G224:G229)</f>
        <v>1289000</v>
      </c>
      <c r="H223" s="179">
        <f t="shared" si="207"/>
        <v>1289000</v>
      </c>
      <c r="I223" s="179">
        <f t="shared" ref="I223:N223" si="208">SUM(I224:I229)</f>
        <v>1289000</v>
      </c>
      <c r="J223" s="179">
        <f t="shared" si="208"/>
        <v>0</v>
      </c>
      <c r="K223" s="179">
        <f t="shared" si="208"/>
        <v>558000</v>
      </c>
      <c r="L223" s="179">
        <f t="shared" si="208"/>
        <v>1847000</v>
      </c>
      <c r="M223" s="179">
        <f t="shared" si="208"/>
        <v>1289000</v>
      </c>
      <c r="N223" s="179">
        <f t="shared" si="208"/>
        <v>1289000</v>
      </c>
      <c r="O223" s="179">
        <f t="shared" ref="O223:P223" si="209">SUM(O224:O229)</f>
        <v>1847000</v>
      </c>
      <c r="P223" s="179">
        <f t="shared" si="209"/>
        <v>1847000</v>
      </c>
      <c r="Q223" s="179">
        <f t="shared" ref="Q223" si="210">SUM(Q224:Q229)</f>
        <v>1847000</v>
      </c>
    </row>
    <row r="224" spans="1:17" customFormat="1" ht="14.4" x14ac:dyDescent="0.3">
      <c r="A224" s="189">
        <v>3221</v>
      </c>
      <c r="B224" s="190" t="s">
        <v>17</v>
      </c>
      <c r="C224" s="182">
        <v>67000</v>
      </c>
      <c r="D224" s="182"/>
      <c r="E224" s="182"/>
      <c r="F224" s="182">
        <f t="shared" si="205"/>
        <v>67000</v>
      </c>
      <c r="G224" s="182">
        <v>67000</v>
      </c>
      <c r="H224" s="182">
        <v>67000</v>
      </c>
      <c r="I224" s="182">
        <v>67000</v>
      </c>
      <c r="J224" s="220"/>
      <c r="K224" s="220"/>
      <c r="L224" s="220">
        <f t="shared" ref="L224:L229" si="211">I224-J224+K224</f>
        <v>67000</v>
      </c>
      <c r="M224" s="182">
        <v>67000</v>
      </c>
      <c r="N224" s="182">
        <v>67000</v>
      </c>
      <c r="O224" s="182">
        <v>67000</v>
      </c>
      <c r="P224" s="182">
        <v>67000</v>
      </c>
      <c r="Q224" s="182">
        <v>67000</v>
      </c>
    </row>
    <row r="225" spans="1:17" customFormat="1" ht="14.4" x14ac:dyDescent="0.3">
      <c r="A225" s="189">
        <v>3222</v>
      </c>
      <c r="B225" s="190" t="s">
        <v>18</v>
      </c>
      <c r="C225" s="182">
        <v>102000</v>
      </c>
      <c r="D225" s="182"/>
      <c r="E225" s="182"/>
      <c r="F225" s="182">
        <f t="shared" si="205"/>
        <v>102000</v>
      </c>
      <c r="G225" s="182">
        <v>102000</v>
      </c>
      <c r="H225" s="182">
        <v>102000</v>
      </c>
      <c r="I225" s="182">
        <v>102000</v>
      </c>
      <c r="J225" s="220"/>
      <c r="K225" s="220"/>
      <c r="L225" s="220">
        <f t="shared" si="211"/>
        <v>102000</v>
      </c>
      <c r="M225" s="182">
        <v>102000</v>
      </c>
      <c r="N225" s="182">
        <v>102000</v>
      </c>
      <c r="O225" s="182">
        <v>102000</v>
      </c>
      <c r="P225" s="182">
        <v>102000</v>
      </c>
      <c r="Q225" s="182">
        <v>102000</v>
      </c>
    </row>
    <row r="226" spans="1:17" customFormat="1" ht="14.4" x14ac:dyDescent="0.3">
      <c r="A226" s="189">
        <v>3223</v>
      </c>
      <c r="B226" s="190" t="s">
        <v>19</v>
      </c>
      <c r="C226" s="182">
        <v>400000</v>
      </c>
      <c r="D226" s="182"/>
      <c r="E226" s="182">
        <v>400000</v>
      </c>
      <c r="F226" s="182">
        <f t="shared" si="205"/>
        <v>800000</v>
      </c>
      <c r="G226" s="182">
        <v>265000</v>
      </c>
      <c r="H226" s="182">
        <v>265000</v>
      </c>
      <c r="I226" s="182">
        <v>265000</v>
      </c>
      <c r="J226" s="220"/>
      <c r="K226" s="220">
        <v>535000</v>
      </c>
      <c r="L226" s="220">
        <f t="shared" si="211"/>
        <v>800000</v>
      </c>
      <c r="M226" s="182">
        <v>265000</v>
      </c>
      <c r="N226" s="182">
        <v>265000</v>
      </c>
      <c r="O226" s="182">
        <v>800000</v>
      </c>
      <c r="P226" s="182">
        <v>800000</v>
      </c>
      <c r="Q226" s="182">
        <v>800000</v>
      </c>
    </row>
    <row r="227" spans="1:17" customFormat="1" ht="14.4" x14ac:dyDescent="0.3">
      <c r="A227" s="180">
        <v>3224</v>
      </c>
      <c r="B227" s="181" t="s">
        <v>20</v>
      </c>
      <c r="C227" s="182">
        <v>110000</v>
      </c>
      <c r="D227" s="182"/>
      <c r="E227" s="182"/>
      <c r="F227" s="182">
        <f t="shared" si="205"/>
        <v>110000</v>
      </c>
      <c r="G227" s="182">
        <v>210000</v>
      </c>
      <c r="H227" s="182">
        <v>210000</v>
      </c>
      <c r="I227" s="182">
        <v>210000</v>
      </c>
      <c r="J227" s="220"/>
      <c r="K227" s="220"/>
      <c r="L227" s="220">
        <f t="shared" si="211"/>
        <v>210000</v>
      </c>
      <c r="M227" s="182">
        <v>210000</v>
      </c>
      <c r="N227" s="182">
        <v>210000</v>
      </c>
      <c r="O227" s="182">
        <v>210000</v>
      </c>
      <c r="P227" s="182">
        <v>210000</v>
      </c>
      <c r="Q227" s="182">
        <v>210000</v>
      </c>
    </row>
    <row r="228" spans="1:17" customFormat="1" ht="14.4" x14ac:dyDescent="0.3">
      <c r="A228" s="189">
        <v>3225</v>
      </c>
      <c r="B228" s="190" t="s">
        <v>21</v>
      </c>
      <c r="C228" s="182">
        <v>7000</v>
      </c>
      <c r="D228" s="182"/>
      <c r="E228" s="182"/>
      <c r="F228" s="182">
        <f t="shared" si="205"/>
        <v>7000</v>
      </c>
      <c r="G228" s="182">
        <v>7000</v>
      </c>
      <c r="H228" s="182">
        <v>7000</v>
      </c>
      <c r="I228" s="182">
        <v>7000</v>
      </c>
      <c r="J228" s="220"/>
      <c r="K228" s="220">
        <v>23000</v>
      </c>
      <c r="L228" s="220">
        <f t="shared" si="211"/>
        <v>30000</v>
      </c>
      <c r="M228" s="182">
        <v>7000</v>
      </c>
      <c r="N228" s="182">
        <v>7000</v>
      </c>
      <c r="O228" s="182">
        <v>30000</v>
      </c>
      <c r="P228" s="182">
        <v>30000</v>
      </c>
      <c r="Q228" s="182">
        <v>30000</v>
      </c>
    </row>
    <row r="229" spans="1:17" customFormat="1" ht="14.4" x14ac:dyDescent="0.3">
      <c r="A229" s="189">
        <v>3227</v>
      </c>
      <c r="B229" s="190" t="s">
        <v>22</v>
      </c>
      <c r="C229" s="182">
        <v>638000</v>
      </c>
      <c r="D229" s="182"/>
      <c r="E229" s="182"/>
      <c r="F229" s="182">
        <f t="shared" si="205"/>
        <v>638000</v>
      </c>
      <c r="G229" s="182">
        <v>638000</v>
      </c>
      <c r="H229" s="182">
        <v>638000</v>
      </c>
      <c r="I229" s="182">
        <v>638000</v>
      </c>
      <c r="J229" s="220"/>
      <c r="K229" s="220"/>
      <c r="L229" s="220">
        <f t="shared" si="211"/>
        <v>638000</v>
      </c>
      <c r="M229" s="182">
        <v>638000</v>
      </c>
      <c r="N229" s="182">
        <v>638000</v>
      </c>
      <c r="O229" s="182">
        <v>638000</v>
      </c>
      <c r="P229" s="182">
        <v>638000</v>
      </c>
      <c r="Q229" s="182">
        <v>638000</v>
      </c>
    </row>
    <row r="230" spans="1:17" customFormat="1" ht="14.4" x14ac:dyDescent="0.3">
      <c r="A230" s="188">
        <v>323</v>
      </c>
      <c r="B230" s="178" t="s">
        <v>23</v>
      </c>
      <c r="C230" s="179">
        <f t="shared" ref="C230:F230" si="212">SUM(C231:C235)</f>
        <v>2080000</v>
      </c>
      <c r="D230" s="179">
        <f t="shared" si="212"/>
        <v>0</v>
      </c>
      <c r="E230" s="179">
        <f t="shared" si="212"/>
        <v>400000</v>
      </c>
      <c r="F230" s="179">
        <f t="shared" si="212"/>
        <v>2480000</v>
      </c>
      <c r="G230" s="179">
        <f t="shared" ref="G230:H230" si="213">SUM(G231:G235)</f>
        <v>1362000</v>
      </c>
      <c r="H230" s="179">
        <f t="shared" si="213"/>
        <v>1362000</v>
      </c>
      <c r="I230" s="179">
        <f t="shared" ref="I230:N230" si="214">SUM(I231:I235)</f>
        <v>1362000</v>
      </c>
      <c r="J230" s="179">
        <f t="shared" si="214"/>
        <v>0</v>
      </c>
      <c r="K230" s="179">
        <f t="shared" si="214"/>
        <v>0</v>
      </c>
      <c r="L230" s="179">
        <f t="shared" si="214"/>
        <v>1362000</v>
      </c>
      <c r="M230" s="179">
        <f t="shared" si="214"/>
        <v>1362000</v>
      </c>
      <c r="N230" s="179">
        <f t="shared" si="214"/>
        <v>1362000</v>
      </c>
      <c r="O230" s="179">
        <f t="shared" ref="O230:P230" si="215">SUM(O231:O235)</f>
        <v>1362000</v>
      </c>
      <c r="P230" s="179">
        <f t="shared" si="215"/>
        <v>1362000</v>
      </c>
      <c r="Q230" s="179">
        <f t="shared" ref="Q230" si="216">SUM(Q231:Q235)</f>
        <v>1362000</v>
      </c>
    </row>
    <row r="231" spans="1:17" customFormat="1" ht="14.4" x14ac:dyDescent="0.3">
      <c r="A231" s="180">
        <v>3232</v>
      </c>
      <c r="B231" s="181" t="s">
        <v>25</v>
      </c>
      <c r="C231" s="182">
        <v>1800000</v>
      </c>
      <c r="D231" s="182"/>
      <c r="E231" s="182">
        <v>400000</v>
      </c>
      <c r="F231" s="182">
        <f t="shared" si="205"/>
        <v>2200000</v>
      </c>
      <c r="G231" s="182">
        <v>1082000</v>
      </c>
      <c r="H231" s="182">
        <v>1082000</v>
      </c>
      <c r="I231" s="182">
        <v>1082000</v>
      </c>
      <c r="J231" s="220"/>
      <c r="K231" s="220"/>
      <c r="L231" s="220">
        <f>I231-J231+K231</f>
        <v>1082000</v>
      </c>
      <c r="M231" s="182">
        <v>1082000</v>
      </c>
      <c r="N231" s="182">
        <v>1082000</v>
      </c>
      <c r="O231" s="182">
        <v>1082000</v>
      </c>
      <c r="P231" s="182">
        <v>1082000</v>
      </c>
      <c r="Q231" s="182">
        <v>1082000</v>
      </c>
    </row>
    <row r="232" spans="1:17" customFormat="1" ht="14.4" x14ac:dyDescent="0.3">
      <c r="A232" s="180">
        <v>3233</v>
      </c>
      <c r="B232" s="181" t="s">
        <v>26</v>
      </c>
      <c r="C232" s="182">
        <v>220000</v>
      </c>
      <c r="D232" s="182"/>
      <c r="E232" s="182"/>
      <c r="F232" s="182">
        <f t="shared" si="205"/>
        <v>220000</v>
      </c>
      <c r="G232" s="182">
        <v>220000</v>
      </c>
      <c r="H232" s="182">
        <v>220000</v>
      </c>
      <c r="I232" s="182">
        <v>220000</v>
      </c>
      <c r="J232" s="220"/>
      <c r="K232" s="220"/>
      <c r="L232" s="220">
        <f>I232-J232+K232</f>
        <v>220000</v>
      </c>
      <c r="M232" s="182">
        <v>220000</v>
      </c>
      <c r="N232" s="182">
        <v>220000</v>
      </c>
      <c r="O232" s="182">
        <v>220000</v>
      </c>
      <c r="P232" s="182">
        <v>220000</v>
      </c>
      <c r="Q232" s="182">
        <v>220000</v>
      </c>
    </row>
    <row r="233" spans="1:17" customFormat="1" ht="14.4" x14ac:dyDescent="0.3">
      <c r="A233" s="180">
        <v>3235</v>
      </c>
      <c r="B233" s="181" t="s">
        <v>28</v>
      </c>
      <c r="C233" s="182">
        <v>37000</v>
      </c>
      <c r="D233" s="182"/>
      <c r="E233" s="182"/>
      <c r="F233" s="182">
        <f t="shared" si="205"/>
        <v>37000</v>
      </c>
      <c r="G233" s="182">
        <v>37000</v>
      </c>
      <c r="H233" s="182">
        <v>37000</v>
      </c>
      <c r="I233" s="182">
        <v>37000</v>
      </c>
      <c r="J233" s="220"/>
      <c r="K233" s="220"/>
      <c r="L233" s="220">
        <f>I233-J233+K233</f>
        <v>37000</v>
      </c>
      <c r="M233" s="182">
        <v>37000</v>
      </c>
      <c r="N233" s="182">
        <v>37000</v>
      </c>
      <c r="O233" s="182">
        <v>37000</v>
      </c>
      <c r="P233" s="182">
        <v>37000</v>
      </c>
      <c r="Q233" s="182">
        <v>37000</v>
      </c>
    </row>
    <row r="234" spans="1:17" customFormat="1" ht="14.4" x14ac:dyDescent="0.3">
      <c r="A234" s="180">
        <v>3237</v>
      </c>
      <c r="B234" s="181" t="s">
        <v>30</v>
      </c>
      <c r="C234" s="182">
        <v>2000</v>
      </c>
      <c r="D234" s="182"/>
      <c r="E234" s="182"/>
      <c r="F234" s="182">
        <f t="shared" si="205"/>
        <v>2000</v>
      </c>
      <c r="G234" s="182">
        <v>2000</v>
      </c>
      <c r="H234" s="182">
        <v>2000</v>
      </c>
      <c r="I234" s="182">
        <v>2000</v>
      </c>
      <c r="J234" s="220"/>
      <c r="K234" s="220"/>
      <c r="L234" s="220">
        <f>I234-J234+K234</f>
        <v>2000</v>
      </c>
      <c r="M234" s="182">
        <v>2000</v>
      </c>
      <c r="N234" s="182">
        <v>2000</v>
      </c>
      <c r="O234" s="182">
        <v>2000</v>
      </c>
      <c r="P234" s="182">
        <v>2000</v>
      </c>
      <c r="Q234" s="182">
        <v>2000</v>
      </c>
    </row>
    <row r="235" spans="1:17" customFormat="1" ht="14.4" x14ac:dyDescent="0.3">
      <c r="A235" s="180">
        <v>3238</v>
      </c>
      <c r="B235" s="181" t="s">
        <v>70</v>
      </c>
      <c r="C235" s="182">
        <v>21000</v>
      </c>
      <c r="D235" s="182"/>
      <c r="E235" s="182"/>
      <c r="F235" s="182">
        <f t="shared" si="205"/>
        <v>21000</v>
      </c>
      <c r="G235" s="182">
        <v>21000</v>
      </c>
      <c r="H235" s="182">
        <v>21000</v>
      </c>
      <c r="I235" s="182">
        <v>21000</v>
      </c>
      <c r="J235" s="220"/>
      <c r="K235" s="220"/>
      <c r="L235" s="220">
        <f>I235-J235+K235</f>
        <v>21000</v>
      </c>
      <c r="M235" s="182">
        <v>21000</v>
      </c>
      <c r="N235" s="182">
        <v>21000</v>
      </c>
      <c r="O235" s="182">
        <v>21000</v>
      </c>
      <c r="P235" s="182">
        <v>21000</v>
      </c>
      <c r="Q235" s="182">
        <v>21000</v>
      </c>
    </row>
    <row r="236" spans="1:17" customFormat="1" ht="14.4" x14ac:dyDescent="0.3">
      <c r="A236" s="188">
        <v>329</v>
      </c>
      <c r="B236" s="178" t="s">
        <v>33</v>
      </c>
      <c r="C236" s="179">
        <f t="shared" ref="C236:F236" si="217">SUM(C237:C238)</f>
        <v>195000</v>
      </c>
      <c r="D236" s="179">
        <f t="shared" si="217"/>
        <v>0</v>
      </c>
      <c r="E236" s="179">
        <f t="shared" si="217"/>
        <v>0</v>
      </c>
      <c r="F236" s="179">
        <f t="shared" si="217"/>
        <v>195000</v>
      </c>
      <c r="G236" s="179">
        <f t="shared" ref="G236:H236" si="218">SUM(G237:G238)</f>
        <v>195000</v>
      </c>
      <c r="H236" s="179">
        <f t="shared" si="218"/>
        <v>195000</v>
      </c>
      <c r="I236" s="179">
        <f t="shared" ref="I236:N236" si="219">SUM(I237:I238)</f>
        <v>195000</v>
      </c>
      <c r="J236" s="179">
        <f t="shared" si="219"/>
        <v>0</v>
      </c>
      <c r="K236" s="179">
        <f t="shared" si="219"/>
        <v>0</v>
      </c>
      <c r="L236" s="179">
        <f t="shared" si="219"/>
        <v>195000</v>
      </c>
      <c r="M236" s="179">
        <f t="shared" si="219"/>
        <v>195000</v>
      </c>
      <c r="N236" s="179">
        <f t="shared" si="219"/>
        <v>195000</v>
      </c>
      <c r="O236" s="179">
        <f t="shared" ref="O236:P236" si="220">SUM(O237:O238)</f>
        <v>195000</v>
      </c>
      <c r="P236" s="179">
        <f t="shared" si="220"/>
        <v>195000</v>
      </c>
      <c r="Q236" s="179">
        <f t="shared" ref="Q236" si="221">SUM(Q237:Q238)</f>
        <v>195000</v>
      </c>
    </row>
    <row r="237" spans="1:17" customFormat="1" ht="14.4" x14ac:dyDescent="0.3">
      <c r="A237" s="189">
        <v>3294</v>
      </c>
      <c r="B237" s="190" t="s">
        <v>37</v>
      </c>
      <c r="C237" s="182">
        <v>52000</v>
      </c>
      <c r="D237" s="182"/>
      <c r="E237" s="182"/>
      <c r="F237" s="182">
        <f t="shared" si="205"/>
        <v>52000</v>
      </c>
      <c r="G237" s="182">
        <v>52000</v>
      </c>
      <c r="H237" s="182">
        <v>52000</v>
      </c>
      <c r="I237" s="182">
        <v>52000</v>
      </c>
      <c r="J237" s="220"/>
      <c r="K237" s="220"/>
      <c r="L237" s="220">
        <f>I237-J237+K237</f>
        <v>52000</v>
      </c>
      <c r="M237" s="182">
        <v>52000</v>
      </c>
      <c r="N237" s="182">
        <v>52000</v>
      </c>
      <c r="O237" s="182">
        <v>52000</v>
      </c>
      <c r="P237" s="182">
        <v>52000</v>
      </c>
      <c r="Q237" s="182">
        <v>52000</v>
      </c>
    </row>
    <row r="238" spans="1:17" customFormat="1" ht="14.4" x14ac:dyDescent="0.3">
      <c r="A238" s="189">
        <v>3299</v>
      </c>
      <c r="B238" s="190" t="s">
        <v>33</v>
      </c>
      <c r="C238" s="182">
        <v>143000</v>
      </c>
      <c r="D238" s="182"/>
      <c r="E238" s="182"/>
      <c r="F238" s="182">
        <f t="shared" si="205"/>
        <v>143000</v>
      </c>
      <c r="G238" s="182">
        <v>143000</v>
      </c>
      <c r="H238" s="182">
        <v>143000</v>
      </c>
      <c r="I238" s="182">
        <v>143000</v>
      </c>
      <c r="J238" s="220"/>
      <c r="K238" s="220"/>
      <c r="L238" s="220">
        <f>I238-J238+K238</f>
        <v>143000</v>
      </c>
      <c r="M238" s="182">
        <v>143000</v>
      </c>
      <c r="N238" s="182">
        <v>143000</v>
      </c>
      <c r="O238" s="182">
        <v>143000</v>
      </c>
      <c r="P238" s="182">
        <v>143000</v>
      </c>
      <c r="Q238" s="182">
        <v>143000</v>
      </c>
    </row>
    <row r="239" spans="1:17" customFormat="1" ht="14.4" x14ac:dyDescent="0.3">
      <c r="A239" s="209" t="s">
        <v>331</v>
      </c>
      <c r="B239" s="210" t="s">
        <v>332</v>
      </c>
      <c r="C239" s="176">
        <f t="shared" ref="C239:F239" si="222">SUM(C240,C242)</f>
        <v>108000</v>
      </c>
      <c r="D239" s="176">
        <f t="shared" si="222"/>
        <v>0</v>
      </c>
      <c r="E239" s="176">
        <f t="shared" si="222"/>
        <v>45000</v>
      </c>
      <c r="F239" s="176">
        <f t="shared" si="222"/>
        <v>153000</v>
      </c>
      <c r="G239" s="176">
        <f t="shared" ref="G239:H239" si="223">SUM(G240,G242)</f>
        <v>108000</v>
      </c>
      <c r="H239" s="176">
        <f t="shared" si="223"/>
        <v>108000</v>
      </c>
      <c r="I239" s="176">
        <f t="shared" ref="I239:N239" si="224">SUM(I240,I242)</f>
        <v>108000</v>
      </c>
      <c r="J239" s="176">
        <f t="shared" si="224"/>
        <v>0</v>
      </c>
      <c r="K239" s="176">
        <f t="shared" si="224"/>
        <v>49000</v>
      </c>
      <c r="L239" s="176">
        <f t="shared" si="224"/>
        <v>157000</v>
      </c>
      <c r="M239" s="176">
        <f t="shared" si="224"/>
        <v>108000</v>
      </c>
      <c r="N239" s="176">
        <f t="shared" si="224"/>
        <v>108000</v>
      </c>
      <c r="O239" s="176">
        <f t="shared" ref="O239:P239" si="225">SUM(O240,O242)</f>
        <v>157000</v>
      </c>
      <c r="P239" s="176">
        <f t="shared" si="225"/>
        <v>157000</v>
      </c>
      <c r="Q239" s="176">
        <f t="shared" ref="Q239" si="226">SUM(Q240,Q242)</f>
        <v>157000</v>
      </c>
    </row>
    <row r="240" spans="1:17" customFormat="1" ht="14.4" x14ac:dyDescent="0.3">
      <c r="A240" s="188">
        <v>351</v>
      </c>
      <c r="B240" s="178" t="s">
        <v>132</v>
      </c>
      <c r="C240" s="179">
        <f t="shared" ref="C240:H240" si="227">SUM(C241:C241)</f>
        <v>53000</v>
      </c>
      <c r="D240" s="179">
        <f t="shared" si="227"/>
        <v>0</v>
      </c>
      <c r="E240" s="179">
        <f t="shared" si="227"/>
        <v>0</v>
      </c>
      <c r="F240" s="179">
        <f t="shared" si="227"/>
        <v>53000</v>
      </c>
      <c r="G240" s="179">
        <f t="shared" si="227"/>
        <v>53000</v>
      </c>
      <c r="H240" s="179">
        <f t="shared" si="227"/>
        <v>53000</v>
      </c>
      <c r="I240" s="179">
        <f t="shared" ref="I240:Q240" si="228">SUM(I241)</f>
        <v>53000</v>
      </c>
      <c r="J240" s="179">
        <f t="shared" si="228"/>
        <v>0</v>
      </c>
      <c r="K240" s="179">
        <f t="shared" si="228"/>
        <v>0</v>
      </c>
      <c r="L240" s="179">
        <f t="shared" si="228"/>
        <v>53000</v>
      </c>
      <c r="M240" s="179">
        <f t="shared" si="228"/>
        <v>53000</v>
      </c>
      <c r="N240" s="179">
        <f t="shared" si="228"/>
        <v>53000</v>
      </c>
      <c r="O240" s="179">
        <f t="shared" si="228"/>
        <v>53000</v>
      </c>
      <c r="P240" s="179">
        <f t="shared" si="228"/>
        <v>53000</v>
      </c>
      <c r="Q240" s="179">
        <f t="shared" si="228"/>
        <v>53000</v>
      </c>
    </row>
    <row r="241" spans="1:17" customFormat="1" ht="14.4" x14ac:dyDescent="0.3">
      <c r="A241" s="189">
        <v>3512</v>
      </c>
      <c r="B241" s="181" t="s">
        <v>132</v>
      </c>
      <c r="C241" s="182">
        <v>53000</v>
      </c>
      <c r="D241" s="182"/>
      <c r="E241" s="182"/>
      <c r="F241" s="182">
        <f t="shared" ref="F241:F243" si="229">C241-D241+E241</f>
        <v>53000</v>
      </c>
      <c r="G241" s="182">
        <v>53000</v>
      </c>
      <c r="H241" s="182">
        <v>53000</v>
      </c>
      <c r="I241" s="182">
        <v>53000</v>
      </c>
      <c r="J241" s="220"/>
      <c r="K241" s="220"/>
      <c r="L241" s="220">
        <f>I241-J241+K241</f>
        <v>53000</v>
      </c>
      <c r="M241" s="182">
        <v>53000</v>
      </c>
      <c r="N241" s="182">
        <v>53000</v>
      </c>
      <c r="O241" s="182">
        <v>53000</v>
      </c>
      <c r="P241" s="182">
        <v>53000</v>
      </c>
      <c r="Q241" s="182">
        <v>53000</v>
      </c>
    </row>
    <row r="242" spans="1:17" customFormat="1" ht="14.4" x14ac:dyDescent="0.3">
      <c r="A242" s="188">
        <v>352</v>
      </c>
      <c r="B242" s="178" t="s">
        <v>100</v>
      </c>
      <c r="C242" s="179">
        <f t="shared" ref="C242:H242" si="230">SUM(C243:C243)</f>
        <v>55000</v>
      </c>
      <c r="D242" s="179">
        <f t="shared" si="230"/>
        <v>0</v>
      </c>
      <c r="E242" s="179">
        <f t="shared" si="230"/>
        <v>45000</v>
      </c>
      <c r="F242" s="179">
        <f t="shared" si="230"/>
        <v>100000</v>
      </c>
      <c r="G242" s="179">
        <f t="shared" si="230"/>
        <v>55000</v>
      </c>
      <c r="H242" s="179">
        <f t="shared" si="230"/>
        <v>55000</v>
      </c>
      <c r="I242" s="179">
        <f t="shared" ref="I242:Q242" si="231">SUM(I243)</f>
        <v>55000</v>
      </c>
      <c r="J242" s="179">
        <f t="shared" si="231"/>
        <v>0</v>
      </c>
      <c r="K242" s="179">
        <f t="shared" si="231"/>
        <v>49000</v>
      </c>
      <c r="L242" s="179">
        <f t="shared" si="231"/>
        <v>104000</v>
      </c>
      <c r="M242" s="179">
        <f t="shared" si="231"/>
        <v>55000</v>
      </c>
      <c r="N242" s="179">
        <f t="shared" si="231"/>
        <v>55000</v>
      </c>
      <c r="O242" s="179">
        <f t="shared" si="231"/>
        <v>104000</v>
      </c>
      <c r="P242" s="179">
        <f t="shared" si="231"/>
        <v>104000</v>
      </c>
      <c r="Q242" s="179">
        <f t="shared" si="231"/>
        <v>104000</v>
      </c>
    </row>
    <row r="243" spans="1:17" customFormat="1" ht="14.4" x14ac:dyDescent="0.3">
      <c r="A243" s="189">
        <v>3522</v>
      </c>
      <c r="B243" s="181" t="s">
        <v>101</v>
      </c>
      <c r="C243" s="182">
        <v>55000</v>
      </c>
      <c r="D243" s="182"/>
      <c r="E243" s="182">
        <v>45000</v>
      </c>
      <c r="F243" s="182">
        <f t="shared" si="229"/>
        <v>100000</v>
      </c>
      <c r="G243" s="182">
        <v>55000</v>
      </c>
      <c r="H243" s="182">
        <v>55000</v>
      </c>
      <c r="I243" s="182">
        <v>55000</v>
      </c>
      <c r="J243" s="220"/>
      <c r="K243" s="220">
        <v>49000</v>
      </c>
      <c r="L243" s="220">
        <f>I243-J243+K243</f>
        <v>104000</v>
      </c>
      <c r="M243" s="182">
        <v>55000</v>
      </c>
      <c r="N243" s="182">
        <v>55000</v>
      </c>
      <c r="O243" s="182">
        <v>104000</v>
      </c>
      <c r="P243" s="182">
        <v>104000</v>
      </c>
      <c r="Q243" s="182">
        <v>104000</v>
      </c>
    </row>
    <row r="244" spans="1:17" customFormat="1" ht="26.4" x14ac:dyDescent="0.3">
      <c r="A244" s="209" t="s">
        <v>333</v>
      </c>
      <c r="B244" s="186" t="s">
        <v>334</v>
      </c>
      <c r="C244" s="176">
        <f>SUM(C245,C248,C250)</f>
        <v>1728000</v>
      </c>
      <c r="D244" s="176">
        <f t="shared" ref="D244:F244" si="232">SUM(D245,D248,D250)</f>
        <v>0</v>
      </c>
      <c r="E244" s="176">
        <f t="shared" si="232"/>
        <v>321000</v>
      </c>
      <c r="F244" s="176">
        <f t="shared" si="232"/>
        <v>2049000</v>
      </c>
      <c r="G244" s="176">
        <f t="shared" ref="G244" si="233">SUM(G245,G248,G250)</f>
        <v>1728000</v>
      </c>
      <c r="H244" s="176">
        <f t="shared" ref="H244" si="234">SUM(H245,H248,H250)</f>
        <v>1728000</v>
      </c>
      <c r="I244" s="176">
        <f t="shared" ref="I244:L244" si="235">SUM(I245,I248,I250)</f>
        <v>2005000</v>
      </c>
      <c r="J244" s="176">
        <f t="shared" si="235"/>
        <v>0</v>
      </c>
      <c r="K244" s="176">
        <f t="shared" si="235"/>
        <v>462000</v>
      </c>
      <c r="L244" s="176">
        <f t="shared" si="235"/>
        <v>2467000</v>
      </c>
      <c r="M244" s="176">
        <f t="shared" ref="M244:O244" si="236">SUM(M245,M248,M250)</f>
        <v>2005000</v>
      </c>
      <c r="N244" s="176">
        <f t="shared" ref="N244:P244" si="237">SUM(N245,N248,N250)</f>
        <v>2005000</v>
      </c>
      <c r="O244" s="176">
        <f t="shared" si="236"/>
        <v>2667000</v>
      </c>
      <c r="P244" s="176">
        <f t="shared" si="237"/>
        <v>2667000</v>
      </c>
      <c r="Q244" s="176">
        <f t="shared" ref="Q244" si="238">SUM(Q245,Q248,Q250)</f>
        <v>2667000</v>
      </c>
    </row>
    <row r="245" spans="1:17" customFormat="1" ht="14.4" x14ac:dyDescent="0.3">
      <c r="A245" s="188">
        <v>363</v>
      </c>
      <c r="B245" s="178" t="s">
        <v>102</v>
      </c>
      <c r="C245" s="179">
        <f t="shared" ref="C245" si="239">SUM(C246:C247)</f>
        <v>905000</v>
      </c>
      <c r="D245" s="179">
        <f t="shared" ref="D245:F245" si="240">SUM(D246:D247)</f>
        <v>0</v>
      </c>
      <c r="E245" s="179">
        <f t="shared" si="240"/>
        <v>1000</v>
      </c>
      <c r="F245" s="179">
        <f t="shared" si="240"/>
        <v>906000</v>
      </c>
      <c r="G245" s="179">
        <f t="shared" ref="G245:H245" si="241">SUM(G246:G247)</f>
        <v>905000</v>
      </c>
      <c r="H245" s="179">
        <f t="shared" si="241"/>
        <v>905000</v>
      </c>
      <c r="I245" s="179">
        <f t="shared" ref="I245:M245" si="242">SUM(I246:I247)</f>
        <v>905000</v>
      </c>
      <c r="J245" s="179">
        <f t="shared" si="242"/>
        <v>0</v>
      </c>
      <c r="K245" s="179">
        <f t="shared" si="242"/>
        <v>450000</v>
      </c>
      <c r="L245" s="179">
        <f t="shared" si="242"/>
        <v>1355000</v>
      </c>
      <c r="M245" s="179">
        <f t="shared" si="242"/>
        <v>905000</v>
      </c>
      <c r="N245" s="179">
        <f t="shared" ref="N245:O245" si="243">SUM(N246:N247)</f>
        <v>905000</v>
      </c>
      <c r="O245" s="179">
        <f t="shared" si="243"/>
        <v>1355000</v>
      </c>
      <c r="P245" s="179">
        <f t="shared" ref="P245:Q245" si="244">SUM(P246:P247)</f>
        <v>1355000</v>
      </c>
      <c r="Q245" s="179">
        <f t="shared" si="244"/>
        <v>1355000</v>
      </c>
    </row>
    <row r="246" spans="1:17" customFormat="1" ht="14.4" x14ac:dyDescent="0.3">
      <c r="A246" s="189">
        <v>3631</v>
      </c>
      <c r="B246" s="181" t="s">
        <v>103</v>
      </c>
      <c r="C246" s="182"/>
      <c r="D246" s="182"/>
      <c r="E246" s="182">
        <v>1000</v>
      </c>
      <c r="F246" s="182">
        <f t="shared" ref="F246:F252" si="245">C246-D246+E246</f>
        <v>1000</v>
      </c>
      <c r="G246" s="182"/>
      <c r="H246" s="182"/>
      <c r="I246" s="182"/>
      <c r="J246" s="220"/>
      <c r="K246" s="220">
        <v>5000</v>
      </c>
      <c r="L246" s="220">
        <f>I246-J246+K246</f>
        <v>5000</v>
      </c>
      <c r="M246" s="182"/>
      <c r="N246" s="182"/>
      <c r="O246" s="182">
        <v>5000</v>
      </c>
      <c r="P246" s="182">
        <v>5000</v>
      </c>
      <c r="Q246" s="182">
        <v>5000</v>
      </c>
    </row>
    <row r="247" spans="1:17" customFormat="1" ht="14.4" x14ac:dyDescent="0.3">
      <c r="A247" s="189">
        <v>3632</v>
      </c>
      <c r="B247" s="181" t="s">
        <v>104</v>
      </c>
      <c r="C247" s="182">
        <v>905000</v>
      </c>
      <c r="D247" s="182"/>
      <c r="E247" s="182"/>
      <c r="F247" s="182">
        <f t="shared" si="245"/>
        <v>905000</v>
      </c>
      <c r="G247" s="182">
        <v>905000</v>
      </c>
      <c r="H247" s="182">
        <v>905000</v>
      </c>
      <c r="I247" s="182">
        <v>905000</v>
      </c>
      <c r="J247" s="220"/>
      <c r="K247" s="233">
        <v>445000</v>
      </c>
      <c r="L247" s="220">
        <f>I247-J247+K247</f>
        <v>1350000</v>
      </c>
      <c r="M247" s="182">
        <v>905000</v>
      </c>
      <c r="N247" s="182">
        <v>905000</v>
      </c>
      <c r="O247" s="182">
        <v>1350000</v>
      </c>
      <c r="P247" s="182">
        <v>1350000</v>
      </c>
      <c r="Q247" s="182">
        <v>1350000</v>
      </c>
    </row>
    <row r="248" spans="1:17" customFormat="1" ht="14.4" x14ac:dyDescent="0.3">
      <c r="A248" s="188">
        <v>366</v>
      </c>
      <c r="B248" s="178" t="s">
        <v>231</v>
      </c>
      <c r="C248" s="219">
        <f>SUM(C249)</f>
        <v>0</v>
      </c>
      <c r="D248" s="219">
        <f t="shared" ref="D248:Q248" si="246">SUM(D249)</f>
        <v>0</v>
      </c>
      <c r="E248" s="219">
        <f t="shared" si="246"/>
        <v>9000</v>
      </c>
      <c r="F248" s="219">
        <f t="shared" si="246"/>
        <v>9000</v>
      </c>
      <c r="G248" s="219">
        <f t="shared" si="246"/>
        <v>0</v>
      </c>
      <c r="H248" s="219">
        <f t="shared" si="246"/>
        <v>0</v>
      </c>
      <c r="I248" s="219">
        <f t="shared" si="246"/>
        <v>0</v>
      </c>
      <c r="J248" s="219">
        <f t="shared" si="246"/>
        <v>0</v>
      </c>
      <c r="K248" s="219">
        <f t="shared" si="246"/>
        <v>12000</v>
      </c>
      <c r="L248" s="219">
        <f t="shared" si="246"/>
        <v>12000</v>
      </c>
      <c r="M248" s="219">
        <f t="shared" si="246"/>
        <v>0</v>
      </c>
      <c r="N248" s="219">
        <f t="shared" si="246"/>
        <v>0</v>
      </c>
      <c r="O248" s="219">
        <f t="shared" si="246"/>
        <v>12000</v>
      </c>
      <c r="P248" s="219">
        <f t="shared" si="246"/>
        <v>12000</v>
      </c>
      <c r="Q248" s="219">
        <f t="shared" si="246"/>
        <v>12000</v>
      </c>
    </row>
    <row r="249" spans="1:17" customFormat="1" ht="26.4" x14ac:dyDescent="0.3">
      <c r="A249" s="189">
        <v>3661</v>
      </c>
      <c r="B249" s="181" t="s">
        <v>251</v>
      </c>
      <c r="C249" s="220"/>
      <c r="D249" s="220"/>
      <c r="E249" s="220">
        <v>9000</v>
      </c>
      <c r="F249" s="182">
        <f t="shared" si="245"/>
        <v>9000</v>
      </c>
      <c r="G249" s="220"/>
      <c r="H249" s="220"/>
      <c r="I249" s="220"/>
      <c r="J249" s="220"/>
      <c r="K249" s="220">
        <v>12000</v>
      </c>
      <c r="L249" s="220">
        <f>I249-J249+K249</f>
        <v>12000</v>
      </c>
      <c r="M249" s="220"/>
      <c r="N249" s="220"/>
      <c r="O249" s="220">
        <v>12000</v>
      </c>
      <c r="P249" s="220">
        <v>12000</v>
      </c>
      <c r="Q249" s="220">
        <v>12000</v>
      </c>
    </row>
    <row r="250" spans="1:17" s="6" customFormat="1" ht="26.4" x14ac:dyDescent="0.3">
      <c r="A250" s="177">
        <v>369</v>
      </c>
      <c r="B250" s="178" t="s">
        <v>242</v>
      </c>
      <c r="C250" s="179">
        <f t="shared" ref="C250:F250" si="247">SUM(C251,C252)</f>
        <v>823000</v>
      </c>
      <c r="D250" s="179">
        <f t="shared" si="247"/>
        <v>0</v>
      </c>
      <c r="E250" s="179">
        <f t="shared" si="247"/>
        <v>311000</v>
      </c>
      <c r="F250" s="179">
        <f t="shared" si="247"/>
        <v>1134000</v>
      </c>
      <c r="G250" s="179">
        <f t="shared" ref="G250:H250" si="248">SUM(G251,G252)</f>
        <v>823000</v>
      </c>
      <c r="H250" s="179">
        <f t="shared" si="248"/>
        <v>823000</v>
      </c>
      <c r="I250" s="179">
        <f t="shared" ref="I250:N250" si="249">SUM(I251,I252)</f>
        <v>1100000</v>
      </c>
      <c r="J250" s="179">
        <f t="shared" si="249"/>
        <v>0</v>
      </c>
      <c r="K250" s="179">
        <f t="shared" si="249"/>
        <v>0</v>
      </c>
      <c r="L250" s="179">
        <f t="shared" si="249"/>
        <v>1100000</v>
      </c>
      <c r="M250" s="179">
        <f t="shared" si="249"/>
        <v>1100000</v>
      </c>
      <c r="N250" s="179">
        <f t="shared" si="249"/>
        <v>1100000</v>
      </c>
      <c r="O250" s="179">
        <f t="shared" ref="O250:P250" si="250">SUM(O251,O252)</f>
        <v>1300000</v>
      </c>
      <c r="P250" s="179">
        <f t="shared" si="250"/>
        <v>1300000</v>
      </c>
      <c r="Q250" s="179">
        <f t="shared" ref="Q250" si="251">SUM(Q251,Q252)</f>
        <v>1300000</v>
      </c>
    </row>
    <row r="251" spans="1:17" customFormat="1" ht="14.4" x14ac:dyDescent="0.3">
      <c r="A251" s="200">
        <v>3691</v>
      </c>
      <c r="B251" s="201" t="s">
        <v>243</v>
      </c>
      <c r="C251" s="191">
        <v>226000</v>
      </c>
      <c r="D251" s="191"/>
      <c r="E251" s="191">
        <v>311000</v>
      </c>
      <c r="F251" s="191">
        <f t="shared" si="245"/>
        <v>537000</v>
      </c>
      <c r="G251" s="191">
        <v>226000</v>
      </c>
      <c r="H251" s="191">
        <v>226000</v>
      </c>
      <c r="I251" s="191">
        <v>700000</v>
      </c>
      <c r="J251" s="233"/>
      <c r="K251" s="233"/>
      <c r="L251" s="220">
        <f>I251-J251+K251</f>
        <v>700000</v>
      </c>
      <c r="M251" s="191">
        <v>700000</v>
      </c>
      <c r="N251" s="191">
        <v>700000</v>
      </c>
      <c r="O251" s="191">
        <v>700000</v>
      </c>
      <c r="P251" s="191">
        <v>700000</v>
      </c>
      <c r="Q251" s="191">
        <v>700000</v>
      </c>
    </row>
    <row r="252" spans="1:17" s="10" customFormat="1" ht="26.4" x14ac:dyDescent="0.3">
      <c r="A252" s="200">
        <v>3692</v>
      </c>
      <c r="B252" s="201" t="s">
        <v>383</v>
      </c>
      <c r="C252" s="191">
        <v>597000</v>
      </c>
      <c r="D252" s="191"/>
      <c r="E252" s="191"/>
      <c r="F252" s="191">
        <f t="shared" si="245"/>
        <v>597000</v>
      </c>
      <c r="G252" s="191">
        <v>597000</v>
      </c>
      <c r="H252" s="191">
        <v>597000</v>
      </c>
      <c r="I252" s="191">
        <v>400000</v>
      </c>
      <c r="J252" s="233"/>
      <c r="K252" s="233"/>
      <c r="L252" s="220">
        <f>I252-J252+K252</f>
        <v>400000</v>
      </c>
      <c r="M252" s="191">
        <v>400000</v>
      </c>
      <c r="N252" s="191">
        <v>400000</v>
      </c>
      <c r="O252" s="191">
        <v>600000</v>
      </c>
      <c r="P252" s="191">
        <v>600000</v>
      </c>
      <c r="Q252" s="191">
        <v>600000</v>
      </c>
    </row>
    <row r="253" spans="1:17" s="10" customFormat="1" ht="14.4" x14ac:dyDescent="0.3">
      <c r="A253" s="174" t="s">
        <v>313</v>
      </c>
      <c r="B253" s="186" t="s">
        <v>314</v>
      </c>
      <c r="C253" s="176">
        <f t="shared" ref="C253:Q254" si="252">SUM(C254)</f>
        <v>344000</v>
      </c>
      <c r="D253" s="176">
        <f t="shared" si="252"/>
        <v>0</v>
      </c>
      <c r="E253" s="176">
        <f t="shared" si="252"/>
        <v>0</v>
      </c>
      <c r="F253" s="176">
        <f t="shared" si="252"/>
        <v>344000</v>
      </c>
      <c r="G253" s="176">
        <f t="shared" si="252"/>
        <v>344000</v>
      </c>
      <c r="H253" s="176">
        <f t="shared" si="252"/>
        <v>344000</v>
      </c>
      <c r="I253" s="176">
        <f t="shared" si="252"/>
        <v>344000</v>
      </c>
      <c r="J253" s="176">
        <f t="shared" si="252"/>
        <v>0</v>
      </c>
      <c r="K253" s="176">
        <f t="shared" si="252"/>
        <v>0</v>
      </c>
      <c r="L253" s="176">
        <f t="shared" si="252"/>
        <v>344000</v>
      </c>
      <c r="M253" s="176">
        <f t="shared" si="252"/>
        <v>344000</v>
      </c>
      <c r="N253" s="176">
        <f t="shared" si="252"/>
        <v>344000</v>
      </c>
      <c r="O253" s="176">
        <f t="shared" si="252"/>
        <v>344000</v>
      </c>
      <c r="P253" s="176">
        <f t="shared" si="252"/>
        <v>344000</v>
      </c>
      <c r="Q253" s="176">
        <f t="shared" si="252"/>
        <v>344000</v>
      </c>
    </row>
    <row r="254" spans="1:17" customFormat="1" ht="14.4" x14ac:dyDescent="0.3">
      <c r="A254" s="177">
        <v>381</v>
      </c>
      <c r="B254" s="178" t="s">
        <v>46</v>
      </c>
      <c r="C254" s="179">
        <f t="shared" si="252"/>
        <v>344000</v>
      </c>
      <c r="D254" s="179">
        <f t="shared" si="252"/>
        <v>0</v>
      </c>
      <c r="E254" s="179">
        <f t="shared" si="252"/>
        <v>0</v>
      </c>
      <c r="F254" s="179">
        <f t="shared" si="252"/>
        <v>344000</v>
      </c>
      <c r="G254" s="179">
        <f t="shared" si="252"/>
        <v>344000</v>
      </c>
      <c r="H254" s="179">
        <f t="shared" si="252"/>
        <v>344000</v>
      </c>
      <c r="I254" s="179">
        <f t="shared" si="252"/>
        <v>344000</v>
      </c>
      <c r="J254" s="179">
        <f t="shared" si="252"/>
        <v>0</v>
      </c>
      <c r="K254" s="179">
        <f t="shared" si="252"/>
        <v>0</v>
      </c>
      <c r="L254" s="179">
        <f t="shared" si="252"/>
        <v>344000</v>
      </c>
      <c r="M254" s="179">
        <f t="shared" si="252"/>
        <v>344000</v>
      </c>
      <c r="N254" s="179">
        <f t="shared" si="252"/>
        <v>344000</v>
      </c>
      <c r="O254" s="179">
        <f t="shared" si="252"/>
        <v>344000</v>
      </c>
      <c r="P254" s="179">
        <f t="shared" si="252"/>
        <v>344000</v>
      </c>
      <c r="Q254" s="179">
        <f t="shared" si="252"/>
        <v>344000</v>
      </c>
    </row>
    <row r="255" spans="1:17" customFormat="1" ht="14.55" customHeight="1" x14ac:dyDescent="0.3">
      <c r="A255" s="180">
        <v>3811</v>
      </c>
      <c r="B255" s="181" t="s">
        <v>46</v>
      </c>
      <c r="C255" s="182">
        <v>344000</v>
      </c>
      <c r="D255" s="182"/>
      <c r="E255" s="182"/>
      <c r="F255" s="182">
        <f t="shared" ref="F255" si="253">C255-D255+E255</f>
        <v>344000</v>
      </c>
      <c r="G255" s="182">
        <v>344000</v>
      </c>
      <c r="H255" s="182">
        <v>344000</v>
      </c>
      <c r="I255" s="182">
        <v>344000</v>
      </c>
      <c r="J255" s="220"/>
      <c r="K255" s="220"/>
      <c r="L255" s="220">
        <f>I255-J255+K255</f>
        <v>344000</v>
      </c>
      <c r="M255" s="182">
        <v>344000</v>
      </c>
      <c r="N255" s="182">
        <v>344000</v>
      </c>
      <c r="O255" s="182">
        <v>344000</v>
      </c>
      <c r="P255" s="182">
        <v>344000</v>
      </c>
      <c r="Q255" s="182">
        <v>344000</v>
      </c>
    </row>
    <row r="256" spans="1:17" customFormat="1" ht="26.4" hidden="1" x14ac:dyDescent="0.3">
      <c r="A256" s="209" t="s">
        <v>327</v>
      </c>
      <c r="B256" s="210" t="s">
        <v>328</v>
      </c>
      <c r="C256" s="176">
        <f>SUM(C257)</f>
        <v>15000</v>
      </c>
      <c r="D256" s="176">
        <f t="shared" ref="D256:Q256" si="254">SUM(D257)</f>
        <v>0</v>
      </c>
      <c r="E256" s="176">
        <f t="shared" si="254"/>
        <v>0</v>
      </c>
      <c r="F256" s="176">
        <f t="shared" si="254"/>
        <v>15000</v>
      </c>
      <c r="G256" s="176">
        <f t="shared" si="254"/>
        <v>0</v>
      </c>
      <c r="H256" s="176">
        <f t="shared" si="254"/>
        <v>0</v>
      </c>
      <c r="I256" s="176">
        <f t="shared" si="254"/>
        <v>0</v>
      </c>
      <c r="J256" s="176">
        <f t="shared" si="254"/>
        <v>0</v>
      </c>
      <c r="K256" s="176">
        <f t="shared" si="254"/>
        <v>0</v>
      </c>
      <c r="L256" s="176">
        <f t="shared" si="254"/>
        <v>0</v>
      </c>
      <c r="M256" s="176">
        <f t="shared" si="254"/>
        <v>0</v>
      </c>
      <c r="N256" s="176">
        <f t="shared" si="254"/>
        <v>0</v>
      </c>
      <c r="O256" s="176">
        <f t="shared" si="254"/>
        <v>0</v>
      </c>
      <c r="P256" s="176">
        <f t="shared" si="254"/>
        <v>0</v>
      </c>
      <c r="Q256" s="176">
        <f t="shared" si="254"/>
        <v>0</v>
      </c>
    </row>
    <row r="257" spans="1:17" customFormat="1" ht="14.4" hidden="1" x14ac:dyDescent="0.3">
      <c r="A257" s="188" t="s">
        <v>176</v>
      </c>
      <c r="B257" s="192" t="s">
        <v>67</v>
      </c>
      <c r="C257" s="179">
        <f t="shared" ref="C257:Q257" si="255">SUM(C258)</f>
        <v>15000</v>
      </c>
      <c r="D257" s="179">
        <f t="shared" si="255"/>
        <v>0</v>
      </c>
      <c r="E257" s="179">
        <f t="shared" si="255"/>
        <v>0</v>
      </c>
      <c r="F257" s="179">
        <f t="shared" si="255"/>
        <v>15000</v>
      </c>
      <c r="G257" s="179">
        <f t="shared" si="255"/>
        <v>0</v>
      </c>
      <c r="H257" s="179">
        <f t="shared" si="255"/>
        <v>0</v>
      </c>
      <c r="I257" s="179">
        <f t="shared" si="255"/>
        <v>0</v>
      </c>
      <c r="J257" s="179">
        <f t="shared" si="255"/>
        <v>0</v>
      </c>
      <c r="K257" s="179">
        <f t="shared" si="255"/>
        <v>0</v>
      </c>
      <c r="L257" s="179">
        <f t="shared" si="255"/>
        <v>0</v>
      </c>
      <c r="M257" s="179">
        <f t="shared" si="255"/>
        <v>0</v>
      </c>
      <c r="N257" s="179">
        <f t="shared" si="255"/>
        <v>0</v>
      </c>
      <c r="O257" s="179">
        <f t="shared" si="255"/>
        <v>0</v>
      </c>
      <c r="P257" s="179">
        <f t="shared" si="255"/>
        <v>0</v>
      </c>
      <c r="Q257" s="179">
        <f t="shared" si="255"/>
        <v>0</v>
      </c>
    </row>
    <row r="258" spans="1:17" customFormat="1" ht="14.4" hidden="1" x14ac:dyDescent="0.3">
      <c r="A258" s="180">
        <v>4123</v>
      </c>
      <c r="B258" s="181" t="s">
        <v>68</v>
      </c>
      <c r="C258" s="182">
        <v>15000</v>
      </c>
      <c r="D258" s="182"/>
      <c r="E258" s="182"/>
      <c r="F258" s="182">
        <f t="shared" ref="F258" si="256">C258-D258+E258</f>
        <v>15000</v>
      </c>
      <c r="G258" s="182"/>
      <c r="H258" s="182"/>
      <c r="I258" s="182"/>
      <c r="J258" s="220"/>
      <c r="K258" s="220"/>
      <c r="L258" s="220"/>
      <c r="M258" s="182"/>
      <c r="N258" s="182"/>
      <c r="O258" s="182"/>
      <c r="P258" s="182"/>
      <c r="Q258" s="182"/>
    </row>
    <row r="259" spans="1:17" customFormat="1" ht="26.4" x14ac:dyDescent="0.3">
      <c r="A259" s="174" t="s">
        <v>323</v>
      </c>
      <c r="B259" s="186" t="s">
        <v>324</v>
      </c>
      <c r="C259" s="176">
        <f t="shared" ref="C259:F259" si="257">SUM(C260,C265,C267)</f>
        <v>3424000</v>
      </c>
      <c r="D259" s="176">
        <f t="shared" si="257"/>
        <v>0</v>
      </c>
      <c r="E259" s="176">
        <f t="shared" si="257"/>
        <v>1611000</v>
      </c>
      <c r="F259" s="176">
        <f t="shared" si="257"/>
        <v>5035000</v>
      </c>
      <c r="G259" s="176">
        <f t="shared" ref="G259:H259" si="258">SUM(G260,G265,G267)</f>
        <v>4192000</v>
      </c>
      <c r="H259" s="176">
        <f t="shared" si="258"/>
        <v>4192000</v>
      </c>
      <c r="I259" s="176">
        <f t="shared" ref="I259:N259" si="259">SUM(I260,I265,I267)</f>
        <v>4192000</v>
      </c>
      <c r="J259" s="176">
        <f t="shared" si="259"/>
        <v>0</v>
      </c>
      <c r="K259" s="176">
        <f t="shared" si="259"/>
        <v>880000</v>
      </c>
      <c r="L259" s="176">
        <f t="shared" si="259"/>
        <v>5072000</v>
      </c>
      <c r="M259" s="176">
        <f t="shared" si="259"/>
        <v>4192000</v>
      </c>
      <c r="N259" s="176">
        <f t="shared" si="259"/>
        <v>4192000</v>
      </c>
      <c r="O259" s="176">
        <f t="shared" ref="O259:P259" si="260">SUM(O260,O265,O267)</f>
        <v>5072000</v>
      </c>
      <c r="P259" s="176">
        <f t="shared" si="260"/>
        <v>5072000</v>
      </c>
      <c r="Q259" s="176">
        <f t="shared" ref="Q259" si="261">SUM(Q260,Q265,Q267)</f>
        <v>5072000</v>
      </c>
    </row>
    <row r="260" spans="1:17" customFormat="1" ht="14.4" x14ac:dyDescent="0.3">
      <c r="A260" s="188">
        <v>422</v>
      </c>
      <c r="B260" s="192" t="s">
        <v>53</v>
      </c>
      <c r="C260" s="179">
        <f t="shared" ref="C260:F260" si="262">SUM(C261:C264)</f>
        <v>568000</v>
      </c>
      <c r="D260" s="179">
        <f t="shared" si="262"/>
        <v>0</v>
      </c>
      <c r="E260" s="179">
        <f t="shared" si="262"/>
        <v>0</v>
      </c>
      <c r="F260" s="179">
        <f t="shared" si="262"/>
        <v>568000</v>
      </c>
      <c r="G260" s="179">
        <f t="shared" ref="G260:H260" si="263">SUM(G261:G264)</f>
        <v>1336000</v>
      </c>
      <c r="H260" s="179">
        <f t="shared" si="263"/>
        <v>1336000</v>
      </c>
      <c r="I260" s="179">
        <f t="shared" ref="I260:N260" si="264">SUM(I261:I264)</f>
        <v>1336000</v>
      </c>
      <c r="J260" s="179">
        <f t="shared" si="264"/>
        <v>0</v>
      </c>
      <c r="K260" s="179">
        <f t="shared" si="264"/>
        <v>880000</v>
      </c>
      <c r="L260" s="179">
        <f t="shared" si="264"/>
        <v>2216000</v>
      </c>
      <c r="M260" s="179">
        <f t="shared" si="264"/>
        <v>1336000</v>
      </c>
      <c r="N260" s="179">
        <f t="shared" si="264"/>
        <v>1336000</v>
      </c>
      <c r="O260" s="179">
        <f t="shared" ref="O260:P260" si="265">SUM(O261:O264)</f>
        <v>2216000</v>
      </c>
      <c r="P260" s="179">
        <f t="shared" si="265"/>
        <v>2216000</v>
      </c>
      <c r="Q260" s="179">
        <f t="shared" ref="Q260" si="266">SUM(Q261:Q264)</f>
        <v>2216000</v>
      </c>
    </row>
    <row r="261" spans="1:17" customFormat="1" ht="14.4" x14ac:dyDescent="0.3">
      <c r="A261" s="189">
        <v>4221</v>
      </c>
      <c r="B261" s="190" t="s">
        <v>54</v>
      </c>
      <c r="C261" s="182">
        <v>14000</v>
      </c>
      <c r="D261" s="182"/>
      <c r="E261" s="182"/>
      <c r="F261" s="182">
        <f t="shared" ref="F261:F268" si="267">C261-D261+E261</f>
        <v>14000</v>
      </c>
      <c r="G261" s="182">
        <v>14000</v>
      </c>
      <c r="H261" s="182">
        <v>14000</v>
      </c>
      <c r="I261" s="182">
        <v>14000</v>
      </c>
      <c r="J261" s="220"/>
      <c r="K261" s="220"/>
      <c r="L261" s="220">
        <f>I261-J261+K261</f>
        <v>14000</v>
      </c>
      <c r="M261" s="182">
        <v>14000</v>
      </c>
      <c r="N261" s="182">
        <v>14000</v>
      </c>
      <c r="O261" s="182">
        <v>14000</v>
      </c>
      <c r="P261" s="182">
        <v>14000</v>
      </c>
      <c r="Q261" s="182">
        <v>14000</v>
      </c>
    </row>
    <row r="262" spans="1:17" customFormat="1" ht="14.4" x14ac:dyDescent="0.3">
      <c r="A262" s="189">
        <v>4222</v>
      </c>
      <c r="B262" s="190" t="s">
        <v>58</v>
      </c>
      <c r="C262" s="182">
        <v>42000</v>
      </c>
      <c r="D262" s="182"/>
      <c r="E262" s="182"/>
      <c r="F262" s="182">
        <f t="shared" si="267"/>
        <v>42000</v>
      </c>
      <c r="G262" s="182">
        <v>42000</v>
      </c>
      <c r="H262" s="182">
        <v>42000</v>
      </c>
      <c r="I262" s="182">
        <v>42000</v>
      </c>
      <c r="J262" s="220"/>
      <c r="K262" s="220"/>
      <c r="L262" s="220">
        <f>I262-J262+K262</f>
        <v>42000</v>
      </c>
      <c r="M262" s="182">
        <v>42000</v>
      </c>
      <c r="N262" s="182">
        <v>42000</v>
      </c>
      <c r="O262" s="182">
        <v>42000</v>
      </c>
      <c r="P262" s="182">
        <v>42000</v>
      </c>
      <c r="Q262" s="182">
        <v>42000</v>
      </c>
    </row>
    <row r="263" spans="1:17" customFormat="1" ht="14.4" x14ac:dyDescent="0.3">
      <c r="A263" s="189">
        <v>4223</v>
      </c>
      <c r="B263" s="190" t="s">
        <v>59</v>
      </c>
      <c r="C263" s="182">
        <v>452000</v>
      </c>
      <c r="D263" s="182"/>
      <c r="E263" s="182"/>
      <c r="F263" s="182">
        <f t="shared" si="267"/>
        <v>452000</v>
      </c>
      <c r="G263" s="182">
        <v>1220000</v>
      </c>
      <c r="H263" s="182">
        <v>1220000</v>
      </c>
      <c r="I263" s="182">
        <v>1220000</v>
      </c>
      <c r="J263" s="220"/>
      <c r="K263" s="220">
        <v>880000</v>
      </c>
      <c r="L263" s="220">
        <f>I263-J263+K263</f>
        <v>2100000</v>
      </c>
      <c r="M263" s="182">
        <v>1220000</v>
      </c>
      <c r="N263" s="182">
        <v>1220000</v>
      </c>
      <c r="O263" s="182">
        <v>2100000</v>
      </c>
      <c r="P263" s="182">
        <v>2100000</v>
      </c>
      <c r="Q263" s="182">
        <v>2100000</v>
      </c>
    </row>
    <row r="264" spans="1:17" customFormat="1" ht="14.4" x14ac:dyDescent="0.3">
      <c r="A264" s="189">
        <v>4225</v>
      </c>
      <c r="B264" s="190" t="s">
        <v>105</v>
      </c>
      <c r="C264" s="182">
        <v>60000</v>
      </c>
      <c r="D264" s="182"/>
      <c r="E264" s="182"/>
      <c r="F264" s="182">
        <f t="shared" si="267"/>
        <v>60000</v>
      </c>
      <c r="G264" s="182">
        <v>60000</v>
      </c>
      <c r="H264" s="182">
        <v>60000</v>
      </c>
      <c r="I264" s="182">
        <v>60000</v>
      </c>
      <c r="J264" s="220"/>
      <c r="K264" s="220"/>
      <c r="L264" s="220">
        <f>I264-J264+K264</f>
        <v>60000</v>
      </c>
      <c r="M264" s="182">
        <v>60000</v>
      </c>
      <c r="N264" s="182">
        <v>60000</v>
      </c>
      <c r="O264" s="182">
        <v>60000</v>
      </c>
      <c r="P264" s="182">
        <v>60000</v>
      </c>
      <c r="Q264" s="182">
        <v>60000</v>
      </c>
    </row>
    <row r="265" spans="1:17" customFormat="1" ht="14.4" x14ac:dyDescent="0.3">
      <c r="A265" s="188">
        <v>423</v>
      </c>
      <c r="B265" s="192" t="s">
        <v>61</v>
      </c>
      <c r="C265" s="179">
        <f t="shared" ref="C265:Q265" si="268">SUM(C266)</f>
        <v>2529000</v>
      </c>
      <c r="D265" s="179">
        <f t="shared" si="268"/>
        <v>0</v>
      </c>
      <c r="E265" s="179">
        <f t="shared" si="268"/>
        <v>1611000</v>
      </c>
      <c r="F265" s="179">
        <f t="shared" si="268"/>
        <v>4140000</v>
      </c>
      <c r="G265" s="179">
        <f t="shared" si="268"/>
        <v>2529000</v>
      </c>
      <c r="H265" s="179">
        <f t="shared" si="268"/>
        <v>2529000</v>
      </c>
      <c r="I265" s="179">
        <f t="shared" si="268"/>
        <v>2529000</v>
      </c>
      <c r="J265" s="179">
        <f t="shared" si="268"/>
        <v>0</v>
      </c>
      <c r="K265" s="179">
        <f t="shared" si="268"/>
        <v>0</v>
      </c>
      <c r="L265" s="179">
        <f t="shared" si="268"/>
        <v>2529000</v>
      </c>
      <c r="M265" s="179">
        <f t="shared" si="268"/>
        <v>2529000</v>
      </c>
      <c r="N265" s="179">
        <f t="shared" si="268"/>
        <v>2529000</v>
      </c>
      <c r="O265" s="179">
        <f t="shared" si="268"/>
        <v>2529000</v>
      </c>
      <c r="P265" s="179">
        <f t="shared" si="268"/>
        <v>2529000</v>
      </c>
      <c r="Q265" s="179">
        <f t="shared" si="268"/>
        <v>2529000</v>
      </c>
    </row>
    <row r="266" spans="1:17" customFormat="1" ht="14.4" x14ac:dyDescent="0.3">
      <c r="A266" s="189">
        <v>4231</v>
      </c>
      <c r="B266" s="190" t="s">
        <v>62</v>
      </c>
      <c r="C266" s="182">
        <v>2529000</v>
      </c>
      <c r="D266" s="182"/>
      <c r="E266" s="182">
        <v>1611000</v>
      </c>
      <c r="F266" s="182">
        <f t="shared" si="267"/>
        <v>4140000</v>
      </c>
      <c r="G266" s="182">
        <v>2529000</v>
      </c>
      <c r="H266" s="182">
        <v>2529000</v>
      </c>
      <c r="I266" s="182">
        <v>2529000</v>
      </c>
      <c r="J266" s="220"/>
      <c r="K266" s="220"/>
      <c r="L266" s="220">
        <f>I266-J266+K266</f>
        <v>2529000</v>
      </c>
      <c r="M266" s="182">
        <v>2529000</v>
      </c>
      <c r="N266" s="182">
        <v>2529000</v>
      </c>
      <c r="O266" s="182">
        <v>2529000</v>
      </c>
      <c r="P266" s="182">
        <v>2529000</v>
      </c>
      <c r="Q266" s="182">
        <v>2529000</v>
      </c>
    </row>
    <row r="267" spans="1:17" customFormat="1" ht="14.4" x14ac:dyDescent="0.3">
      <c r="A267" s="188">
        <v>426</v>
      </c>
      <c r="B267" s="192" t="s">
        <v>73</v>
      </c>
      <c r="C267" s="179">
        <f t="shared" ref="C267:Q267" si="269">SUM(C268)</f>
        <v>327000</v>
      </c>
      <c r="D267" s="179">
        <f t="shared" si="269"/>
        <v>0</v>
      </c>
      <c r="E267" s="179">
        <f t="shared" si="269"/>
        <v>0</v>
      </c>
      <c r="F267" s="179">
        <f t="shared" si="269"/>
        <v>327000</v>
      </c>
      <c r="G267" s="179">
        <f t="shared" si="269"/>
        <v>327000</v>
      </c>
      <c r="H267" s="179">
        <f t="shared" si="269"/>
        <v>327000</v>
      </c>
      <c r="I267" s="179">
        <f t="shared" si="269"/>
        <v>327000</v>
      </c>
      <c r="J267" s="179">
        <f t="shared" si="269"/>
        <v>0</v>
      </c>
      <c r="K267" s="179">
        <f t="shared" si="269"/>
        <v>0</v>
      </c>
      <c r="L267" s="179">
        <f t="shared" si="269"/>
        <v>327000</v>
      </c>
      <c r="M267" s="179">
        <f t="shared" si="269"/>
        <v>327000</v>
      </c>
      <c r="N267" s="179">
        <f t="shared" si="269"/>
        <v>327000</v>
      </c>
      <c r="O267" s="179">
        <f t="shared" si="269"/>
        <v>327000</v>
      </c>
      <c r="P267" s="179">
        <f t="shared" si="269"/>
        <v>327000</v>
      </c>
      <c r="Q267" s="179">
        <f t="shared" si="269"/>
        <v>327000</v>
      </c>
    </row>
    <row r="268" spans="1:17" customFormat="1" ht="13.5" customHeight="1" x14ac:dyDescent="0.3">
      <c r="A268" s="189">
        <v>4262</v>
      </c>
      <c r="B268" s="190" t="s">
        <v>74</v>
      </c>
      <c r="C268" s="182">
        <v>327000</v>
      </c>
      <c r="D268" s="182"/>
      <c r="E268" s="182"/>
      <c r="F268" s="182">
        <f t="shared" si="267"/>
        <v>327000</v>
      </c>
      <c r="G268" s="182">
        <v>327000</v>
      </c>
      <c r="H268" s="182">
        <v>327000</v>
      </c>
      <c r="I268" s="182">
        <v>327000</v>
      </c>
      <c r="J268" s="220"/>
      <c r="K268" s="220"/>
      <c r="L268" s="220">
        <f>I268-J268+K268</f>
        <v>327000</v>
      </c>
      <c r="M268" s="182">
        <v>327000</v>
      </c>
      <c r="N268" s="182">
        <v>327000</v>
      </c>
      <c r="O268" s="182">
        <v>327000</v>
      </c>
      <c r="P268" s="182">
        <v>327000</v>
      </c>
      <c r="Q268" s="182">
        <v>327000</v>
      </c>
    </row>
    <row r="269" spans="1:17" customFormat="1" ht="26.4" hidden="1" x14ac:dyDescent="0.3">
      <c r="A269" s="188">
        <v>451</v>
      </c>
      <c r="B269" s="192" t="s">
        <v>55</v>
      </c>
      <c r="C269" s="179">
        <f t="shared" ref="C269:D269" si="270">SUM(C270)</f>
        <v>0</v>
      </c>
      <c r="D269" s="179">
        <f t="shared" si="270"/>
        <v>0</v>
      </c>
      <c r="E269" s="179"/>
      <c r="F269" s="179"/>
      <c r="G269" s="179"/>
      <c r="H269" s="179"/>
      <c r="I269" s="179"/>
      <c r="J269" s="219"/>
      <c r="K269" s="219"/>
      <c r="L269" s="219"/>
      <c r="M269" s="179"/>
      <c r="N269" s="179"/>
      <c r="O269" s="179"/>
      <c r="P269" s="179"/>
      <c r="Q269" s="179"/>
    </row>
    <row r="270" spans="1:17" customFormat="1" ht="14.4" hidden="1" x14ac:dyDescent="0.3">
      <c r="A270" s="189">
        <v>4511</v>
      </c>
      <c r="B270" s="190" t="s">
        <v>55</v>
      </c>
      <c r="C270" s="182"/>
      <c r="D270" s="182"/>
      <c r="E270" s="182"/>
      <c r="F270" s="182"/>
      <c r="G270" s="182"/>
      <c r="H270" s="182"/>
      <c r="I270" s="182"/>
      <c r="J270" s="220"/>
      <c r="K270" s="220"/>
      <c r="L270" s="220"/>
      <c r="M270" s="182"/>
      <c r="N270" s="182"/>
      <c r="O270" s="182"/>
      <c r="P270" s="182"/>
      <c r="Q270" s="182"/>
    </row>
    <row r="271" spans="1:17" customFormat="1" ht="23.25" hidden="1" customHeight="1" x14ac:dyDescent="0.3">
      <c r="A271" s="170" t="s">
        <v>226</v>
      </c>
      <c r="B271" s="171" t="s">
        <v>261</v>
      </c>
      <c r="C271" s="172">
        <f t="shared" ref="C271:D271" si="271">SUM(C272+C277+C282)</f>
        <v>0</v>
      </c>
      <c r="D271" s="172">
        <f t="shared" si="271"/>
        <v>0</v>
      </c>
      <c r="E271" s="172"/>
      <c r="F271" s="172"/>
      <c r="G271" s="172"/>
      <c r="H271" s="172"/>
      <c r="I271" s="172"/>
      <c r="J271" s="384"/>
      <c r="K271" s="384"/>
      <c r="L271" s="384"/>
      <c r="M271" s="172"/>
      <c r="N271" s="172"/>
      <c r="O271" s="172"/>
      <c r="P271" s="172"/>
      <c r="Q271" s="172"/>
    </row>
    <row r="272" spans="1:17" customFormat="1" ht="14.4" hidden="1" x14ac:dyDescent="0.3">
      <c r="A272" s="721" t="s">
        <v>97</v>
      </c>
      <c r="B272" s="721"/>
      <c r="C272" s="184">
        <f t="shared" ref="C272:D272" si="272">SUM(C273,C275)</f>
        <v>0</v>
      </c>
      <c r="D272" s="184">
        <f t="shared" si="272"/>
        <v>0</v>
      </c>
      <c r="E272" s="184"/>
      <c r="F272" s="184"/>
      <c r="G272" s="184"/>
      <c r="H272" s="184"/>
      <c r="I272" s="184"/>
      <c r="J272" s="387"/>
      <c r="K272" s="387"/>
      <c r="L272" s="387"/>
      <c r="M272" s="184"/>
      <c r="N272" s="184"/>
      <c r="O272" s="184"/>
      <c r="P272" s="184"/>
      <c r="Q272" s="184"/>
    </row>
    <row r="273" spans="1:17" s="6" customFormat="1" ht="14.4" hidden="1" x14ac:dyDescent="0.3">
      <c r="A273" s="177">
        <v>323</v>
      </c>
      <c r="B273" s="178" t="s">
        <v>123</v>
      </c>
      <c r="C273" s="179">
        <f t="shared" ref="C273:D275" si="273">SUM(C274)</f>
        <v>0</v>
      </c>
      <c r="D273" s="179">
        <f t="shared" si="273"/>
        <v>0</v>
      </c>
      <c r="E273" s="179"/>
      <c r="F273" s="179"/>
      <c r="G273" s="179"/>
      <c r="H273" s="179"/>
      <c r="I273" s="179"/>
      <c r="J273" s="219"/>
      <c r="K273" s="219"/>
      <c r="L273" s="219"/>
      <c r="M273" s="179"/>
      <c r="N273" s="179"/>
      <c r="O273" s="179"/>
      <c r="P273" s="179"/>
      <c r="Q273" s="179"/>
    </row>
    <row r="274" spans="1:17" customFormat="1" ht="14.4" hidden="1" x14ac:dyDescent="0.3">
      <c r="A274" s="180">
        <v>3233</v>
      </c>
      <c r="B274" s="204" t="s">
        <v>26</v>
      </c>
      <c r="C274" s="182"/>
      <c r="D274" s="182"/>
      <c r="E274" s="182"/>
      <c r="F274" s="182"/>
      <c r="G274" s="182"/>
      <c r="H274" s="182"/>
      <c r="I274" s="182"/>
      <c r="J274" s="220"/>
      <c r="K274" s="220"/>
      <c r="L274" s="220"/>
      <c r="M274" s="182"/>
      <c r="N274" s="182"/>
      <c r="O274" s="182"/>
      <c r="P274" s="182"/>
      <c r="Q274" s="182"/>
    </row>
    <row r="275" spans="1:17" s="6" customFormat="1" ht="14.4" hidden="1" x14ac:dyDescent="0.3">
      <c r="A275" s="177">
        <v>423</v>
      </c>
      <c r="B275" s="178" t="s">
        <v>61</v>
      </c>
      <c r="C275" s="179">
        <f t="shared" si="273"/>
        <v>0</v>
      </c>
      <c r="D275" s="179">
        <f t="shared" si="273"/>
        <v>0</v>
      </c>
      <c r="E275" s="179"/>
      <c r="F275" s="179"/>
      <c r="G275" s="179"/>
      <c r="H275" s="179"/>
      <c r="I275" s="179"/>
      <c r="J275" s="219"/>
      <c r="K275" s="219"/>
      <c r="L275" s="219"/>
      <c r="M275" s="179"/>
      <c r="N275" s="179"/>
      <c r="O275" s="179"/>
      <c r="P275" s="179"/>
      <c r="Q275" s="179"/>
    </row>
    <row r="276" spans="1:17" customFormat="1" ht="14.4" hidden="1" x14ac:dyDescent="0.3">
      <c r="A276" s="180">
        <v>4231</v>
      </c>
      <c r="B276" s="204" t="s">
        <v>62</v>
      </c>
      <c r="C276" s="182"/>
      <c r="D276" s="182"/>
      <c r="E276" s="182"/>
      <c r="F276" s="182"/>
      <c r="G276" s="182"/>
      <c r="H276" s="182"/>
      <c r="I276" s="182"/>
      <c r="J276" s="220"/>
      <c r="K276" s="220"/>
      <c r="L276" s="220"/>
      <c r="M276" s="182"/>
      <c r="N276" s="182"/>
      <c r="O276" s="182"/>
      <c r="P276" s="182"/>
      <c r="Q276" s="182"/>
    </row>
    <row r="277" spans="1:17" customFormat="1" ht="18" hidden="1" customHeight="1" x14ac:dyDescent="0.3">
      <c r="A277" s="721" t="s">
        <v>113</v>
      </c>
      <c r="B277" s="721"/>
      <c r="C277" s="173">
        <f t="shared" ref="C277:D277" si="274">SUM(C278,C280)</f>
        <v>0</v>
      </c>
      <c r="D277" s="173">
        <f t="shared" si="274"/>
        <v>0</v>
      </c>
      <c r="E277" s="173"/>
      <c r="F277" s="173"/>
      <c r="G277" s="173"/>
      <c r="H277" s="173"/>
      <c r="I277" s="173"/>
      <c r="J277" s="385"/>
      <c r="K277" s="385"/>
      <c r="L277" s="385"/>
      <c r="M277" s="173"/>
      <c r="N277" s="173"/>
      <c r="O277" s="173"/>
      <c r="P277" s="173"/>
      <c r="Q277" s="173"/>
    </row>
    <row r="278" spans="1:17" customFormat="1" ht="18" hidden="1" customHeight="1" x14ac:dyDescent="0.3">
      <c r="A278" s="177">
        <v>323</v>
      </c>
      <c r="B278" s="178" t="s">
        <v>123</v>
      </c>
      <c r="C278" s="179">
        <f t="shared" ref="C278:D278" si="275">SUM(C279)</f>
        <v>0</v>
      </c>
      <c r="D278" s="179">
        <f t="shared" si="275"/>
        <v>0</v>
      </c>
      <c r="E278" s="179"/>
      <c r="F278" s="179"/>
      <c r="G278" s="179"/>
      <c r="H278" s="179"/>
      <c r="I278" s="179"/>
      <c r="J278" s="219"/>
      <c r="K278" s="219"/>
      <c r="L278" s="219"/>
      <c r="M278" s="179"/>
      <c r="N278" s="179"/>
      <c r="O278" s="179"/>
      <c r="P278" s="179"/>
      <c r="Q278" s="179"/>
    </row>
    <row r="279" spans="1:17" customFormat="1" ht="18" hidden="1" customHeight="1" x14ac:dyDescent="0.3">
      <c r="A279" s="180">
        <v>3233</v>
      </c>
      <c r="B279" s="204" t="s">
        <v>26</v>
      </c>
      <c r="C279" s="182"/>
      <c r="D279" s="182"/>
      <c r="E279" s="182"/>
      <c r="F279" s="182"/>
      <c r="G279" s="182"/>
      <c r="H279" s="182"/>
      <c r="I279" s="182"/>
      <c r="J279" s="220"/>
      <c r="K279" s="220"/>
      <c r="L279" s="220"/>
      <c r="M279" s="182"/>
      <c r="N279" s="182"/>
      <c r="O279" s="182"/>
      <c r="P279" s="182"/>
      <c r="Q279" s="182"/>
    </row>
    <row r="280" spans="1:17" s="6" customFormat="1" ht="14.4" hidden="1" x14ac:dyDescent="0.3">
      <c r="A280" s="177">
        <v>423</v>
      </c>
      <c r="B280" s="178" t="s">
        <v>61</v>
      </c>
      <c r="C280" s="179">
        <f t="shared" ref="C280:D280" si="276">SUM(C281)</f>
        <v>0</v>
      </c>
      <c r="D280" s="179">
        <f t="shared" si="276"/>
        <v>0</v>
      </c>
      <c r="E280" s="179"/>
      <c r="F280" s="179"/>
      <c r="G280" s="179"/>
      <c r="H280" s="179"/>
      <c r="I280" s="179"/>
      <c r="J280" s="219"/>
      <c r="K280" s="219"/>
      <c r="L280" s="219"/>
      <c r="M280" s="179"/>
      <c r="N280" s="179"/>
      <c r="O280" s="179"/>
      <c r="P280" s="179"/>
      <c r="Q280" s="179"/>
    </row>
    <row r="281" spans="1:17" customFormat="1" ht="14.4" hidden="1" x14ac:dyDescent="0.3">
      <c r="A281" s="180">
        <v>4231</v>
      </c>
      <c r="B281" s="204" t="s">
        <v>62</v>
      </c>
      <c r="C281" s="182"/>
      <c r="D281" s="182"/>
      <c r="E281" s="182"/>
      <c r="F281" s="182"/>
      <c r="G281" s="182"/>
      <c r="H281" s="182"/>
      <c r="I281" s="182"/>
      <c r="J281" s="220"/>
      <c r="K281" s="220"/>
      <c r="L281" s="220"/>
      <c r="M281" s="182"/>
      <c r="N281" s="182"/>
      <c r="O281" s="182"/>
      <c r="P281" s="182"/>
      <c r="Q281" s="182"/>
    </row>
    <row r="282" spans="1:17" customFormat="1" ht="18" hidden="1" customHeight="1" x14ac:dyDescent="0.3">
      <c r="A282" s="721" t="s">
        <v>241</v>
      </c>
      <c r="B282" s="721"/>
      <c r="C282" s="173">
        <f t="shared" ref="C282:D282" si="277">SUM(C283,C285)</f>
        <v>0</v>
      </c>
      <c r="D282" s="173">
        <f t="shared" si="277"/>
        <v>0</v>
      </c>
      <c r="E282" s="173"/>
      <c r="F282" s="173"/>
      <c r="G282" s="173"/>
      <c r="H282" s="173"/>
      <c r="I282" s="173"/>
      <c r="J282" s="385"/>
      <c r="K282" s="385"/>
      <c r="L282" s="385"/>
      <c r="M282" s="173"/>
      <c r="N282" s="173"/>
      <c r="O282" s="173"/>
      <c r="P282" s="173"/>
      <c r="Q282" s="173"/>
    </row>
    <row r="283" spans="1:17" s="6" customFormat="1" ht="14.4" hidden="1" x14ac:dyDescent="0.3">
      <c r="A283" s="177">
        <v>323</v>
      </c>
      <c r="B283" s="178" t="s">
        <v>123</v>
      </c>
      <c r="C283" s="179">
        <f t="shared" ref="C283:D283" si="278">SUM(C284)</f>
        <v>0</v>
      </c>
      <c r="D283" s="179">
        <f t="shared" si="278"/>
        <v>0</v>
      </c>
      <c r="E283" s="179"/>
      <c r="F283" s="179"/>
      <c r="G283" s="179"/>
      <c r="H283" s="179"/>
      <c r="I283" s="179"/>
      <c r="J283" s="219"/>
      <c r="K283" s="219"/>
      <c r="L283" s="219"/>
      <c r="M283" s="179"/>
      <c r="N283" s="179"/>
      <c r="O283" s="179"/>
      <c r="P283" s="179"/>
      <c r="Q283" s="179"/>
    </row>
    <row r="284" spans="1:17" customFormat="1" ht="14.4" hidden="1" x14ac:dyDescent="0.3">
      <c r="A284" s="180">
        <v>3233</v>
      </c>
      <c r="B284" s="204" t="s">
        <v>26</v>
      </c>
      <c r="C284" s="182"/>
      <c r="D284" s="182"/>
      <c r="E284" s="182"/>
      <c r="F284" s="182"/>
      <c r="G284" s="182"/>
      <c r="H284" s="182"/>
      <c r="I284" s="182"/>
      <c r="J284" s="220"/>
      <c r="K284" s="220"/>
      <c r="L284" s="220"/>
      <c r="M284" s="182"/>
      <c r="N284" s="182"/>
      <c r="O284" s="182"/>
      <c r="P284" s="182"/>
      <c r="Q284" s="182"/>
    </row>
    <row r="285" spans="1:17" customFormat="1" ht="14.4" hidden="1" x14ac:dyDescent="0.3">
      <c r="A285" s="188">
        <v>423</v>
      </c>
      <c r="B285" s="192" t="s">
        <v>61</v>
      </c>
      <c r="C285" s="179">
        <f t="shared" ref="C285:D285" si="279">SUM(C286)</f>
        <v>0</v>
      </c>
      <c r="D285" s="179">
        <f t="shared" si="279"/>
        <v>0</v>
      </c>
      <c r="E285" s="179"/>
      <c r="F285" s="179"/>
      <c r="G285" s="179"/>
      <c r="H285" s="179"/>
      <c r="I285" s="179"/>
      <c r="J285" s="219"/>
      <c r="K285" s="219"/>
      <c r="L285" s="219"/>
      <c r="M285" s="179"/>
      <c r="N285" s="179"/>
      <c r="O285" s="179"/>
      <c r="P285" s="179"/>
      <c r="Q285" s="179"/>
    </row>
    <row r="286" spans="1:17" customFormat="1" ht="14.4" hidden="1" x14ac:dyDescent="0.3">
      <c r="A286" s="189">
        <v>4231</v>
      </c>
      <c r="B286" s="190" t="s">
        <v>62</v>
      </c>
      <c r="C286" s="182"/>
      <c r="D286" s="182"/>
      <c r="E286" s="182"/>
      <c r="F286" s="182"/>
      <c r="G286" s="182"/>
      <c r="H286" s="182"/>
      <c r="I286" s="182"/>
      <c r="J286" s="220"/>
      <c r="K286" s="220"/>
      <c r="L286" s="220"/>
      <c r="M286" s="182"/>
      <c r="N286" s="182"/>
      <c r="O286" s="182"/>
      <c r="P286" s="182"/>
      <c r="Q286" s="182"/>
    </row>
    <row r="287" spans="1:17" customFormat="1" ht="26.4" x14ac:dyDescent="0.3">
      <c r="A287" s="170" t="s">
        <v>192</v>
      </c>
      <c r="B287" s="171" t="s">
        <v>244</v>
      </c>
      <c r="C287" s="172">
        <f t="shared" ref="C287:Q287" si="280">SUM(C288)</f>
        <v>1262000</v>
      </c>
      <c r="D287" s="172">
        <f t="shared" si="280"/>
        <v>54000</v>
      </c>
      <c r="E287" s="172">
        <f t="shared" si="280"/>
        <v>63000</v>
      </c>
      <c r="F287" s="172">
        <f t="shared" si="280"/>
        <v>1271000</v>
      </c>
      <c r="G287" s="172">
        <f t="shared" si="280"/>
        <v>1262000</v>
      </c>
      <c r="H287" s="172">
        <f t="shared" si="280"/>
        <v>1262000</v>
      </c>
      <c r="I287" s="172">
        <f t="shared" si="280"/>
        <v>1262000</v>
      </c>
      <c r="J287" s="172">
        <f t="shared" si="280"/>
        <v>0</v>
      </c>
      <c r="K287" s="172">
        <f t="shared" si="280"/>
        <v>1013500</v>
      </c>
      <c r="L287" s="172">
        <f t="shared" si="280"/>
        <v>2275500</v>
      </c>
      <c r="M287" s="172">
        <f t="shared" si="280"/>
        <v>1262000</v>
      </c>
      <c r="N287" s="172">
        <f t="shared" si="280"/>
        <v>1262000</v>
      </c>
      <c r="O287" s="172">
        <f t="shared" si="280"/>
        <v>2665000</v>
      </c>
      <c r="P287" s="172">
        <f t="shared" si="280"/>
        <v>2729500</v>
      </c>
      <c r="Q287" s="172">
        <f t="shared" si="280"/>
        <v>2811500</v>
      </c>
    </row>
    <row r="288" spans="1:17" customFormat="1" ht="18" customHeight="1" x14ac:dyDescent="0.3">
      <c r="A288" s="721" t="s">
        <v>97</v>
      </c>
      <c r="B288" s="721"/>
      <c r="C288" s="184">
        <f t="shared" ref="C288:Q288" si="281">SUM(C289,C316,C319,C329)</f>
        <v>1262000</v>
      </c>
      <c r="D288" s="184">
        <f t="shared" si="281"/>
        <v>54000</v>
      </c>
      <c r="E288" s="184">
        <f t="shared" si="281"/>
        <v>63000</v>
      </c>
      <c r="F288" s="184">
        <f t="shared" si="281"/>
        <v>1271000</v>
      </c>
      <c r="G288" s="184">
        <f t="shared" si="281"/>
        <v>1262000</v>
      </c>
      <c r="H288" s="184">
        <f t="shared" si="281"/>
        <v>1262000</v>
      </c>
      <c r="I288" s="184">
        <f t="shared" si="281"/>
        <v>1262000</v>
      </c>
      <c r="J288" s="184">
        <f t="shared" si="281"/>
        <v>0</v>
      </c>
      <c r="K288" s="184">
        <f t="shared" si="281"/>
        <v>1013500</v>
      </c>
      <c r="L288" s="184">
        <f t="shared" si="281"/>
        <v>2275500</v>
      </c>
      <c r="M288" s="184">
        <f t="shared" si="281"/>
        <v>1262000</v>
      </c>
      <c r="N288" s="184">
        <f t="shared" si="281"/>
        <v>1262000</v>
      </c>
      <c r="O288" s="184">
        <f t="shared" si="281"/>
        <v>2665000</v>
      </c>
      <c r="P288" s="184">
        <f t="shared" si="281"/>
        <v>2729500</v>
      </c>
      <c r="Q288" s="184">
        <f t="shared" si="281"/>
        <v>2811500</v>
      </c>
    </row>
    <row r="289" spans="1:17" customFormat="1" ht="18" customHeight="1" x14ac:dyDescent="0.3">
      <c r="A289" s="185" t="s">
        <v>317</v>
      </c>
      <c r="B289" s="185" t="s">
        <v>318</v>
      </c>
      <c r="C289" s="218">
        <f t="shared" ref="C289:Q289" si="282">SUM(C290,C293,C299,C308,C310,C314)</f>
        <v>395000</v>
      </c>
      <c r="D289" s="218">
        <f t="shared" si="282"/>
        <v>20000</v>
      </c>
      <c r="E289" s="218">
        <f t="shared" si="282"/>
        <v>20000</v>
      </c>
      <c r="F289" s="218">
        <f t="shared" si="282"/>
        <v>395000</v>
      </c>
      <c r="G289" s="218">
        <f t="shared" si="282"/>
        <v>395000</v>
      </c>
      <c r="H289" s="218">
        <f t="shared" si="282"/>
        <v>395000</v>
      </c>
      <c r="I289" s="218">
        <f t="shared" si="282"/>
        <v>395000</v>
      </c>
      <c r="J289" s="218">
        <f t="shared" si="282"/>
        <v>0</v>
      </c>
      <c r="K289" s="218">
        <f t="shared" si="282"/>
        <v>0</v>
      </c>
      <c r="L289" s="218">
        <f t="shared" si="282"/>
        <v>395000</v>
      </c>
      <c r="M289" s="218">
        <f t="shared" si="282"/>
        <v>395000</v>
      </c>
      <c r="N289" s="218">
        <f t="shared" si="282"/>
        <v>395000</v>
      </c>
      <c r="O289" s="218">
        <f t="shared" si="282"/>
        <v>980000</v>
      </c>
      <c r="P289" s="218">
        <f t="shared" si="282"/>
        <v>1175000</v>
      </c>
      <c r="Q289" s="218">
        <f t="shared" si="282"/>
        <v>1217000</v>
      </c>
    </row>
    <row r="290" spans="1:17" s="6" customFormat="1" ht="15" customHeight="1" x14ac:dyDescent="0.3">
      <c r="A290" s="188" t="s">
        <v>149</v>
      </c>
      <c r="B290" s="192" t="s">
        <v>12</v>
      </c>
      <c r="C290" s="179">
        <f t="shared" ref="C290:F290" si="283">SUM(C291:C292)</f>
        <v>66000</v>
      </c>
      <c r="D290" s="179">
        <f t="shared" si="283"/>
        <v>0</v>
      </c>
      <c r="E290" s="179">
        <f t="shared" si="283"/>
        <v>0</v>
      </c>
      <c r="F290" s="179">
        <f t="shared" si="283"/>
        <v>66000</v>
      </c>
      <c r="G290" s="179">
        <f t="shared" ref="G290:H290" si="284">SUM(G291:G292)</f>
        <v>66000</v>
      </c>
      <c r="H290" s="179">
        <f t="shared" si="284"/>
        <v>66000</v>
      </c>
      <c r="I290" s="179">
        <f t="shared" ref="I290:N290" si="285">SUM(I291:I292)</f>
        <v>66000</v>
      </c>
      <c r="J290" s="179">
        <f t="shared" si="285"/>
        <v>0</v>
      </c>
      <c r="K290" s="179">
        <f t="shared" si="285"/>
        <v>0</v>
      </c>
      <c r="L290" s="179">
        <f t="shared" si="285"/>
        <v>66000</v>
      </c>
      <c r="M290" s="179">
        <f t="shared" si="285"/>
        <v>66000</v>
      </c>
      <c r="N290" s="179">
        <f t="shared" si="285"/>
        <v>66000</v>
      </c>
      <c r="O290" s="179">
        <f t="shared" ref="O290:P290" si="286">SUM(O291:O292)</f>
        <v>320000</v>
      </c>
      <c r="P290" s="179">
        <f t="shared" si="286"/>
        <v>500000</v>
      </c>
      <c r="Q290" s="179">
        <f t="shared" ref="Q290" si="287">SUM(Q291:Q292)</f>
        <v>550000</v>
      </c>
    </row>
    <row r="291" spans="1:17" customFormat="1" ht="15" customHeight="1" x14ac:dyDescent="0.3">
      <c r="A291" s="189" t="s">
        <v>150</v>
      </c>
      <c r="B291" s="190" t="s">
        <v>13</v>
      </c>
      <c r="C291" s="182">
        <v>26000</v>
      </c>
      <c r="D291" s="182"/>
      <c r="E291" s="182"/>
      <c r="F291" s="182">
        <f t="shared" ref="F291:F315" si="288">C291-D291+E291</f>
        <v>26000</v>
      </c>
      <c r="G291" s="182">
        <v>26000</v>
      </c>
      <c r="H291" s="182">
        <v>26000</v>
      </c>
      <c r="I291" s="182">
        <v>26000</v>
      </c>
      <c r="J291" s="220"/>
      <c r="K291" s="220"/>
      <c r="L291" s="220">
        <f>I291-J291+K291</f>
        <v>26000</v>
      </c>
      <c r="M291" s="182">
        <v>26000</v>
      </c>
      <c r="N291" s="182">
        <v>26000</v>
      </c>
      <c r="O291" s="182">
        <v>120000</v>
      </c>
      <c r="P291" s="182">
        <v>200000</v>
      </c>
      <c r="Q291" s="182">
        <v>200000</v>
      </c>
    </row>
    <row r="292" spans="1:17" customFormat="1" ht="15" customHeight="1" x14ac:dyDescent="0.3">
      <c r="A292" s="189" t="s">
        <v>152</v>
      </c>
      <c r="B292" s="190" t="s">
        <v>15</v>
      </c>
      <c r="C292" s="182">
        <v>40000</v>
      </c>
      <c r="D292" s="182"/>
      <c r="E292" s="182"/>
      <c r="F292" s="182">
        <f t="shared" si="288"/>
        <v>40000</v>
      </c>
      <c r="G292" s="182">
        <v>40000</v>
      </c>
      <c r="H292" s="182">
        <v>40000</v>
      </c>
      <c r="I292" s="182">
        <v>40000</v>
      </c>
      <c r="J292" s="220"/>
      <c r="K292" s="220"/>
      <c r="L292" s="220">
        <f>I292-J292+K292</f>
        <v>40000</v>
      </c>
      <c r="M292" s="182">
        <v>40000</v>
      </c>
      <c r="N292" s="182">
        <v>40000</v>
      </c>
      <c r="O292" s="182">
        <v>200000</v>
      </c>
      <c r="P292" s="182">
        <v>300000</v>
      </c>
      <c r="Q292" s="182">
        <v>350000</v>
      </c>
    </row>
    <row r="293" spans="1:17" s="6" customFormat="1" ht="15" customHeight="1" x14ac:dyDescent="0.3">
      <c r="A293" s="188" t="s">
        <v>153</v>
      </c>
      <c r="B293" s="192" t="s">
        <v>16</v>
      </c>
      <c r="C293" s="179">
        <f t="shared" ref="C293:F293" si="289">SUM(C294:C298)</f>
        <v>43000</v>
      </c>
      <c r="D293" s="179">
        <f t="shared" si="289"/>
        <v>0</v>
      </c>
      <c r="E293" s="179">
        <f t="shared" si="289"/>
        <v>0</v>
      </c>
      <c r="F293" s="179">
        <f t="shared" si="289"/>
        <v>43000</v>
      </c>
      <c r="G293" s="179">
        <f t="shared" ref="G293:H293" si="290">SUM(G294:G298)</f>
        <v>43000</v>
      </c>
      <c r="H293" s="179">
        <f t="shared" si="290"/>
        <v>43000</v>
      </c>
      <c r="I293" s="179">
        <f t="shared" ref="I293:N293" si="291">SUM(I294:I298)</f>
        <v>43000</v>
      </c>
      <c r="J293" s="179">
        <f t="shared" si="291"/>
        <v>0</v>
      </c>
      <c r="K293" s="179">
        <f t="shared" si="291"/>
        <v>0</v>
      </c>
      <c r="L293" s="179">
        <f t="shared" si="291"/>
        <v>43000</v>
      </c>
      <c r="M293" s="179">
        <f t="shared" si="291"/>
        <v>43000</v>
      </c>
      <c r="N293" s="179">
        <f t="shared" si="291"/>
        <v>43000</v>
      </c>
      <c r="O293" s="179">
        <f t="shared" ref="O293:P293" si="292">SUM(O294:O298)</f>
        <v>85000</v>
      </c>
      <c r="P293" s="179">
        <f t="shared" si="292"/>
        <v>100000</v>
      </c>
      <c r="Q293" s="179">
        <f t="shared" ref="Q293" si="293">SUM(Q294:Q298)</f>
        <v>95000</v>
      </c>
    </row>
    <row r="294" spans="1:17" customFormat="1" ht="15" customHeight="1" x14ac:dyDescent="0.3">
      <c r="A294" s="189" t="s">
        <v>154</v>
      </c>
      <c r="B294" s="190" t="s">
        <v>17</v>
      </c>
      <c r="C294" s="182">
        <v>13000</v>
      </c>
      <c r="D294" s="182"/>
      <c r="E294" s="182"/>
      <c r="F294" s="182">
        <f t="shared" si="288"/>
        <v>13000</v>
      </c>
      <c r="G294" s="182">
        <v>13000</v>
      </c>
      <c r="H294" s="182">
        <v>13000</v>
      </c>
      <c r="I294" s="182">
        <v>13000</v>
      </c>
      <c r="J294" s="220"/>
      <c r="K294" s="220"/>
      <c r="L294" s="220">
        <f>I294-J294+K294</f>
        <v>13000</v>
      </c>
      <c r="M294" s="182">
        <v>13000</v>
      </c>
      <c r="N294" s="182">
        <v>13000</v>
      </c>
      <c r="O294" s="182">
        <v>35000</v>
      </c>
      <c r="P294" s="182">
        <v>50000</v>
      </c>
      <c r="Q294" s="182">
        <v>50000</v>
      </c>
    </row>
    <row r="295" spans="1:17" customFormat="1" ht="15" customHeight="1" x14ac:dyDescent="0.3">
      <c r="A295" s="189" t="s">
        <v>155</v>
      </c>
      <c r="B295" s="190" t="s">
        <v>18</v>
      </c>
      <c r="C295" s="182">
        <v>13000</v>
      </c>
      <c r="D295" s="182"/>
      <c r="E295" s="182"/>
      <c r="F295" s="182">
        <f t="shared" si="288"/>
        <v>13000</v>
      </c>
      <c r="G295" s="182">
        <v>13000</v>
      </c>
      <c r="H295" s="182">
        <v>13000</v>
      </c>
      <c r="I295" s="182">
        <v>13000</v>
      </c>
      <c r="J295" s="220"/>
      <c r="K295" s="220"/>
      <c r="L295" s="220">
        <f>I295-J295+K295</f>
        <v>13000</v>
      </c>
      <c r="M295" s="182">
        <v>13000</v>
      </c>
      <c r="N295" s="182">
        <v>13000</v>
      </c>
      <c r="O295" s="182">
        <v>10000</v>
      </c>
      <c r="P295" s="182">
        <v>10000</v>
      </c>
      <c r="Q295" s="182">
        <v>10000</v>
      </c>
    </row>
    <row r="296" spans="1:17" customFormat="1" ht="14.4" hidden="1" x14ac:dyDescent="0.3">
      <c r="A296" s="189" t="s">
        <v>156</v>
      </c>
      <c r="B296" s="190" t="s">
        <v>19</v>
      </c>
      <c r="C296" s="182"/>
      <c r="D296" s="182"/>
      <c r="E296" s="182"/>
      <c r="F296" s="182">
        <f t="shared" si="288"/>
        <v>0</v>
      </c>
      <c r="G296" s="182"/>
      <c r="H296" s="182"/>
      <c r="I296" s="182"/>
      <c r="J296" s="220"/>
      <c r="K296" s="220"/>
      <c r="L296" s="220"/>
      <c r="M296" s="182"/>
      <c r="N296" s="182"/>
      <c r="O296" s="182">
        <v>10000</v>
      </c>
      <c r="P296" s="182">
        <v>10000</v>
      </c>
      <c r="Q296" s="182">
        <v>5000</v>
      </c>
    </row>
    <row r="297" spans="1:17" customFormat="1" ht="23.25" customHeight="1" x14ac:dyDescent="0.3">
      <c r="A297" s="189" t="s">
        <v>157</v>
      </c>
      <c r="B297" s="190" t="s">
        <v>112</v>
      </c>
      <c r="C297" s="182">
        <v>4000</v>
      </c>
      <c r="D297" s="182"/>
      <c r="E297" s="182"/>
      <c r="F297" s="182">
        <f t="shared" si="288"/>
        <v>4000</v>
      </c>
      <c r="G297" s="182">
        <v>4000</v>
      </c>
      <c r="H297" s="182">
        <v>4000</v>
      </c>
      <c r="I297" s="182">
        <v>4000</v>
      </c>
      <c r="J297" s="220"/>
      <c r="K297" s="220"/>
      <c r="L297" s="220">
        <f>I297-J297+K297</f>
        <v>4000</v>
      </c>
      <c r="M297" s="182">
        <v>4000</v>
      </c>
      <c r="N297" s="182">
        <v>4000</v>
      </c>
      <c r="O297" s="182">
        <v>20000</v>
      </c>
      <c r="P297" s="182">
        <v>20000</v>
      </c>
      <c r="Q297" s="182">
        <v>20000</v>
      </c>
    </row>
    <row r="298" spans="1:17" customFormat="1" ht="15" customHeight="1" x14ac:dyDescent="0.3">
      <c r="A298" s="189" t="s">
        <v>158</v>
      </c>
      <c r="B298" s="190" t="s">
        <v>21</v>
      </c>
      <c r="C298" s="182">
        <v>13000</v>
      </c>
      <c r="D298" s="182"/>
      <c r="E298" s="182"/>
      <c r="F298" s="182">
        <f t="shared" si="288"/>
        <v>13000</v>
      </c>
      <c r="G298" s="182">
        <v>13000</v>
      </c>
      <c r="H298" s="182">
        <v>13000</v>
      </c>
      <c r="I298" s="182">
        <v>13000</v>
      </c>
      <c r="J298" s="220"/>
      <c r="K298" s="220"/>
      <c r="L298" s="220">
        <f>I298-J298+K298</f>
        <v>13000</v>
      </c>
      <c r="M298" s="182">
        <v>13000</v>
      </c>
      <c r="N298" s="182">
        <v>13000</v>
      </c>
      <c r="O298" s="182">
        <v>10000</v>
      </c>
      <c r="P298" s="182">
        <v>10000</v>
      </c>
      <c r="Q298" s="182">
        <v>10000</v>
      </c>
    </row>
    <row r="299" spans="1:17" s="6" customFormat="1" ht="15" customHeight="1" x14ac:dyDescent="0.3">
      <c r="A299" s="188" t="s">
        <v>159</v>
      </c>
      <c r="B299" s="192" t="s">
        <v>123</v>
      </c>
      <c r="C299" s="179">
        <f t="shared" ref="C299:F299" si="294">SUM(C300:C307)</f>
        <v>249000</v>
      </c>
      <c r="D299" s="179">
        <f t="shared" si="294"/>
        <v>20000</v>
      </c>
      <c r="E299" s="179">
        <f t="shared" si="294"/>
        <v>20000</v>
      </c>
      <c r="F299" s="179">
        <f t="shared" si="294"/>
        <v>249000</v>
      </c>
      <c r="G299" s="179">
        <f t="shared" ref="G299:H299" si="295">SUM(G300:G307)</f>
        <v>254000</v>
      </c>
      <c r="H299" s="179">
        <f t="shared" si="295"/>
        <v>254000</v>
      </c>
      <c r="I299" s="179">
        <f t="shared" ref="I299:N299" si="296">SUM(I300:I307)</f>
        <v>254000</v>
      </c>
      <c r="J299" s="179">
        <f t="shared" si="296"/>
        <v>0</v>
      </c>
      <c r="K299" s="179">
        <f t="shared" si="296"/>
        <v>0</v>
      </c>
      <c r="L299" s="179">
        <f t="shared" si="296"/>
        <v>254000</v>
      </c>
      <c r="M299" s="179">
        <f t="shared" si="296"/>
        <v>254000</v>
      </c>
      <c r="N299" s="179">
        <f t="shared" si="296"/>
        <v>254000</v>
      </c>
      <c r="O299" s="179">
        <f t="shared" ref="O299:P299" si="297">SUM(O300:O307)</f>
        <v>435000</v>
      </c>
      <c r="P299" s="179">
        <f t="shared" si="297"/>
        <v>435000</v>
      </c>
      <c r="Q299" s="179">
        <f t="shared" ref="Q299" si="298">SUM(Q300:Q307)</f>
        <v>432000</v>
      </c>
    </row>
    <row r="300" spans="1:17" customFormat="1" ht="15" customHeight="1" x14ac:dyDescent="0.3">
      <c r="A300" s="189">
        <v>3232</v>
      </c>
      <c r="B300" s="190" t="s">
        <v>25</v>
      </c>
      <c r="C300" s="182">
        <v>128000</v>
      </c>
      <c r="D300" s="182">
        <v>20000</v>
      </c>
      <c r="E300" s="182"/>
      <c r="F300" s="182">
        <f t="shared" si="288"/>
        <v>108000</v>
      </c>
      <c r="G300" s="182">
        <v>133000</v>
      </c>
      <c r="H300" s="182">
        <v>133000</v>
      </c>
      <c r="I300" s="182">
        <v>133000</v>
      </c>
      <c r="J300" s="220"/>
      <c r="K300" s="220"/>
      <c r="L300" s="220">
        <f t="shared" ref="L300:L307" si="299">I300-J300+K300</f>
        <v>133000</v>
      </c>
      <c r="M300" s="182">
        <v>133000</v>
      </c>
      <c r="N300" s="182">
        <v>133000</v>
      </c>
      <c r="O300" s="182">
        <v>150000</v>
      </c>
      <c r="P300" s="182">
        <v>150000</v>
      </c>
      <c r="Q300" s="182">
        <v>150000</v>
      </c>
    </row>
    <row r="301" spans="1:17" customFormat="1" ht="15" customHeight="1" x14ac:dyDescent="0.3">
      <c r="A301" s="189">
        <v>3233</v>
      </c>
      <c r="B301" s="190" t="s">
        <v>26</v>
      </c>
      <c r="C301" s="182">
        <v>13000</v>
      </c>
      <c r="D301" s="182"/>
      <c r="E301" s="182"/>
      <c r="F301" s="182">
        <f t="shared" si="288"/>
        <v>13000</v>
      </c>
      <c r="G301" s="182">
        <v>13000</v>
      </c>
      <c r="H301" s="182">
        <v>13000</v>
      </c>
      <c r="I301" s="182">
        <v>13000</v>
      </c>
      <c r="J301" s="220"/>
      <c r="K301" s="220"/>
      <c r="L301" s="220">
        <f t="shared" si="299"/>
        <v>13000</v>
      </c>
      <c r="M301" s="182">
        <v>13000</v>
      </c>
      <c r="N301" s="182">
        <v>13000</v>
      </c>
      <c r="O301" s="182">
        <v>40000</v>
      </c>
      <c r="P301" s="182">
        <v>40000</v>
      </c>
      <c r="Q301" s="182">
        <v>40000</v>
      </c>
    </row>
    <row r="302" spans="1:17" customFormat="1" ht="15" customHeight="1" x14ac:dyDescent="0.3">
      <c r="A302" s="189" t="s">
        <v>163</v>
      </c>
      <c r="B302" s="190" t="s">
        <v>27</v>
      </c>
      <c r="C302" s="182">
        <v>2000</v>
      </c>
      <c r="D302" s="182"/>
      <c r="E302" s="182"/>
      <c r="F302" s="182">
        <f t="shared" si="288"/>
        <v>2000</v>
      </c>
      <c r="G302" s="182">
        <v>2000</v>
      </c>
      <c r="H302" s="182">
        <v>2000</v>
      </c>
      <c r="I302" s="182">
        <v>2000</v>
      </c>
      <c r="J302" s="220"/>
      <c r="K302" s="220"/>
      <c r="L302" s="220">
        <f t="shared" si="299"/>
        <v>2000</v>
      </c>
      <c r="M302" s="182">
        <v>2000</v>
      </c>
      <c r="N302" s="182">
        <v>2000</v>
      </c>
      <c r="O302" s="182">
        <v>5000</v>
      </c>
      <c r="P302" s="182">
        <v>5000</v>
      </c>
      <c r="Q302" s="182">
        <v>5000</v>
      </c>
    </row>
    <row r="303" spans="1:17" customFormat="1" ht="15" customHeight="1" x14ac:dyDescent="0.3">
      <c r="A303" s="189" t="s">
        <v>164</v>
      </c>
      <c r="B303" s="190" t="s">
        <v>28</v>
      </c>
      <c r="C303" s="182">
        <v>33000</v>
      </c>
      <c r="D303" s="182"/>
      <c r="E303" s="182"/>
      <c r="F303" s="182">
        <f t="shared" si="288"/>
        <v>33000</v>
      </c>
      <c r="G303" s="182">
        <v>33000</v>
      </c>
      <c r="H303" s="182">
        <v>33000</v>
      </c>
      <c r="I303" s="182">
        <v>33000</v>
      </c>
      <c r="J303" s="220"/>
      <c r="K303" s="220"/>
      <c r="L303" s="220">
        <f t="shared" si="299"/>
        <v>33000</v>
      </c>
      <c r="M303" s="182">
        <v>33000</v>
      </c>
      <c r="N303" s="182">
        <v>33000</v>
      </c>
      <c r="O303" s="182">
        <v>30000</v>
      </c>
      <c r="P303" s="182">
        <v>30000</v>
      </c>
      <c r="Q303" s="182">
        <v>30000</v>
      </c>
    </row>
    <row r="304" spans="1:17" customFormat="1" ht="15" customHeight="1" x14ac:dyDescent="0.3">
      <c r="A304" s="189" t="s">
        <v>165</v>
      </c>
      <c r="B304" s="190" t="s">
        <v>29</v>
      </c>
      <c r="C304" s="182">
        <v>7000</v>
      </c>
      <c r="D304" s="182"/>
      <c r="E304" s="182"/>
      <c r="F304" s="182">
        <f t="shared" si="288"/>
        <v>7000</v>
      </c>
      <c r="G304" s="182">
        <v>7000</v>
      </c>
      <c r="H304" s="182">
        <v>7000</v>
      </c>
      <c r="I304" s="182">
        <v>7000</v>
      </c>
      <c r="J304" s="220"/>
      <c r="K304" s="220"/>
      <c r="L304" s="220">
        <f t="shared" si="299"/>
        <v>7000</v>
      </c>
      <c r="M304" s="182">
        <v>7000</v>
      </c>
      <c r="N304" s="182">
        <v>7000</v>
      </c>
      <c r="O304" s="182">
        <v>7000</v>
      </c>
      <c r="P304" s="182">
        <v>7000</v>
      </c>
      <c r="Q304" s="182">
        <v>7000</v>
      </c>
    </row>
    <row r="305" spans="1:17" customFormat="1" ht="15" customHeight="1" x14ac:dyDescent="0.3">
      <c r="A305" s="189" t="s">
        <v>166</v>
      </c>
      <c r="B305" s="190" t="s">
        <v>30</v>
      </c>
      <c r="C305" s="182">
        <v>33000</v>
      </c>
      <c r="D305" s="182"/>
      <c r="E305" s="182"/>
      <c r="F305" s="182">
        <f t="shared" si="288"/>
        <v>33000</v>
      </c>
      <c r="G305" s="182">
        <v>33000</v>
      </c>
      <c r="H305" s="182">
        <v>33000</v>
      </c>
      <c r="I305" s="182">
        <v>33000</v>
      </c>
      <c r="J305" s="220"/>
      <c r="K305" s="220"/>
      <c r="L305" s="220">
        <f t="shared" si="299"/>
        <v>33000</v>
      </c>
      <c r="M305" s="182">
        <v>33000</v>
      </c>
      <c r="N305" s="182">
        <v>33000</v>
      </c>
      <c r="O305" s="182">
        <v>100000</v>
      </c>
      <c r="P305" s="182">
        <v>100000</v>
      </c>
      <c r="Q305" s="182">
        <v>100000</v>
      </c>
    </row>
    <row r="306" spans="1:17" customFormat="1" ht="15" customHeight="1" x14ac:dyDescent="0.3">
      <c r="A306" s="189" t="s">
        <v>189</v>
      </c>
      <c r="B306" s="190" t="s">
        <v>70</v>
      </c>
      <c r="C306" s="182">
        <v>13000</v>
      </c>
      <c r="D306" s="182"/>
      <c r="E306" s="182"/>
      <c r="F306" s="182">
        <f t="shared" si="288"/>
        <v>13000</v>
      </c>
      <c r="G306" s="182">
        <v>13000</v>
      </c>
      <c r="H306" s="182">
        <v>13000</v>
      </c>
      <c r="I306" s="182">
        <v>13000</v>
      </c>
      <c r="J306" s="220"/>
      <c r="K306" s="220"/>
      <c r="L306" s="220">
        <f t="shared" si="299"/>
        <v>13000</v>
      </c>
      <c r="M306" s="182">
        <v>13000</v>
      </c>
      <c r="N306" s="182">
        <v>13000</v>
      </c>
      <c r="O306" s="182">
        <v>53000</v>
      </c>
      <c r="P306" s="182">
        <v>53000</v>
      </c>
      <c r="Q306" s="182">
        <v>50000</v>
      </c>
    </row>
    <row r="307" spans="1:17" customFormat="1" ht="15" customHeight="1" x14ac:dyDescent="0.3">
      <c r="A307" s="189" t="s">
        <v>167</v>
      </c>
      <c r="B307" s="190" t="s">
        <v>31</v>
      </c>
      <c r="C307" s="182">
        <v>20000</v>
      </c>
      <c r="D307" s="182"/>
      <c r="E307" s="182">
        <v>20000</v>
      </c>
      <c r="F307" s="182">
        <f t="shared" si="288"/>
        <v>40000</v>
      </c>
      <c r="G307" s="182">
        <v>20000</v>
      </c>
      <c r="H307" s="182">
        <v>20000</v>
      </c>
      <c r="I307" s="182">
        <v>20000</v>
      </c>
      <c r="J307" s="220"/>
      <c r="K307" s="220"/>
      <c r="L307" s="220">
        <f t="shared" si="299"/>
        <v>20000</v>
      </c>
      <c r="M307" s="182">
        <v>20000</v>
      </c>
      <c r="N307" s="182">
        <v>20000</v>
      </c>
      <c r="O307" s="182">
        <v>50000</v>
      </c>
      <c r="P307" s="182">
        <v>50000</v>
      </c>
      <c r="Q307" s="182">
        <v>50000</v>
      </c>
    </row>
    <row r="308" spans="1:17" s="6" customFormat="1" ht="24.75" customHeight="1" x14ac:dyDescent="0.3">
      <c r="A308" s="188" t="s">
        <v>168</v>
      </c>
      <c r="B308" s="192" t="s">
        <v>32</v>
      </c>
      <c r="C308" s="179">
        <f t="shared" ref="C308:Q308" si="300">SUM(C309)</f>
        <v>20000</v>
      </c>
      <c r="D308" s="179">
        <f t="shared" si="300"/>
        <v>0</v>
      </c>
      <c r="E308" s="179">
        <f t="shared" si="300"/>
        <v>0</v>
      </c>
      <c r="F308" s="179">
        <f t="shared" si="300"/>
        <v>20000</v>
      </c>
      <c r="G308" s="179">
        <f t="shared" si="300"/>
        <v>20000</v>
      </c>
      <c r="H308" s="179">
        <f t="shared" si="300"/>
        <v>20000</v>
      </c>
      <c r="I308" s="179">
        <f t="shared" si="300"/>
        <v>20000</v>
      </c>
      <c r="J308" s="179">
        <f t="shared" si="300"/>
        <v>0</v>
      </c>
      <c r="K308" s="179">
        <f t="shared" si="300"/>
        <v>0</v>
      </c>
      <c r="L308" s="179">
        <f t="shared" si="300"/>
        <v>20000</v>
      </c>
      <c r="M308" s="179">
        <f t="shared" si="300"/>
        <v>20000</v>
      </c>
      <c r="N308" s="179">
        <f t="shared" si="300"/>
        <v>20000</v>
      </c>
      <c r="O308" s="179">
        <f t="shared" si="300"/>
        <v>50000</v>
      </c>
      <c r="P308" s="179">
        <f t="shared" si="300"/>
        <v>50000</v>
      </c>
      <c r="Q308" s="179">
        <f t="shared" si="300"/>
        <v>50000</v>
      </c>
    </row>
    <row r="309" spans="1:17" customFormat="1" ht="24" customHeight="1" x14ac:dyDescent="0.3">
      <c r="A309" s="189" t="s">
        <v>169</v>
      </c>
      <c r="B309" s="190" t="s">
        <v>32</v>
      </c>
      <c r="C309" s="182">
        <v>20000</v>
      </c>
      <c r="D309" s="182"/>
      <c r="E309" s="182"/>
      <c r="F309" s="182">
        <f t="shared" si="288"/>
        <v>20000</v>
      </c>
      <c r="G309" s="182">
        <v>20000</v>
      </c>
      <c r="H309" s="182">
        <v>20000</v>
      </c>
      <c r="I309" s="182">
        <v>20000</v>
      </c>
      <c r="J309" s="220"/>
      <c r="K309" s="220"/>
      <c r="L309" s="220">
        <f>I309-J309+K309</f>
        <v>20000</v>
      </c>
      <c r="M309" s="182">
        <v>20000</v>
      </c>
      <c r="N309" s="182">
        <v>20000</v>
      </c>
      <c r="O309" s="182">
        <v>50000</v>
      </c>
      <c r="P309" s="182">
        <v>50000</v>
      </c>
      <c r="Q309" s="182">
        <v>50000</v>
      </c>
    </row>
    <row r="310" spans="1:17" s="6" customFormat="1" ht="15" customHeight="1" x14ac:dyDescent="0.3">
      <c r="A310" s="188" t="s">
        <v>170</v>
      </c>
      <c r="B310" s="192" t="s">
        <v>33</v>
      </c>
      <c r="C310" s="179">
        <f t="shared" ref="C310:F310" si="301">SUM(C311:C312)</f>
        <v>12000</v>
      </c>
      <c r="D310" s="179">
        <f t="shared" si="301"/>
        <v>0</v>
      </c>
      <c r="E310" s="179">
        <f t="shared" si="301"/>
        <v>0</v>
      </c>
      <c r="F310" s="179">
        <f t="shared" si="301"/>
        <v>12000</v>
      </c>
      <c r="G310" s="179">
        <f t="shared" ref="G310:H310" si="302">SUM(G311:G312)</f>
        <v>12000</v>
      </c>
      <c r="H310" s="179">
        <f t="shared" si="302"/>
        <v>12000</v>
      </c>
      <c r="I310" s="179">
        <f t="shared" ref="I310:N310" si="303">SUM(I311:I312)</f>
        <v>12000</v>
      </c>
      <c r="J310" s="179">
        <f t="shared" si="303"/>
        <v>0</v>
      </c>
      <c r="K310" s="179">
        <f t="shared" si="303"/>
        <v>0</v>
      </c>
      <c r="L310" s="179">
        <f t="shared" si="303"/>
        <v>12000</v>
      </c>
      <c r="M310" s="179">
        <f t="shared" si="303"/>
        <v>12000</v>
      </c>
      <c r="N310" s="179">
        <f t="shared" si="303"/>
        <v>12000</v>
      </c>
      <c r="O310" s="179">
        <f>SUM(O311:O313)</f>
        <v>90000</v>
      </c>
      <c r="P310" s="179">
        <f t="shared" ref="P310:Q310" si="304">SUM(P311:P313)</f>
        <v>90000</v>
      </c>
      <c r="Q310" s="179">
        <f t="shared" si="304"/>
        <v>90000</v>
      </c>
    </row>
    <row r="311" spans="1:17" customFormat="1" ht="15" customHeight="1" x14ac:dyDescent="0.3">
      <c r="A311" s="189" t="s">
        <v>171</v>
      </c>
      <c r="B311" s="190" t="s">
        <v>35</v>
      </c>
      <c r="C311" s="182">
        <v>2000</v>
      </c>
      <c r="D311" s="182"/>
      <c r="E311" s="182"/>
      <c r="F311" s="182">
        <f t="shared" si="288"/>
        <v>2000</v>
      </c>
      <c r="G311" s="182">
        <v>2000</v>
      </c>
      <c r="H311" s="182">
        <v>2000</v>
      </c>
      <c r="I311" s="182">
        <v>2000</v>
      </c>
      <c r="J311" s="220"/>
      <c r="K311" s="220"/>
      <c r="L311" s="220">
        <f>I311-J311+K311</f>
        <v>2000</v>
      </c>
      <c r="M311" s="182">
        <v>2000</v>
      </c>
      <c r="N311" s="182">
        <v>2000</v>
      </c>
      <c r="O311" s="182">
        <v>20000</v>
      </c>
      <c r="P311" s="182">
        <v>20000</v>
      </c>
      <c r="Q311" s="182">
        <v>20000</v>
      </c>
    </row>
    <row r="312" spans="1:17" customFormat="1" ht="14.1" customHeight="1" x14ac:dyDescent="0.3">
      <c r="A312" s="189" t="s">
        <v>172</v>
      </c>
      <c r="B312" s="190" t="s">
        <v>36</v>
      </c>
      <c r="C312" s="182">
        <v>10000</v>
      </c>
      <c r="D312" s="182"/>
      <c r="E312" s="182"/>
      <c r="F312" s="182">
        <f t="shared" si="288"/>
        <v>10000</v>
      </c>
      <c r="G312" s="182">
        <v>10000</v>
      </c>
      <c r="H312" s="182">
        <v>10000</v>
      </c>
      <c r="I312" s="182">
        <v>10000</v>
      </c>
      <c r="J312" s="220"/>
      <c r="K312" s="220"/>
      <c r="L312" s="220">
        <f>I312-J312+K312</f>
        <v>10000</v>
      </c>
      <c r="M312" s="182">
        <v>10000</v>
      </c>
      <c r="N312" s="182">
        <v>10000</v>
      </c>
      <c r="O312" s="182">
        <v>50000</v>
      </c>
      <c r="P312" s="182">
        <v>50000</v>
      </c>
      <c r="Q312" s="182">
        <v>50000</v>
      </c>
    </row>
    <row r="313" spans="1:17" customFormat="1" ht="14.4" hidden="1" x14ac:dyDescent="0.3">
      <c r="A313" s="189">
        <v>3299</v>
      </c>
      <c r="B313" s="190" t="s">
        <v>33</v>
      </c>
      <c r="C313" s="182">
        <v>143000</v>
      </c>
      <c r="D313" s="182"/>
      <c r="E313" s="182"/>
      <c r="F313" s="182">
        <f t="shared" si="288"/>
        <v>143000</v>
      </c>
      <c r="G313" s="182">
        <v>143000</v>
      </c>
      <c r="H313" s="182">
        <v>143000</v>
      </c>
      <c r="I313" s="182"/>
      <c r="J313" s="220"/>
      <c r="K313" s="220"/>
      <c r="L313" s="220">
        <f>I313-J313+K313</f>
        <v>0</v>
      </c>
      <c r="M313" s="182"/>
      <c r="N313" s="182"/>
      <c r="O313" s="182">
        <v>20000</v>
      </c>
      <c r="P313" s="182">
        <v>20000</v>
      </c>
      <c r="Q313" s="182">
        <v>20000</v>
      </c>
    </row>
    <row r="314" spans="1:17" customFormat="1" ht="15" hidden="1" customHeight="1" x14ac:dyDescent="0.3">
      <c r="A314" s="177">
        <v>343</v>
      </c>
      <c r="B314" s="178" t="s">
        <v>40</v>
      </c>
      <c r="C314" s="179">
        <f t="shared" ref="C314:Q314" si="305">SUM(C315)</f>
        <v>5000</v>
      </c>
      <c r="D314" s="179">
        <f t="shared" si="305"/>
        <v>0</v>
      </c>
      <c r="E314" s="179">
        <f t="shared" si="305"/>
        <v>0</v>
      </c>
      <c r="F314" s="179">
        <f t="shared" si="305"/>
        <v>5000</v>
      </c>
      <c r="G314" s="179">
        <f t="shared" si="305"/>
        <v>0</v>
      </c>
      <c r="H314" s="179">
        <f t="shared" si="305"/>
        <v>0</v>
      </c>
      <c r="I314" s="179">
        <f t="shared" si="305"/>
        <v>0</v>
      </c>
      <c r="J314" s="179">
        <f t="shared" si="305"/>
        <v>0</v>
      </c>
      <c r="K314" s="179">
        <f t="shared" si="305"/>
        <v>0</v>
      </c>
      <c r="L314" s="179">
        <f t="shared" si="305"/>
        <v>0</v>
      </c>
      <c r="M314" s="179">
        <f t="shared" si="305"/>
        <v>0</v>
      </c>
      <c r="N314" s="179">
        <f t="shared" si="305"/>
        <v>0</v>
      </c>
      <c r="O314" s="179">
        <f t="shared" si="305"/>
        <v>0</v>
      </c>
      <c r="P314" s="179">
        <f t="shared" si="305"/>
        <v>0</v>
      </c>
      <c r="Q314" s="179">
        <f t="shared" si="305"/>
        <v>0</v>
      </c>
    </row>
    <row r="315" spans="1:17" customFormat="1" ht="15" hidden="1" customHeight="1" x14ac:dyDescent="0.3">
      <c r="A315" s="180">
        <v>3434</v>
      </c>
      <c r="B315" s="181" t="s">
        <v>43</v>
      </c>
      <c r="C315" s="182">
        <v>5000</v>
      </c>
      <c r="D315" s="182"/>
      <c r="E315" s="182"/>
      <c r="F315" s="182">
        <f t="shared" si="288"/>
        <v>5000</v>
      </c>
      <c r="G315" s="182"/>
      <c r="H315" s="182"/>
      <c r="I315" s="182"/>
      <c r="J315" s="220"/>
      <c r="K315" s="220"/>
      <c r="L315" s="220"/>
      <c r="M315" s="182"/>
      <c r="N315" s="182"/>
      <c r="O315" s="182"/>
      <c r="P315" s="182"/>
      <c r="Q315" s="182"/>
    </row>
    <row r="316" spans="1:17" customFormat="1" ht="26.4" x14ac:dyDescent="0.3">
      <c r="A316" s="209" t="s">
        <v>327</v>
      </c>
      <c r="B316" s="210" t="s">
        <v>328</v>
      </c>
      <c r="C316" s="176">
        <f>SUM(C317)</f>
        <v>4000</v>
      </c>
      <c r="D316" s="176">
        <f t="shared" ref="D316:Q316" si="306">SUM(D317)</f>
        <v>0</v>
      </c>
      <c r="E316" s="176">
        <f t="shared" si="306"/>
        <v>9000</v>
      </c>
      <c r="F316" s="176">
        <f t="shared" si="306"/>
        <v>13000</v>
      </c>
      <c r="G316" s="176">
        <f>SUM(G317)</f>
        <v>4000</v>
      </c>
      <c r="H316" s="176">
        <f>SUM(H317)</f>
        <v>4000</v>
      </c>
      <c r="I316" s="176">
        <f t="shared" si="306"/>
        <v>4000</v>
      </c>
      <c r="J316" s="176">
        <f t="shared" si="306"/>
        <v>0</v>
      </c>
      <c r="K316" s="176">
        <f t="shared" si="306"/>
        <v>0</v>
      </c>
      <c r="L316" s="176">
        <f t="shared" si="306"/>
        <v>4000</v>
      </c>
      <c r="M316" s="176">
        <f t="shared" si="306"/>
        <v>4000</v>
      </c>
      <c r="N316" s="176">
        <f t="shared" si="306"/>
        <v>4000</v>
      </c>
      <c r="O316" s="176">
        <f t="shared" si="306"/>
        <v>30000</v>
      </c>
      <c r="P316" s="176">
        <f t="shared" si="306"/>
        <v>30000</v>
      </c>
      <c r="Q316" s="176">
        <f t="shared" si="306"/>
        <v>30000</v>
      </c>
    </row>
    <row r="317" spans="1:17" s="6" customFormat="1" ht="15" customHeight="1" x14ac:dyDescent="0.3">
      <c r="A317" s="188" t="s">
        <v>176</v>
      </c>
      <c r="B317" s="192" t="s">
        <v>67</v>
      </c>
      <c r="C317" s="179">
        <f t="shared" ref="C317:Q317" si="307">SUM(C318)</f>
        <v>4000</v>
      </c>
      <c r="D317" s="179">
        <f t="shared" si="307"/>
        <v>0</v>
      </c>
      <c r="E317" s="179">
        <f t="shared" si="307"/>
        <v>9000</v>
      </c>
      <c r="F317" s="179">
        <f t="shared" si="307"/>
        <v>13000</v>
      </c>
      <c r="G317" s="179">
        <f t="shared" si="307"/>
        <v>4000</v>
      </c>
      <c r="H317" s="179">
        <f t="shared" si="307"/>
        <v>4000</v>
      </c>
      <c r="I317" s="179">
        <f t="shared" si="307"/>
        <v>4000</v>
      </c>
      <c r="J317" s="179">
        <f t="shared" si="307"/>
        <v>0</v>
      </c>
      <c r="K317" s="179">
        <f t="shared" si="307"/>
        <v>0</v>
      </c>
      <c r="L317" s="179">
        <f t="shared" si="307"/>
        <v>4000</v>
      </c>
      <c r="M317" s="179">
        <f t="shared" si="307"/>
        <v>4000</v>
      </c>
      <c r="N317" s="179">
        <f t="shared" si="307"/>
        <v>4000</v>
      </c>
      <c r="O317" s="179">
        <f t="shared" si="307"/>
        <v>30000</v>
      </c>
      <c r="P317" s="179">
        <f t="shared" si="307"/>
        <v>30000</v>
      </c>
      <c r="Q317" s="179">
        <f t="shared" si="307"/>
        <v>30000</v>
      </c>
    </row>
    <row r="318" spans="1:17" customFormat="1" ht="15" customHeight="1" x14ac:dyDescent="0.3">
      <c r="A318" s="189" t="s">
        <v>190</v>
      </c>
      <c r="B318" s="190" t="s">
        <v>68</v>
      </c>
      <c r="C318" s="182">
        <v>4000</v>
      </c>
      <c r="D318" s="182"/>
      <c r="E318" s="182">
        <v>9000</v>
      </c>
      <c r="F318" s="182">
        <f t="shared" ref="F318" si="308">C318-D318+E318</f>
        <v>13000</v>
      </c>
      <c r="G318" s="182">
        <v>4000</v>
      </c>
      <c r="H318" s="182">
        <v>4000</v>
      </c>
      <c r="I318" s="182">
        <v>4000</v>
      </c>
      <c r="J318" s="220"/>
      <c r="K318" s="220"/>
      <c r="L318" s="220">
        <f>I318-J318+K318</f>
        <v>4000</v>
      </c>
      <c r="M318" s="182">
        <v>4000</v>
      </c>
      <c r="N318" s="182">
        <v>4000</v>
      </c>
      <c r="O318" s="182">
        <v>30000</v>
      </c>
      <c r="P318" s="182">
        <v>30000</v>
      </c>
      <c r="Q318" s="182">
        <v>30000</v>
      </c>
    </row>
    <row r="319" spans="1:17" customFormat="1" ht="26.4" x14ac:dyDescent="0.3">
      <c r="A319" s="174" t="s">
        <v>323</v>
      </c>
      <c r="B319" s="186" t="s">
        <v>324</v>
      </c>
      <c r="C319" s="176">
        <f t="shared" ref="C319:F319" si="309">SUM(C320,C327)</f>
        <v>729000</v>
      </c>
      <c r="D319" s="176">
        <f t="shared" si="309"/>
        <v>34000</v>
      </c>
      <c r="E319" s="176">
        <f t="shared" si="309"/>
        <v>34000</v>
      </c>
      <c r="F319" s="176">
        <f t="shared" si="309"/>
        <v>729000</v>
      </c>
      <c r="G319" s="176">
        <f>SUM(G320,G327)</f>
        <v>729000</v>
      </c>
      <c r="H319" s="176">
        <f>SUM(H320,H327)</f>
        <v>729000</v>
      </c>
      <c r="I319" s="176">
        <f t="shared" ref="I319:N319" si="310">SUM(I320,I327)</f>
        <v>729000</v>
      </c>
      <c r="J319" s="176">
        <f t="shared" si="310"/>
        <v>0</v>
      </c>
      <c r="K319" s="176">
        <f t="shared" si="310"/>
        <v>1013500</v>
      </c>
      <c r="L319" s="176">
        <f t="shared" si="310"/>
        <v>1742500</v>
      </c>
      <c r="M319" s="176">
        <f t="shared" si="310"/>
        <v>729000</v>
      </c>
      <c r="N319" s="176">
        <f t="shared" si="310"/>
        <v>729000</v>
      </c>
      <c r="O319" s="176">
        <f>SUM(O320,O325,O327)</f>
        <v>1355000</v>
      </c>
      <c r="P319" s="176">
        <f t="shared" ref="P319:Q319" si="311">SUM(P320,P325,P327)</f>
        <v>1324500</v>
      </c>
      <c r="Q319" s="176">
        <f t="shared" si="311"/>
        <v>1364500</v>
      </c>
    </row>
    <row r="320" spans="1:17" s="6" customFormat="1" ht="15" customHeight="1" x14ac:dyDescent="0.3">
      <c r="A320" s="188" t="s">
        <v>177</v>
      </c>
      <c r="B320" s="192" t="s">
        <v>129</v>
      </c>
      <c r="C320" s="179">
        <f t="shared" ref="C320" si="312">SUM(C321:C324)</f>
        <v>596000</v>
      </c>
      <c r="D320" s="179">
        <f t="shared" ref="D320:F320" si="313">SUM(D321:D324)</f>
        <v>34000</v>
      </c>
      <c r="E320" s="179">
        <f t="shared" si="313"/>
        <v>34000</v>
      </c>
      <c r="F320" s="179">
        <f t="shared" si="313"/>
        <v>596000</v>
      </c>
      <c r="G320" s="179">
        <f t="shared" ref="G320:H320" si="314">SUM(G321:G324)</f>
        <v>596000</v>
      </c>
      <c r="H320" s="179">
        <f t="shared" si="314"/>
        <v>596000</v>
      </c>
      <c r="I320" s="179">
        <f t="shared" ref="I320:N320" si="315">SUM(I321:I324)</f>
        <v>596000</v>
      </c>
      <c r="J320" s="179">
        <f t="shared" si="315"/>
        <v>0</v>
      </c>
      <c r="K320" s="179">
        <f t="shared" si="315"/>
        <v>1013500</v>
      </c>
      <c r="L320" s="179">
        <f t="shared" si="315"/>
        <v>1609500</v>
      </c>
      <c r="M320" s="179">
        <f t="shared" si="315"/>
        <v>596000</v>
      </c>
      <c r="N320" s="179">
        <f t="shared" si="315"/>
        <v>596000</v>
      </c>
      <c r="O320" s="179">
        <f t="shared" ref="O320:P320" si="316">SUM(O321:O324)</f>
        <v>1015000</v>
      </c>
      <c r="P320" s="179">
        <f t="shared" si="316"/>
        <v>1054500</v>
      </c>
      <c r="Q320" s="179">
        <f t="shared" ref="Q320" si="317">SUM(Q321:Q324)</f>
        <v>1104500</v>
      </c>
    </row>
    <row r="321" spans="1:17" customFormat="1" ht="15" customHeight="1" x14ac:dyDescent="0.3">
      <c r="A321" s="189" t="s">
        <v>178</v>
      </c>
      <c r="B321" s="190" t="s">
        <v>54</v>
      </c>
      <c r="C321" s="182">
        <v>330000</v>
      </c>
      <c r="D321" s="182"/>
      <c r="E321" s="182"/>
      <c r="F321" s="182">
        <f t="shared" ref="F321:F323" si="318">C321-D321+E321</f>
        <v>330000</v>
      </c>
      <c r="G321" s="182">
        <v>330000</v>
      </c>
      <c r="H321" s="182">
        <v>330000</v>
      </c>
      <c r="I321" s="182">
        <v>330000</v>
      </c>
      <c r="J321" s="220"/>
      <c r="K321" s="220"/>
      <c r="L321" s="220">
        <f>I321-J321+K321</f>
        <v>330000</v>
      </c>
      <c r="M321" s="182">
        <v>330000</v>
      </c>
      <c r="N321" s="182">
        <v>330000</v>
      </c>
      <c r="O321" s="182">
        <v>500000</v>
      </c>
      <c r="P321" s="182">
        <v>650000</v>
      </c>
      <c r="Q321" s="182">
        <v>650000</v>
      </c>
    </row>
    <row r="322" spans="1:17" customFormat="1" ht="14.25" customHeight="1" x14ac:dyDescent="0.3">
      <c r="A322" s="189" t="s">
        <v>186</v>
      </c>
      <c r="B322" s="190" t="s">
        <v>58</v>
      </c>
      <c r="C322" s="182">
        <v>266000</v>
      </c>
      <c r="D322" s="182">
        <v>34000</v>
      </c>
      <c r="E322" s="182"/>
      <c r="F322" s="182">
        <f t="shared" si="318"/>
        <v>232000</v>
      </c>
      <c r="G322" s="182">
        <v>266000</v>
      </c>
      <c r="H322" s="182">
        <v>266000</v>
      </c>
      <c r="I322" s="182">
        <v>266000</v>
      </c>
      <c r="J322" s="220"/>
      <c r="K322" s="220"/>
      <c r="L322" s="220">
        <f>I322-J322+K322</f>
        <v>266000</v>
      </c>
      <c r="M322" s="182">
        <v>266000</v>
      </c>
      <c r="N322" s="182">
        <v>266000</v>
      </c>
      <c r="O322" s="182">
        <v>400000</v>
      </c>
      <c r="P322" s="182">
        <v>300000</v>
      </c>
      <c r="Q322" s="182">
        <v>350000</v>
      </c>
    </row>
    <row r="323" spans="1:17" customFormat="1" ht="15" customHeight="1" x14ac:dyDescent="0.3">
      <c r="A323" s="189" t="s">
        <v>179</v>
      </c>
      <c r="B323" s="190" t="s">
        <v>59</v>
      </c>
      <c r="C323" s="182"/>
      <c r="D323" s="182"/>
      <c r="E323" s="182">
        <v>34000</v>
      </c>
      <c r="F323" s="182">
        <f t="shared" si="318"/>
        <v>34000</v>
      </c>
      <c r="G323" s="182"/>
      <c r="H323" s="182"/>
      <c r="I323" s="182"/>
      <c r="J323" s="220"/>
      <c r="K323" s="220">
        <v>1012000</v>
      </c>
      <c r="L323" s="220">
        <f t="shared" ref="L323:L324" si="319">I323-J323+K323</f>
        <v>1012000</v>
      </c>
      <c r="M323" s="182"/>
      <c r="N323" s="182"/>
      <c r="O323" s="182">
        <v>50000</v>
      </c>
      <c r="P323" s="182">
        <v>54500</v>
      </c>
      <c r="Q323" s="182">
        <v>54500</v>
      </c>
    </row>
    <row r="324" spans="1:17" customFormat="1" ht="13.5" customHeight="1" x14ac:dyDescent="0.3">
      <c r="A324" s="189" t="s">
        <v>180</v>
      </c>
      <c r="B324" s="190" t="s">
        <v>60</v>
      </c>
      <c r="C324" s="182"/>
      <c r="D324" s="182"/>
      <c r="E324" s="182"/>
      <c r="F324" s="182"/>
      <c r="G324" s="182"/>
      <c r="H324" s="182"/>
      <c r="I324" s="182"/>
      <c r="J324" s="220"/>
      <c r="K324" s="220">
        <v>1500</v>
      </c>
      <c r="L324" s="220">
        <f t="shared" si="319"/>
        <v>1500</v>
      </c>
      <c r="M324" s="182"/>
      <c r="N324" s="182"/>
      <c r="O324" s="182">
        <v>65000</v>
      </c>
      <c r="P324" s="182">
        <v>50000</v>
      </c>
      <c r="Q324" s="182">
        <v>50000</v>
      </c>
    </row>
    <row r="325" spans="1:17" s="6" customFormat="1" ht="14.4" hidden="1" x14ac:dyDescent="0.3">
      <c r="A325" s="188" t="s">
        <v>181</v>
      </c>
      <c r="B325" s="192" t="s">
        <v>61</v>
      </c>
      <c r="C325" s="179">
        <f t="shared" ref="C325:D325" si="320">SUM(C326)</f>
        <v>0</v>
      </c>
      <c r="D325" s="179">
        <f t="shared" si="320"/>
        <v>0</v>
      </c>
      <c r="E325" s="179"/>
      <c r="F325" s="179"/>
      <c r="G325" s="179">
        <f t="shared" ref="G325:H325" si="321">SUM(G326)</f>
        <v>0</v>
      </c>
      <c r="H325" s="179">
        <f t="shared" si="321"/>
        <v>0</v>
      </c>
      <c r="I325" s="179"/>
      <c r="J325" s="219"/>
      <c r="K325" s="219"/>
      <c r="L325" s="219"/>
      <c r="M325" s="179"/>
      <c r="N325" s="179"/>
      <c r="O325" s="179">
        <f>SUM(O326)</f>
        <v>200000</v>
      </c>
      <c r="P325" s="179">
        <f t="shared" ref="P325:Q325" si="322">SUM(P326)</f>
        <v>120000</v>
      </c>
      <c r="Q325" s="179">
        <f t="shared" si="322"/>
        <v>120000</v>
      </c>
    </row>
    <row r="326" spans="1:17" customFormat="1" ht="14.4" hidden="1" x14ac:dyDescent="0.3">
      <c r="A326" s="189" t="s">
        <v>182</v>
      </c>
      <c r="B326" s="190" t="s">
        <v>62</v>
      </c>
      <c r="C326" s="182"/>
      <c r="D326" s="182"/>
      <c r="E326" s="182"/>
      <c r="F326" s="182"/>
      <c r="G326" s="182"/>
      <c r="H326" s="182"/>
      <c r="I326" s="182"/>
      <c r="J326" s="220"/>
      <c r="K326" s="220"/>
      <c r="L326" s="220"/>
      <c r="M326" s="182"/>
      <c r="N326" s="182"/>
      <c r="O326" s="182">
        <v>200000</v>
      </c>
      <c r="P326" s="182">
        <v>120000</v>
      </c>
      <c r="Q326" s="182">
        <v>120000</v>
      </c>
    </row>
    <row r="327" spans="1:17" s="6" customFormat="1" ht="15" customHeight="1" x14ac:dyDescent="0.3">
      <c r="A327" s="188" t="s">
        <v>193</v>
      </c>
      <c r="B327" s="192" t="s">
        <v>73</v>
      </c>
      <c r="C327" s="179">
        <f t="shared" ref="C327:Q327" si="323">SUM(C328)</f>
        <v>133000</v>
      </c>
      <c r="D327" s="179">
        <f t="shared" si="323"/>
        <v>0</v>
      </c>
      <c r="E327" s="179">
        <f t="shared" si="323"/>
        <v>0</v>
      </c>
      <c r="F327" s="179">
        <f t="shared" si="323"/>
        <v>133000</v>
      </c>
      <c r="G327" s="179">
        <f t="shared" si="323"/>
        <v>133000</v>
      </c>
      <c r="H327" s="179">
        <f t="shared" si="323"/>
        <v>133000</v>
      </c>
      <c r="I327" s="179">
        <f t="shared" si="323"/>
        <v>133000</v>
      </c>
      <c r="J327" s="179">
        <f t="shared" si="323"/>
        <v>0</v>
      </c>
      <c r="K327" s="179">
        <f t="shared" si="323"/>
        <v>0</v>
      </c>
      <c r="L327" s="179">
        <f t="shared" si="323"/>
        <v>133000</v>
      </c>
      <c r="M327" s="179">
        <f t="shared" si="323"/>
        <v>133000</v>
      </c>
      <c r="N327" s="179">
        <f t="shared" si="323"/>
        <v>133000</v>
      </c>
      <c r="O327" s="179">
        <f t="shared" si="323"/>
        <v>140000</v>
      </c>
      <c r="P327" s="179">
        <f t="shared" si="323"/>
        <v>150000</v>
      </c>
      <c r="Q327" s="179">
        <f t="shared" si="323"/>
        <v>140000</v>
      </c>
    </row>
    <row r="328" spans="1:17" customFormat="1" ht="15" customHeight="1" x14ac:dyDescent="0.3">
      <c r="A328" s="189" t="s">
        <v>194</v>
      </c>
      <c r="B328" s="190" t="s">
        <v>88</v>
      </c>
      <c r="C328" s="182">
        <v>133000</v>
      </c>
      <c r="D328" s="182"/>
      <c r="E328" s="182"/>
      <c r="F328" s="182">
        <f t="shared" ref="F328" si="324">C328-D328+E328</f>
        <v>133000</v>
      </c>
      <c r="G328" s="182">
        <v>133000</v>
      </c>
      <c r="H328" s="182">
        <v>133000</v>
      </c>
      <c r="I328" s="182">
        <v>133000</v>
      </c>
      <c r="J328" s="220"/>
      <c r="K328" s="220"/>
      <c r="L328" s="220">
        <f>I328-J328+K328</f>
        <v>133000</v>
      </c>
      <c r="M328" s="182">
        <v>133000</v>
      </c>
      <c r="N328" s="182">
        <v>133000</v>
      </c>
      <c r="O328" s="182">
        <v>140000</v>
      </c>
      <c r="P328" s="182">
        <v>150000</v>
      </c>
      <c r="Q328" s="182">
        <v>140000</v>
      </c>
    </row>
    <row r="329" spans="1:17" customFormat="1" ht="24" customHeight="1" x14ac:dyDescent="0.3">
      <c r="A329" s="209" t="s">
        <v>325</v>
      </c>
      <c r="B329" s="210" t="s">
        <v>326</v>
      </c>
      <c r="C329" s="176">
        <f>SUM(C330,C332)</f>
        <v>134000</v>
      </c>
      <c r="D329" s="176">
        <f t="shared" ref="D329:F329" si="325">SUM(D330,D332)</f>
        <v>0</v>
      </c>
      <c r="E329" s="176">
        <f t="shared" si="325"/>
        <v>0</v>
      </c>
      <c r="F329" s="176">
        <f t="shared" si="325"/>
        <v>134000</v>
      </c>
      <c r="G329" s="176">
        <f>SUM(G330,G332)</f>
        <v>134000</v>
      </c>
      <c r="H329" s="176">
        <f>SUM(H330,H332)</f>
        <v>134000</v>
      </c>
      <c r="I329" s="176">
        <f t="shared" ref="I329:N329" si="326">SUM(I330,I332)</f>
        <v>134000</v>
      </c>
      <c r="J329" s="176">
        <f t="shared" si="326"/>
        <v>0</v>
      </c>
      <c r="K329" s="176">
        <f t="shared" si="326"/>
        <v>0</v>
      </c>
      <c r="L329" s="176">
        <f t="shared" si="326"/>
        <v>134000</v>
      </c>
      <c r="M329" s="176">
        <f t="shared" si="326"/>
        <v>134000</v>
      </c>
      <c r="N329" s="176">
        <f t="shared" si="326"/>
        <v>134000</v>
      </c>
      <c r="O329" s="176">
        <f t="shared" ref="O329:P329" si="327">SUM(O330,O332)</f>
        <v>300000</v>
      </c>
      <c r="P329" s="176">
        <f t="shared" si="327"/>
        <v>200000</v>
      </c>
      <c r="Q329" s="176">
        <f t="shared" ref="Q329" si="328">SUM(Q330,Q332)</f>
        <v>200000</v>
      </c>
    </row>
    <row r="330" spans="1:17" s="6" customFormat="1" ht="14.4" x14ac:dyDescent="0.3">
      <c r="A330" s="188" t="s">
        <v>183</v>
      </c>
      <c r="B330" s="192" t="s">
        <v>55</v>
      </c>
      <c r="C330" s="179">
        <f t="shared" ref="C330:Q332" si="329">SUM(C331)</f>
        <v>67000</v>
      </c>
      <c r="D330" s="179">
        <f t="shared" si="329"/>
        <v>0</v>
      </c>
      <c r="E330" s="179">
        <f t="shared" si="329"/>
        <v>0</v>
      </c>
      <c r="F330" s="179">
        <f t="shared" si="329"/>
        <v>67000</v>
      </c>
      <c r="G330" s="179">
        <f t="shared" si="329"/>
        <v>67000</v>
      </c>
      <c r="H330" s="179">
        <f t="shared" si="329"/>
        <v>67000</v>
      </c>
      <c r="I330" s="179">
        <f t="shared" si="329"/>
        <v>67000</v>
      </c>
      <c r="J330" s="179">
        <f t="shared" si="329"/>
        <v>0</v>
      </c>
      <c r="K330" s="179">
        <f t="shared" si="329"/>
        <v>0</v>
      </c>
      <c r="L330" s="179">
        <f t="shared" si="329"/>
        <v>67000</v>
      </c>
      <c r="M330" s="179">
        <f t="shared" si="329"/>
        <v>67000</v>
      </c>
      <c r="N330" s="179">
        <f t="shared" si="329"/>
        <v>67000</v>
      </c>
      <c r="O330" s="179">
        <f t="shared" si="329"/>
        <v>100000</v>
      </c>
      <c r="P330" s="179">
        <f t="shared" si="329"/>
        <v>100000</v>
      </c>
      <c r="Q330" s="179">
        <f t="shared" si="329"/>
        <v>100000</v>
      </c>
    </row>
    <row r="331" spans="1:17" customFormat="1" ht="14.4" x14ac:dyDescent="0.3">
      <c r="A331" s="189" t="s">
        <v>184</v>
      </c>
      <c r="B331" s="190" t="s">
        <v>55</v>
      </c>
      <c r="C331" s="182">
        <v>67000</v>
      </c>
      <c r="D331" s="182"/>
      <c r="E331" s="182"/>
      <c r="F331" s="182">
        <f t="shared" ref="F331:F333" si="330">C331-D331+E331</f>
        <v>67000</v>
      </c>
      <c r="G331" s="182">
        <v>67000</v>
      </c>
      <c r="H331" s="182">
        <v>67000</v>
      </c>
      <c r="I331" s="182">
        <v>67000</v>
      </c>
      <c r="J331" s="220"/>
      <c r="K331" s="220"/>
      <c r="L331" s="220">
        <f>I331-J331+K331</f>
        <v>67000</v>
      </c>
      <c r="M331" s="182">
        <v>67000</v>
      </c>
      <c r="N331" s="182">
        <v>67000</v>
      </c>
      <c r="O331" s="182">
        <v>100000</v>
      </c>
      <c r="P331" s="182">
        <v>100000</v>
      </c>
      <c r="Q331" s="182">
        <v>100000</v>
      </c>
    </row>
    <row r="332" spans="1:17" s="6" customFormat="1" ht="26.4" x14ac:dyDescent="0.3">
      <c r="A332" s="188">
        <v>453</v>
      </c>
      <c r="B332" s="192" t="s">
        <v>286</v>
      </c>
      <c r="C332" s="179">
        <f t="shared" si="329"/>
        <v>67000</v>
      </c>
      <c r="D332" s="179">
        <f t="shared" si="329"/>
        <v>0</v>
      </c>
      <c r="E332" s="179">
        <f t="shared" si="329"/>
        <v>0</v>
      </c>
      <c r="F332" s="179">
        <f t="shared" si="329"/>
        <v>67000</v>
      </c>
      <c r="G332" s="179">
        <f t="shared" si="329"/>
        <v>67000</v>
      </c>
      <c r="H332" s="179">
        <f t="shared" si="329"/>
        <v>67000</v>
      </c>
      <c r="I332" s="179">
        <f t="shared" si="329"/>
        <v>67000</v>
      </c>
      <c r="J332" s="179">
        <f t="shared" si="329"/>
        <v>0</v>
      </c>
      <c r="K332" s="179">
        <f t="shared" si="329"/>
        <v>0</v>
      </c>
      <c r="L332" s="179">
        <f t="shared" si="329"/>
        <v>67000</v>
      </c>
      <c r="M332" s="179">
        <f t="shared" si="329"/>
        <v>67000</v>
      </c>
      <c r="N332" s="179">
        <f t="shared" si="329"/>
        <v>67000</v>
      </c>
      <c r="O332" s="179">
        <f t="shared" si="329"/>
        <v>200000</v>
      </c>
      <c r="P332" s="179">
        <f t="shared" si="329"/>
        <v>100000</v>
      </c>
      <c r="Q332" s="179">
        <f t="shared" si="329"/>
        <v>100000</v>
      </c>
    </row>
    <row r="333" spans="1:17" customFormat="1" ht="25.5" customHeight="1" x14ac:dyDescent="0.3">
      <c r="A333" s="189">
        <v>4531</v>
      </c>
      <c r="B333" s="190" t="s">
        <v>287</v>
      </c>
      <c r="C333" s="182">
        <v>67000</v>
      </c>
      <c r="D333" s="182"/>
      <c r="E333" s="182"/>
      <c r="F333" s="182">
        <f t="shared" si="330"/>
        <v>67000</v>
      </c>
      <c r="G333" s="182">
        <v>67000</v>
      </c>
      <c r="H333" s="182">
        <v>67000</v>
      </c>
      <c r="I333" s="182">
        <v>67000</v>
      </c>
      <c r="J333" s="220"/>
      <c r="K333" s="220"/>
      <c r="L333" s="220">
        <f>I333-J333+K333</f>
        <v>67000</v>
      </c>
      <c r="M333" s="182">
        <v>67000</v>
      </c>
      <c r="N333" s="182">
        <v>67000</v>
      </c>
      <c r="O333" s="182">
        <v>200000</v>
      </c>
      <c r="P333" s="182">
        <v>100000</v>
      </c>
      <c r="Q333" s="182">
        <v>100000</v>
      </c>
    </row>
    <row r="334" spans="1:17" customFormat="1" ht="39.6" x14ac:dyDescent="0.3">
      <c r="A334" s="170" t="s">
        <v>110</v>
      </c>
      <c r="B334" s="171" t="s">
        <v>111</v>
      </c>
      <c r="C334" s="172">
        <f t="shared" ref="C334:Q334" si="331">SUM(C335)</f>
        <v>1200000</v>
      </c>
      <c r="D334" s="172">
        <f t="shared" si="331"/>
        <v>0</v>
      </c>
      <c r="E334" s="172">
        <f t="shared" si="331"/>
        <v>840000</v>
      </c>
      <c r="F334" s="172">
        <f t="shared" si="331"/>
        <v>2040000</v>
      </c>
      <c r="G334" s="172">
        <f t="shared" si="331"/>
        <v>1200000</v>
      </c>
      <c r="H334" s="172">
        <f t="shared" si="331"/>
        <v>1200000</v>
      </c>
      <c r="I334" s="172">
        <f t="shared" si="331"/>
        <v>1200000</v>
      </c>
      <c r="J334" s="172">
        <f t="shared" si="331"/>
        <v>0</v>
      </c>
      <c r="K334" s="172">
        <f t="shared" si="331"/>
        <v>100000</v>
      </c>
      <c r="L334" s="172">
        <f t="shared" si="331"/>
        <v>1300000</v>
      </c>
      <c r="M334" s="172">
        <f t="shared" si="331"/>
        <v>1200000</v>
      </c>
      <c r="N334" s="172">
        <f t="shared" si="331"/>
        <v>1200000</v>
      </c>
      <c r="O334" s="172">
        <f t="shared" si="331"/>
        <v>1300000</v>
      </c>
      <c r="P334" s="172">
        <f t="shared" si="331"/>
        <v>1300000</v>
      </c>
      <c r="Q334" s="172">
        <f t="shared" si="331"/>
        <v>1300000</v>
      </c>
    </row>
    <row r="335" spans="1:17" customFormat="1" ht="18" customHeight="1" x14ac:dyDescent="0.3">
      <c r="A335" s="721" t="s">
        <v>106</v>
      </c>
      <c r="B335" s="721"/>
      <c r="C335" s="173">
        <f>SUM(C336,C340,C368,C364)</f>
        <v>1200000</v>
      </c>
      <c r="D335" s="173">
        <f t="shared" ref="D335:F335" si="332">SUM(D336,D340,D368,D364)</f>
        <v>0</v>
      </c>
      <c r="E335" s="173">
        <f t="shared" si="332"/>
        <v>840000</v>
      </c>
      <c r="F335" s="173">
        <f t="shared" si="332"/>
        <v>2040000</v>
      </c>
      <c r="G335" s="173">
        <f>SUM(G336,G340,G368,G364)</f>
        <v>1200000</v>
      </c>
      <c r="H335" s="173">
        <f>SUM(H336,H340,H368,H364)</f>
        <v>1200000</v>
      </c>
      <c r="I335" s="173">
        <f t="shared" ref="I335:N335" si="333">SUM(I336,I340,I368,I364)</f>
        <v>1200000</v>
      </c>
      <c r="J335" s="173">
        <f t="shared" si="333"/>
        <v>0</v>
      </c>
      <c r="K335" s="173">
        <f t="shared" si="333"/>
        <v>100000</v>
      </c>
      <c r="L335" s="173">
        <f t="shared" si="333"/>
        <v>1300000</v>
      </c>
      <c r="M335" s="173">
        <f t="shared" si="333"/>
        <v>1200000</v>
      </c>
      <c r="N335" s="173">
        <f t="shared" si="333"/>
        <v>1200000</v>
      </c>
      <c r="O335" s="173">
        <f t="shared" ref="O335:P335" si="334">SUM(O336,O340,O368,O364)</f>
        <v>1300000</v>
      </c>
      <c r="P335" s="173">
        <f t="shared" si="334"/>
        <v>1300000</v>
      </c>
      <c r="Q335" s="173">
        <f t="shared" ref="Q335" si="335">SUM(Q336,Q340,Q368,Q364)</f>
        <v>1300000</v>
      </c>
    </row>
    <row r="336" spans="1:17" customFormat="1" ht="15.75" customHeight="1" x14ac:dyDescent="0.3">
      <c r="A336" s="185" t="s">
        <v>315</v>
      </c>
      <c r="B336" s="186" t="s">
        <v>316</v>
      </c>
      <c r="C336" s="187">
        <f>SUM(C337)</f>
        <v>3000</v>
      </c>
      <c r="D336" s="187">
        <f t="shared" ref="D336:Q336" si="336">SUM(D337)</f>
        <v>0</v>
      </c>
      <c r="E336" s="187">
        <f t="shared" si="336"/>
        <v>307000</v>
      </c>
      <c r="F336" s="187">
        <f t="shared" si="336"/>
        <v>310000</v>
      </c>
      <c r="G336" s="187">
        <f>SUM(G337)</f>
        <v>3000</v>
      </c>
      <c r="H336" s="187">
        <f>SUM(H337)</f>
        <v>3000</v>
      </c>
      <c r="I336" s="187">
        <f t="shared" si="336"/>
        <v>3000</v>
      </c>
      <c r="J336" s="187">
        <f t="shared" si="336"/>
        <v>0</v>
      </c>
      <c r="K336" s="187">
        <f t="shared" si="336"/>
        <v>100000</v>
      </c>
      <c r="L336" s="187">
        <f t="shared" si="336"/>
        <v>103000</v>
      </c>
      <c r="M336" s="187">
        <f t="shared" si="336"/>
        <v>3000</v>
      </c>
      <c r="N336" s="187">
        <f t="shared" si="336"/>
        <v>3000</v>
      </c>
      <c r="O336" s="187">
        <f t="shared" si="336"/>
        <v>103000</v>
      </c>
      <c r="P336" s="187">
        <f t="shared" si="336"/>
        <v>103000</v>
      </c>
      <c r="Q336" s="187">
        <f t="shared" si="336"/>
        <v>103000</v>
      </c>
    </row>
    <row r="337" spans="1:17" customFormat="1" ht="15" customHeight="1" x14ac:dyDescent="0.3">
      <c r="A337" s="188">
        <v>311</v>
      </c>
      <c r="B337" s="178" t="s">
        <v>5</v>
      </c>
      <c r="C337" s="179">
        <f t="shared" ref="C337:F337" si="337">SUM(C338:C339)</f>
        <v>3000</v>
      </c>
      <c r="D337" s="179">
        <f t="shared" si="337"/>
        <v>0</v>
      </c>
      <c r="E337" s="179">
        <f t="shared" si="337"/>
        <v>307000</v>
      </c>
      <c r="F337" s="179">
        <f t="shared" si="337"/>
        <v>310000</v>
      </c>
      <c r="G337" s="179">
        <f t="shared" ref="G337:H337" si="338">SUM(G338:G339)</f>
        <v>3000</v>
      </c>
      <c r="H337" s="179">
        <f t="shared" si="338"/>
        <v>3000</v>
      </c>
      <c r="I337" s="179">
        <f t="shared" ref="I337:M337" si="339">SUM(I338:I339)</f>
        <v>3000</v>
      </c>
      <c r="J337" s="179">
        <f t="shared" si="339"/>
        <v>0</v>
      </c>
      <c r="K337" s="179">
        <f t="shared" si="339"/>
        <v>100000</v>
      </c>
      <c r="L337" s="179">
        <f t="shared" si="339"/>
        <v>103000</v>
      </c>
      <c r="M337" s="179">
        <f t="shared" si="339"/>
        <v>3000</v>
      </c>
      <c r="N337" s="179">
        <f t="shared" ref="N337:O337" si="340">SUM(N338:N339)</f>
        <v>3000</v>
      </c>
      <c r="O337" s="179">
        <f t="shared" si="340"/>
        <v>103000</v>
      </c>
      <c r="P337" s="179">
        <f t="shared" ref="P337:Q337" si="341">SUM(P338:P339)</f>
        <v>103000</v>
      </c>
      <c r="Q337" s="179">
        <f t="shared" si="341"/>
        <v>103000</v>
      </c>
    </row>
    <row r="338" spans="1:17" customFormat="1" ht="15" customHeight="1" x14ac:dyDescent="0.3">
      <c r="A338" s="189">
        <v>3111</v>
      </c>
      <c r="B338" s="190" t="s">
        <v>5</v>
      </c>
      <c r="C338" s="182">
        <v>0</v>
      </c>
      <c r="D338" s="182"/>
      <c r="E338" s="182">
        <v>300000</v>
      </c>
      <c r="F338" s="182">
        <f t="shared" ref="F338:F339" si="342">C338-D338+E338</f>
        <v>300000</v>
      </c>
      <c r="G338" s="182"/>
      <c r="H338" s="182"/>
      <c r="I338" s="182"/>
      <c r="J338" s="220"/>
      <c r="K338" s="233">
        <v>100000</v>
      </c>
      <c r="L338" s="220">
        <f>I338-J338+K338</f>
        <v>100000</v>
      </c>
      <c r="M338" s="182"/>
      <c r="N338" s="182"/>
      <c r="O338" s="182">
        <v>100000</v>
      </c>
      <c r="P338" s="182">
        <v>100000</v>
      </c>
      <c r="Q338" s="182">
        <v>100000</v>
      </c>
    </row>
    <row r="339" spans="1:17" customFormat="1" ht="14.4" x14ac:dyDescent="0.3">
      <c r="A339" s="189">
        <v>3113</v>
      </c>
      <c r="B339" s="190" t="s">
        <v>6</v>
      </c>
      <c r="C339" s="182">
        <v>3000</v>
      </c>
      <c r="D339" s="182"/>
      <c r="E339" s="182">
        <v>7000</v>
      </c>
      <c r="F339" s="182">
        <f t="shared" si="342"/>
        <v>10000</v>
      </c>
      <c r="G339" s="182">
        <v>3000</v>
      </c>
      <c r="H339" s="182">
        <v>3000</v>
      </c>
      <c r="I339" s="182">
        <v>3000</v>
      </c>
      <c r="J339" s="220"/>
      <c r="K339" s="220"/>
      <c r="L339" s="220">
        <f>I339-J339+K339</f>
        <v>3000</v>
      </c>
      <c r="M339" s="182">
        <v>3000</v>
      </c>
      <c r="N339" s="182">
        <v>3000</v>
      </c>
      <c r="O339" s="182">
        <v>3000</v>
      </c>
      <c r="P339" s="182">
        <v>3000</v>
      </c>
      <c r="Q339" s="182">
        <v>3000</v>
      </c>
    </row>
    <row r="340" spans="1:17" customFormat="1" ht="14.4" x14ac:dyDescent="0.3">
      <c r="A340" s="185" t="s">
        <v>317</v>
      </c>
      <c r="B340" s="185" t="s">
        <v>318</v>
      </c>
      <c r="C340" s="218">
        <f>SUM(C341,C343,C350,C359)</f>
        <v>1136000</v>
      </c>
      <c r="D340" s="218">
        <f t="shared" ref="D340:F340" si="343">SUM(D341,D343,D350,D359)</f>
        <v>0</v>
      </c>
      <c r="E340" s="218">
        <f t="shared" si="343"/>
        <v>332000</v>
      </c>
      <c r="F340" s="218">
        <f t="shared" si="343"/>
        <v>1468000</v>
      </c>
      <c r="G340" s="218">
        <f>SUM(G341,G343,G350,G359)</f>
        <v>1173000</v>
      </c>
      <c r="H340" s="218">
        <f>SUM(H341,H343,H350,H359)</f>
        <v>1173000</v>
      </c>
      <c r="I340" s="218">
        <f t="shared" ref="I340:N340" si="344">SUM(I341,I343,I350,I359)</f>
        <v>1173000</v>
      </c>
      <c r="J340" s="218">
        <f t="shared" si="344"/>
        <v>0</v>
      </c>
      <c r="K340" s="218">
        <f t="shared" si="344"/>
        <v>0</v>
      </c>
      <c r="L340" s="218">
        <f t="shared" si="344"/>
        <v>1173000</v>
      </c>
      <c r="M340" s="218">
        <f t="shared" si="344"/>
        <v>1173000</v>
      </c>
      <c r="N340" s="218">
        <f t="shared" si="344"/>
        <v>1173000</v>
      </c>
      <c r="O340" s="218">
        <f t="shared" ref="O340:P340" si="345">SUM(O341,O343,O350,O359)</f>
        <v>1173000</v>
      </c>
      <c r="P340" s="218">
        <f t="shared" si="345"/>
        <v>1173000</v>
      </c>
      <c r="Q340" s="218">
        <f t="shared" ref="Q340" si="346">SUM(Q341,Q343,Q350,Q359)</f>
        <v>1173000</v>
      </c>
    </row>
    <row r="341" spans="1:17" customFormat="1" ht="14.4" x14ac:dyDescent="0.3">
      <c r="A341" s="188">
        <v>321</v>
      </c>
      <c r="B341" s="178" t="s">
        <v>12</v>
      </c>
      <c r="C341" s="179">
        <f t="shared" ref="C341:Q341" si="347">SUM(C342)</f>
        <v>800000</v>
      </c>
      <c r="D341" s="179">
        <f t="shared" si="347"/>
        <v>0</v>
      </c>
      <c r="E341" s="179">
        <f t="shared" si="347"/>
        <v>0</v>
      </c>
      <c r="F341" s="179">
        <f t="shared" si="347"/>
        <v>800000</v>
      </c>
      <c r="G341" s="179">
        <f t="shared" si="347"/>
        <v>800000</v>
      </c>
      <c r="H341" s="179">
        <f t="shared" si="347"/>
        <v>800000</v>
      </c>
      <c r="I341" s="179">
        <f t="shared" si="347"/>
        <v>800000</v>
      </c>
      <c r="J341" s="179">
        <f t="shared" si="347"/>
        <v>0</v>
      </c>
      <c r="K341" s="179">
        <f t="shared" si="347"/>
        <v>0</v>
      </c>
      <c r="L341" s="179">
        <f t="shared" si="347"/>
        <v>800000</v>
      </c>
      <c r="M341" s="179">
        <f t="shared" si="347"/>
        <v>800000</v>
      </c>
      <c r="N341" s="179">
        <f t="shared" si="347"/>
        <v>800000</v>
      </c>
      <c r="O341" s="179">
        <f t="shared" si="347"/>
        <v>800000</v>
      </c>
      <c r="P341" s="179">
        <f t="shared" si="347"/>
        <v>800000</v>
      </c>
      <c r="Q341" s="179">
        <f t="shared" si="347"/>
        <v>800000</v>
      </c>
    </row>
    <row r="342" spans="1:17" customFormat="1" ht="14.4" x14ac:dyDescent="0.3">
      <c r="A342" s="180">
        <v>3211</v>
      </c>
      <c r="B342" s="204" t="s">
        <v>13</v>
      </c>
      <c r="C342" s="182">
        <v>800000</v>
      </c>
      <c r="D342" s="182"/>
      <c r="E342" s="182"/>
      <c r="F342" s="182">
        <f t="shared" ref="F342:F363" si="348">C342-D342+E342</f>
        <v>800000</v>
      </c>
      <c r="G342" s="182">
        <v>800000</v>
      </c>
      <c r="H342" s="182">
        <v>800000</v>
      </c>
      <c r="I342" s="182">
        <v>800000</v>
      </c>
      <c r="J342" s="220"/>
      <c r="K342" s="220"/>
      <c r="L342" s="220">
        <f>I342-J342+K342</f>
        <v>800000</v>
      </c>
      <c r="M342" s="182">
        <v>800000</v>
      </c>
      <c r="N342" s="182">
        <v>800000</v>
      </c>
      <c r="O342" s="182">
        <v>800000</v>
      </c>
      <c r="P342" s="182">
        <v>800000</v>
      </c>
      <c r="Q342" s="182">
        <v>800000</v>
      </c>
    </row>
    <row r="343" spans="1:17" customFormat="1" ht="14.4" x14ac:dyDescent="0.3">
      <c r="A343" s="188">
        <v>322</v>
      </c>
      <c r="B343" s="178" t="s">
        <v>16</v>
      </c>
      <c r="C343" s="221">
        <f t="shared" ref="C343:F343" si="349">SUM(C344:C349)</f>
        <v>243000</v>
      </c>
      <c r="D343" s="221">
        <f t="shared" si="349"/>
        <v>0</v>
      </c>
      <c r="E343" s="221">
        <f t="shared" si="349"/>
        <v>172000</v>
      </c>
      <c r="F343" s="221">
        <f t="shared" si="349"/>
        <v>415000</v>
      </c>
      <c r="G343" s="221">
        <f t="shared" ref="G343:H343" si="350">SUM(G344:G349)</f>
        <v>280000</v>
      </c>
      <c r="H343" s="221">
        <f t="shared" si="350"/>
        <v>280000</v>
      </c>
      <c r="I343" s="221">
        <f t="shared" ref="I343:N343" si="351">SUM(I344:I349)</f>
        <v>280000</v>
      </c>
      <c r="J343" s="221">
        <f t="shared" si="351"/>
        <v>0</v>
      </c>
      <c r="K343" s="221">
        <f t="shared" si="351"/>
        <v>0</v>
      </c>
      <c r="L343" s="221">
        <f t="shared" si="351"/>
        <v>280000</v>
      </c>
      <c r="M343" s="221">
        <f t="shared" si="351"/>
        <v>280000</v>
      </c>
      <c r="N343" s="221">
        <f t="shared" si="351"/>
        <v>280000</v>
      </c>
      <c r="O343" s="221">
        <f t="shared" ref="O343:P343" si="352">SUM(O344:O349)</f>
        <v>280000</v>
      </c>
      <c r="P343" s="221">
        <f t="shared" si="352"/>
        <v>280000</v>
      </c>
      <c r="Q343" s="221">
        <f t="shared" ref="Q343" si="353">SUM(Q344:Q349)</f>
        <v>280000</v>
      </c>
    </row>
    <row r="344" spans="1:17" customFormat="1" ht="14.4" x14ac:dyDescent="0.3">
      <c r="A344" s="180">
        <v>3221</v>
      </c>
      <c r="B344" s="204" t="s">
        <v>17</v>
      </c>
      <c r="C344" s="182">
        <v>4000</v>
      </c>
      <c r="D344" s="182"/>
      <c r="E344" s="182">
        <v>16000</v>
      </c>
      <c r="F344" s="182">
        <f t="shared" si="348"/>
        <v>20000</v>
      </c>
      <c r="G344" s="182">
        <v>4000</v>
      </c>
      <c r="H344" s="182">
        <v>4000</v>
      </c>
      <c r="I344" s="182">
        <v>4000</v>
      </c>
      <c r="J344" s="220"/>
      <c r="K344" s="220"/>
      <c r="L344" s="220">
        <f t="shared" ref="L344:L349" si="354">I344-J344+K344</f>
        <v>4000</v>
      </c>
      <c r="M344" s="182">
        <v>4000</v>
      </c>
      <c r="N344" s="182">
        <v>4000</v>
      </c>
      <c r="O344" s="182">
        <v>4000</v>
      </c>
      <c r="P344" s="182">
        <v>4000</v>
      </c>
      <c r="Q344" s="182">
        <v>4000</v>
      </c>
    </row>
    <row r="345" spans="1:17" customFormat="1" ht="14.4" x14ac:dyDescent="0.3">
      <c r="A345" s="180">
        <v>3222</v>
      </c>
      <c r="B345" s="204" t="s">
        <v>18</v>
      </c>
      <c r="C345" s="182">
        <v>40000</v>
      </c>
      <c r="D345" s="182"/>
      <c r="E345" s="182">
        <v>100000</v>
      </c>
      <c r="F345" s="182">
        <f t="shared" si="348"/>
        <v>140000</v>
      </c>
      <c r="G345" s="182">
        <v>40000</v>
      </c>
      <c r="H345" s="182">
        <v>40000</v>
      </c>
      <c r="I345" s="182">
        <v>40000</v>
      </c>
      <c r="J345" s="220"/>
      <c r="K345" s="220"/>
      <c r="L345" s="220">
        <f t="shared" si="354"/>
        <v>40000</v>
      </c>
      <c r="M345" s="182">
        <v>40000</v>
      </c>
      <c r="N345" s="182">
        <v>40000</v>
      </c>
      <c r="O345" s="182">
        <v>40000</v>
      </c>
      <c r="P345" s="182">
        <v>40000</v>
      </c>
      <c r="Q345" s="182">
        <v>40000</v>
      </c>
    </row>
    <row r="346" spans="1:17" customFormat="1" ht="14.4" x14ac:dyDescent="0.3">
      <c r="A346" s="180">
        <v>3223</v>
      </c>
      <c r="B346" s="204" t="s">
        <v>19</v>
      </c>
      <c r="C346" s="182">
        <v>191000</v>
      </c>
      <c r="D346" s="182"/>
      <c r="E346" s="182"/>
      <c r="F346" s="182">
        <f t="shared" si="348"/>
        <v>191000</v>
      </c>
      <c r="G346" s="182">
        <v>228000</v>
      </c>
      <c r="H346" s="182">
        <v>228000</v>
      </c>
      <c r="I346" s="182">
        <v>228000</v>
      </c>
      <c r="J346" s="220"/>
      <c r="K346" s="220"/>
      <c r="L346" s="220">
        <f t="shared" si="354"/>
        <v>228000</v>
      </c>
      <c r="M346" s="182">
        <v>228000</v>
      </c>
      <c r="N346" s="182">
        <v>228000</v>
      </c>
      <c r="O346" s="182">
        <v>228000</v>
      </c>
      <c r="P346" s="182">
        <v>228000</v>
      </c>
      <c r="Q346" s="182">
        <v>228000</v>
      </c>
    </row>
    <row r="347" spans="1:17" customFormat="1" ht="14.4" x14ac:dyDescent="0.3">
      <c r="A347" s="180">
        <v>3224</v>
      </c>
      <c r="B347" s="204" t="s">
        <v>112</v>
      </c>
      <c r="C347" s="182">
        <v>3000</v>
      </c>
      <c r="D347" s="182"/>
      <c r="E347" s="182">
        <v>8000</v>
      </c>
      <c r="F347" s="182">
        <f t="shared" si="348"/>
        <v>11000</v>
      </c>
      <c r="G347" s="182">
        <v>3000</v>
      </c>
      <c r="H347" s="182">
        <v>3000</v>
      </c>
      <c r="I347" s="182">
        <v>3000</v>
      </c>
      <c r="J347" s="220"/>
      <c r="K347" s="220"/>
      <c r="L347" s="220">
        <f t="shared" si="354"/>
        <v>3000</v>
      </c>
      <c r="M347" s="182">
        <v>3000</v>
      </c>
      <c r="N347" s="182">
        <v>3000</v>
      </c>
      <c r="O347" s="182">
        <v>3000</v>
      </c>
      <c r="P347" s="182">
        <v>3000</v>
      </c>
      <c r="Q347" s="182">
        <v>3000</v>
      </c>
    </row>
    <row r="348" spans="1:17" customFormat="1" ht="14.4" x14ac:dyDescent="0.3">
      <c r="A348" s="180">
        <v>3225</v>
      </c>
      <c r="B348" s="204" t="s">
        <v>21</v>
      </c>
      <c r="C348" s="182">
        <v>2000</v>
      </c>
      <c r="D348" s="182"/>
      <c r="E348" s="182">
        <v>48000</v>
      </c>
      <c r="F348" s="182">
        <f t="shared" si="348"/>
        <v>50000</v>
      </c>
      <c r="G348" s="182">
        <v>2000</v>
      </c>
      <c r="H348" s="182">
        <v>2000</v>
      </c>
      <c r="I348" s="182">
        <v>2000</v>
      </c>
      <c r="J348" s="220"/>
      <c r="K348" s="220"/>
      <c r="L348" s="220">
        <f t="shared" si="354"/>
        <v>2000</v>
      </c>
      <c r="M348" s="182">
        <v>2000</v>
      </c>
      <c r="N348" s="182">
        <v>2000</v>
      </c>
      <c r="O348" s="182">
        <v>2000</v>
      </c>
      <c r="P348" s="182">
        <v>2000</v>
      </c>
      <c r="Q348" s="182">
        <v>2000</v>
      </c>
    </row>
    <row r="349" spans="1:17" customFormat="1" ht="14.4" x14ac:dyDescent="0.3">
      <c r="A349" s="180">
        <v>3227</v>
      </c>
      <c r="B349" s="204" t="s">
        <v>22</v>
      </c>
      <c r="C349" s="182">
        <v>3000</v>
      </c>
      <c r="D349" s="182"/>
      <c r="E349" s="182"/>
      <c r="F349" s="182">
        <f t="shared" si="348"/>
        <v>3000</v>
      </c>
      <c r="G349" s="182">
        <v>3000</v>
      </c>
      <c r="H349" s="182">
        <v>3000</v>
      </c>
      <c r="I349" s="182">
        <v>3000</v>
      </c>
      <c r="J349" s="220"/>
      <c r="K349" s="220"/>
      <c r="L349" s="220">
        <f t="shared" si="354"/>
        <v>3000</v>
      </c>
      <c r="M349" s="182">
        <v>3000</v>
      </c>
      <c r="N349" s="182">
        <v>3000</v>
      </c>
      <c r="O349" s="182">
        <v>3000</v>
      </c>
      <c r="P349" s="182">
        <v>3000</v>
      </c>
      <c r="Q349" s="182">
        <v>3000</v>
      </c>
    </row>
    <row r="350" spans="1:17" customFormat="1" ht="14.4" x14ac:dyDescent="0.3">
      <c r="A350" s="188">
        <v>323</v>
      </c>
      <c r="B350" s="178" t="s">
        <v>23</v>
      </c>
      <c r="C350" s="221">
        <f t="shared" ref="C350:F350" si="355">SUM(C351:C358)</f>
        <v>69000</v>
      </c>
      <c r="D350" s="221">
        <f t="shared" si="355"/>
        <v>0</v>
      </c>
      <c r="E350" s="221">
        <f t="shared" si="355"/>
        <v>160000</v>
      </c>
      <c r="F350" s="221">
        <f t="shared" si="355"/>
        <v>229000</v>
      </c>
      <c r="G350" s="221">
        <f t="shared" ref="G350:H350" si="356">SUM(G351:G358)</f>
        <v>69000</v>
      </c>
      <c r="H350" s="221">
        <f t="shared" si="356"/>
        <v>69000</v>
      </c>
      <c r="I350" s="221">
        <f t="shared" ref="I350:N350" si="357">SUM(I351:I358)</f>
        <v>69000</v>
      </c>
      <c r="J350" s="221">
        <f t="shared" si="357"/>
        <v>0</v>
      </c>
      <c r="K350" s="221">
        <f t="shared" si="357"/>
        <v>0</v>
      </c>
      <c r="L350" s="221">
        <f t="shared" si="357"/>
        <v>69000</v>
      </c>
      <c r="M350" s="221">
        <f t="shared" si="357"/>
        <v>69000</v>
      </c>
      <c r="N350" s="221">
        <f t="shared" si="357"/>
        <v>69000</v>
      </c>
      <c r="O350" s="221">
        <f t="shared" ref="O350:P350" si="358">SUM(O351:O358)</f>
        <v>69000</v>
      </c>
      <c r="P350" s="221">
        <f t="shared" si="358"/>
        <v>69000</v>
      </c>
      <c r="Q350" s="221">
        <f t="shared" ref="Q350" si="359">SUM(Q351:Q358)</f>
        <v>69000</v>
      </c>
    </row>
    <row r="351" spans="1:17" customFormat="1" ht="14.4" x14ac:dyDescent="0.3">
      <c r="A351" s="180">
        <v>3231</v>
      </c>
      <c r="B351" s="204" t="s">
        <v>24</v>
      </c>
      <c r="C351" s="182">
        <v>3000</v>
      </c>
      <c r="D351" s="182"/>
      <c r="E351" s="182">
        <v>3000</v>
      </c>
      <c r="F351" s="182">
        <f t="shared" si="348"/>
        <v>6000</v>
      </c>
      <c r="G351" s="182">
        <v>3000</v>
      </c>
      <c r="H351" s="182">
        <v>3000</v>
      </c>
      <c r="I351" s="182">
        <v>3000</v>
      </c>
      <c r="J351" s="220"/>
      <c r="K351" s="220"/>
      <c r="L351" s="220">
        <f>I351-J351+K351</f>
        <v>3000</v>
      </c>
      <c r="M351" s="182">
        <v>3000</v>
      </c>
      <c r="N351" s="182">
        <v>3000</v>
      </c>
      <c r="O351" s="182">
        <v>3000</v>
      </c>
      <c r="P351" s="182">
        <v>3000</v>
      </c>
      <c r="Q351" s="182">
        <v>3000</v>
      </c>
    </row>
    <row r="352" spans="1:17" customFormat="1" ht="14.4" x14ac:dyDescent="0.3">
      <c r="A352" s="180">
        <v>3232</v>
      </c>
      <c r="B352" s="204" t="s">
        <v>25</v>
      </c>
      <c r="C352" s="182">
        <v>25000</v>
      </c>
      <c r="D352" s="182"/>
      <c r="E352" s="182"/>
      <c r="F352" s="182">
        <f t="shared" si="348"/>
        <v>25000</v>
      </c>
      <c r="G352" s="182">
        <v>25000</v>
      </c>
      <c r="H352" s="182">
        <v>25000</v>
      </c>
      <c r="I352" s="182">
        <v>25000</v>
      </c>
      <c r="J352" s="220"/>
      <c r="K352" s="220"/>
      <c r="L352" s="220">
        <f>I352-J352+K352</f>
        <v>25000</v>
      </c>
      <c r="M352" s="182">
        <v>25000</v>
      </c>
      <c r="N352" s="182">
        <v>25000</v>
      </c>
      <c r="O352" s="182">
        <v>25000</v>
      </c>
      <c r="P352" s="182">
        <v>25000</v>
      </c>
      <c r="Q352" s="182">
        <v>25000</v>
      </c>
    </row>
    <row r="353" spans="1:17" customFormat="1" ht="14.4" x14ac:dyDescent="0.3">
      <c r="A353" s="180">
        <v>3233</v>
      </c>
      <c r="B353" s="204" t="s">
        <v>26</v>
      </c>
      <c r="C353" s="182">
        <v>20000</v>
      </c>
      <c r="D353" s="182"/>
      <c r="E353" s="182">
        <v>40000</v>
      </c>
      <c r="F353" s="182">
        <f t="shared" si="348"/>
        <v>60000</v>
      </c>
      <c r="G353" s="182">
        <v>20000</v>
      </c>
      <c r="H353" s="182">
        <v>20000</v>
      </c>
      <c r="I353" s="182">
        <v>20000</v>
      </c>
      <c r="J353" s="220"/>
      <c r="K353" s="220"/>
      <c r="L353" s="220">
        <f>I353-J353+K353</f>
        <v>20000</v>
      </c>
      <c r="M353" s="182">
        <v>20000</v>
      </c>
      <c r="N353" s="182">
        <v>20000</v>
      </c>
      <c r="O353" s="182">
        <v>20000</v>
      </c>
      <c r="P353" s="182">
        <v>20000</v>
      </c>
      <c r="Q353" s="182">
        <v>20000</v>
      </c>
    </row>
    <row r="354" spans="1:17" customFormat="1" ht="0.6" hidden="1" customHeight="1" x14ac:dyDescent="0.3">
      <c r="A354" s="222">
        <v>3235</v>
      </c>
      <c r="B354" s="223" t="s">
        <v>28</v>
      </c>
      <c r="C354" s="220"/>
      <c r="D354" s="220"/>
      <c r="E354" s="220">
        <v>20000</v>
      </c>
      <c r="F354" s="182">
        <f t="shared" si="348"/>
        <v>20000</v>
      </c>
      <c r="G354" s="220"/>
      <c r="H354" s="220"/>
      <c r="I354" s="220"/>
      <c r="J354" s="220"/>
      <c r="K354" s="220"/>
      <c r="L354" s="220"/>
      <c r="M354" s="220"/>
      <c r="N354" s="220"/>
      <c r="O354" s="220"/>
      <c r="P354" s="220"/>
      <c r="Q354" s="220"/>
    </row>
    <row r="355" spans="1:17" customFormat="1" ht="14.4" x14ac:dyDescent="0.3">
      <c r="A355" s="180">
        <v>3236</v>
      </c>
      <c r="B355" s="204" t="s">
        <v>29</v>
      </c>
      <c r="C355" s="182">
        <v>2000</v>
      </c>
      <c r="D355" s="182"/>
      <c r="E355" s="182"/>
      <c r="F355" s="182">
        <f t="shared" si="348"/>
        <v>2000</v>
      </c>
      <c r="G355" s="182">
        <v>2000</v>
      </c>
      <c r="H355" s="182">
        <v>2000</v>
      </c>
      <c r="I355" s="182">
        <v>2000</v>
      </c>
      <c r="J355" s="220"/>
      <c r="K355" s="220"/>
      <c r="L355" s="220">
        <f>I355-J355+K355</f>
        <v>2000</v>
      </c>
      <c r="M355" s="182">
        <v>2000</v>
      </c>
      <c r="N355" s="182">
        <v>2000</v>
      </c>
      <c r="O355" s="182">
        <v>2000</v>
      </c>
      <c r="P355" s="182">
        <v>2000</v>
      </c>
      <c r="Q355" s="182">
        <v>2000</v>
      </c>
    </row>
    <row r="356" spans="1:17" customFormat="1" ht="14.4" x14ac:dyDescent="0.3">
      <c r="A356" s="180">
        <v>3237</v>
      </c>
      <c r="B356" s="204" t="s">
        <v>30</v>
      </c>
      <c r="C356" s="182">
        <v>13000</v>
      </c>
      <c r="D356" s="182"/>
      <c r="E356" s="182"/>
      <c r="F356" s="182">
        <f t="shared" si="348"/>
        <v>13000</v>
      </c>
      <c r="G356" s="182">
        <v>13000</v>
      </c>
      <c r="H356" s="182">
        <v>13000</v>
      </c>
      <c r="I356" s="182">
        <v>13000</v>
      </c>
      <c r="J356" s="220"/>
      <c r="K356" s="220"/>
      <c r="L356" s="220">
        <f>I356-J356+K356</f>
        <v>13000</v>
      </c>
      <c r="M356" s="182">
        <v>13000</v>
      </c>
      <c r="N356" s="182">
        <v>13000</v>
      </c>
      <c r="O356" s="182">
        <v>13000</v>
      </c>
      <c r="P356" s="182">
        <v>13000</v>
      </c>
      <c r="Q356" s="182">
        <v>13000</v>
      </c>
    </row>
    <row r="357" spans="1:17" customFormat="1" ht="14.4" x14ac:dyDescent="0.3">
      <c r="A357" s="180">
        <v>3238</v>
      </c>
      <c r="B357" s="181" t="s">
        <v>70</v>
      </c>
      <c r="C357" s="182">
        <v>3000</v>
      </c>
      <c r="D357" s="182"/>
      <c r="E357" s="182"/>
      <c r="F357" s="182">
        <f t="shared" si="348"/>
        <v>3000</v>
      </c>
      <c r="G357" s="182">
        <v>3000</v>
      </c>
      <c r="H357" s="182">
        <v>3000</v>
      </c>
      <c r="I357" s="182">
        <v>3000</v>
      </c>
      <c r="J357" s="220"/>
      <c r="K357" s="220"/>
      <c r="L357" s="220">
        <f>I357-J357+K357</f>
        <v>3000</v>
      </c>
      <c r="M357" s="182">
        <v>3000</v>
      </c>
      <c r="N357" s="182">
        <v>3000</v>
      </c>
      <c r="O357" s="182">
        <v>3000</v>
      </c>
      <c r="P357" s="182">
        <v>3000</v>
      </c>
      <c r="Q357" s="182">
        <v>3000</v>
      </c>
    </row>
    <row r="358" spans="1:17" customFormat="1" ht="14.4" x14ac:dyDescent="0.3">
      <c r="A358" s="180">
        <v>3239</v>
      </c>
      <c r="B358" s="204" t="s">
        <v>31</v>
      </c>
      <c r="C358" s="182">
        <v>3000</v>
      </c>
      <c r="D358" s="182"/>
      <c r="E358" s="182">
        <v>97000</v>
      </c>
      <c r="F358" s="182">
        <f t="shared" si="348"/>
        <v>100000</v>
      </c>
      <c r="G358" s="182">
        <v>3000</v>
      </c>
      <c r="H358" s="182">
        <v>3000</v>
      </c>
      <c r="I358" s="182">
        <v>3000</v>
      </c>
      <c r="J358" s="220"/>
      <c r="K358" s="220"/>
      <c r="L358" s="220">
        <f>I358-J358+K358</f>
        <v>3000</v>
      </c>
      <c r="M358" s="182">
        <v>3000</v>
      </c>
      <c r="N358" s="182">
        <v>3000</v>
      </c>
      <c r="O358" s="182">
        <v>3000</v>
      </c>
      <c r="P358" s="182">
        <v>3000</v>
      </c>
      <c r="Q358" s="182">
        <v>3000</v>
      </c>
    </row>
    <row r="359" spans="1:17" customFormat="1" ht="14.4" x14ac:dyDescent="0.3">
      <c r="A359" s="188">
        <v>329</v>
      </c>
      <c r="B359" s="178" t="s">
        <v>33</v>
      </c>
      <c r="C359" s="221">
        <f t="shared" ref="C359:F359" si="360">SUM(C360:C363)</f>
        <v>24000</v>
      </c>
      <c r="D359" s="221">
        <f t="shared" si="360"/>
        <v>0</v>
      </c>
      <c r="E359" s="221">
        <f t="shared" si="360"/>
        <v>0</v>
      </c>
      <c r="F359" s="221">
        <f t="shared" si="360"/>
        <v>24000</v>
      </c>
      <c r="G359" s="221">
        <f t="shared" ref="G359:H359" si="361">SUM(G360:G363)</f>
        <v>24000</v>
      </c>
      <c r="H359" s="221">
        <f t="shared" si="361"/>
        <v>24000</v>
      </c>
      <c r="I359" s="221">
        <f t="shared" ref="I359:N359" si="362">SUM(I360:I363)</f>
        <v>24000</v>
      </c>
      <c r="J359" s="221">
        <f t="shared" si="362"/>
        <v>0</v>
      </c>
      <c r="K359" s="221">
        <f t="shared" si="362"/>
        <v>0</v>
      </c>
      <c r="L359" s="221">
        <f t="shared" si="362"/>
        <v>24000</v>
      </c>
      <c r="M359" s="221">
        <f t="shared" si="362"/>
        <v>24000</v>
      </c>
      <c r="N359" s="221">
        <f t="shared" si="362"/>
        <v>24000</v>
      </c>
      <c r="O359" s="221">
        <f t="shared" ref="O359:P359" si="363">SUM(O360:O363)</f>
        <v>24000</v>
      </c>
      <c r="P359" s="221">
        <f t="shared" si="363"/>
        <v>24000</v>
      </c>
      <c r="Q359" s="221">
        <f t="shared" ref="Q359" si="364">SUM(Q360:Q363)</f>
        <v>24000</v>
      </c>
    </row>
    <row r="360" spans="1:17" customFormat="1" ht="14.4" x14ac:dyDescent="0.3">
      <c r="A360" s="180">
        <v>3292</v>
      </c>
      <c r="B360" s="204" t="s">
        <v>35</v>
      </c>
      <c r="C360" s="182">
        <v>3000</v>
      </c>
      <c r="D360" s="182"/>
      <c r="E360" s="182"/>
      <c r="F360" s="182">
        <f t="shared" si="348"/>
        <v>3000</v>
      </c>
      <c r="G360" s="182">
        <v>3000</v>
      </c>
      <c r="H360" s="182">
        <v>3000</v>
      </c>
      <c r="I360" s="182">
        <v>3000</v>
      </c>
      <c r="J360" s="220"/>
      <c r="K360" s="220"/>
      <c r="L360" s="220">
        <f>I360-J360+K360</f>
        <v>3000</v>
      </c>
      <c r="M360" s="182">
        <v>3000</v>
      </c>
      <c r="N360" s="182">
        <v>3000</v>
      </c>
      <c r="O360" s="182">
        <v>3000</v>
      </c>
      <c r="P360" s="182">
        <v>3000</v>
      </c>
      <c r="Q360" s="182">
        <v>3000</v>
      </c>
    </row>
    <row r="361" spans="1:17" customFormat="1" ht="14.4" x14ac:dyDescent="0.3">
      <c r="A361" s="189">
        <v>3293</v>
      </c>
      <c r="B361" s="190" t="s">
        <v>36</v>
      </c>
      <c r="C361" s="182">
        <v>13000</v>
      </c>
      <c r="D361" s="182"/>
      <c r="E361" s="182"/>
      <c r="F361" s="182">
        <f t="shared" si="348"/>
        <v>13000</v>
      </c>
      <c r="G361" s="182">
        <v>13000</v>
      </c>
      <c r="H361" s="182">
        <v>13000</v>
      </c>
      <c r="I361" s="182">
        <v>13000</v>
      </c>
      <c r="J361" s="220"/>
      <c r="K361" s="220"/>
      <c r="L361" s="220">
        <f>I361-J361+K361</f>
        <v>13000</v>
      </c>
      <c r="M361" s="182">
        <v>13000</v>
      </c>
      <c r="N361" s="182">
        <v>13000</v>
      </c>
      <c r="O361" s="182">
        <v>13000</v>
      </c>
      <c r="P361" s="182">
        <v>13000</v>
      </c>
      <c r="Q361" s="182">
        <v>13000</v>
      </c>
    </row>
    <row r="362" spans="1:17" customFormat="1" ht="14.4" x14ac:dyDescent="0.3">
      <c r="A362" s="180">
        <v>3295</v>
      </c>
      <c r="B362" s="204" t="s">
        <v>38</v>
      </c>
      <c r="C362" s="182">
        <v>1000</v>
      </c>
      <c r="D362" s="182"/>
      <c r="E362" s="182"/>
      <c r="F362" s="182">
        <f t="shared" si="348"/>
        <v>1000</v>
      </c>
      <c r="G362" s="182">
        <v>1000</v>
      </c>
      <c r="H362" s="182">
        <v>1000</v>
      </c>
      <c r="I362" s="182">
        <v>1000</v>
      </c>
      <c r="J362" s="220"/>
      <c r="K362" s="220"/>
      <c r="L362" s="220">
        <f>I362-J362+K362</f>
        <v>1000</v>
      </c>
      <c r="M362" s="182">
        <v>1000</v>
      </c>
      <c r="N362" s="182">
        <v>1000</v>
      </c>
      <c r="O362" s="182">
        <v>1000</v>
      </c>
      <c r="P362" s="182">
        <v>1000</v>
      </c>
      <c r="Q362" s="182">
        <v>1000</v>
      </c>
    </row>
    <row r="363" spans="1:17" customFormat="1" ht="14.4" x14ac:dyDescent="0.3">
      <c r="A363" s="180">
        <v>3299</v>
      </c>
      <c r="B363" s="204" t="s">
        <v>33</v>
      </c>
      <c r="C363" s="182">
        <v>7000</v>
      </c>
      <c r="D363" s="182"/>
      <c r="E363" s="182"/>
      <c r="F363" s="182">
        <f t="shared" si="348"/>
        <v>7000</v>
      </c>
      <c r="G363" s="182">
        <v>7000</v>
      </c>
      <c r="H363" s="182">
        <v>7000</v>
      </c>
      <c r="I363" s="182">
        <v>7000</v>
      </c>
      <c r="J363" s="220"/>
      <c r="K363" s="220"/>
      <c r="L363" s="220">
        <f>I363-J363+K363</f>
        <v>7000</v>
      </c>
      <c r="M363" s="182">
        <v>7000</v>
      </c>
      <c r="N363" s="182">
        <v>7000</v>
      </c>
      <c r="O363" s="182">
        <v>7000</v>
      </c>
      <c r="P363" s="182">
        <v>7000</v>
      </c>
      <c r="Q363" s="182">
        <v>7000</v>
      </c>
    </row>
    <row r="364" spans="1:17" customFormat="1" ht="14.4" x14ac:dyDescent="0.3">
      <c r="A364" s="174" t="s">
        <v>319</v>
      </c>
      <c r="B364" s="186" t="s">
        <v>320</v>
      </c>
      <c r="C364" s="176">
        <f>SUM(C365)</f>
        <v>2000</v>
      </c>
      <c r="D364" s="176">
        <f t="shared" ref="D364:Q364" si="365">SUM(D365)</f>
        <v>0</v>
      </c>
      <c r="E364" s="176">
        <f t="shared" si="365"/>
        <v>0</v>
      </c>
      <c r="F364" s="176">
        <f t="shared" si="365"/>
        <v>2000</v>
      </c>
      <c r="G364" s="176">
        <f>SUM(G365)</f>
        <v>2000</v>
      </c>
      <c r="H364" s="176">
        <f>SUM(H365)</f>
        <v>2000</v>
      </c>
      <c r="I364" s="176">
        <f t="shared" si="365"/>
        <v>2000</v>
      </c>
      <c r="J364" s="176">
        <f t="shared" si="365"/>
        <v>0</v>
      </c>
      <c r="K364" s="176">
        <f t="shared" si="365"/>
        <v>0</v>
      </c>
      <c r="L364" s="176">
        <f t="shared" si="365"/>
        <v>2000</v>
      </c>
      <c r="M364" s="176">
        <f t="shared" si="365"/>
        <v>2000</v>
      </c>
      <c r="N364" s="176">
        <f t="shared" si="365"/>
        <v>2000</v>
      </c>
      <c r="O364" s="176">
        <f t="shared" si="365"/>
        <v>2000</v>
      </c>
      <c r="P364" s="176">
        <f t="shared" si="365"/>
        <v>2000</v>
      </c>
      <c r="Q364" s="176">
        <f t="shared" si="365"/>
        <v>2000</v>
      </c>
    </row>
    <row r="365" spans="1:17" customFormat="1" ht="14.4" x14ac:dyDescent="0.3">
      <c r="A365" s="177">
        <v>343</v>
      </c>
      <c r="B365" s="178" t="s">
        <v>40</v>
      </c>
      <c r="C365" s="221">
        <f t="shared" ref="C365:F365" si="366">SUM(C366:C367)</f>
        <v>2000</v>
      </c>
      <c r="D365" s="221">
        <f t="shared" si="366"/>
        <v>0</v>
      </c>
      <c r="E365" s="221">
        <f t="shared" si="366"/>
        <v>0</v>
      </c>
      <c r="F365" s="221">
        <f t="shared" si="366"/>
        <v>2000</v>
      </c>
      <c r="G365" s="221">
        <f t="shared" ref="G365:H365" si="367">SUM(G366:G367)</f>
        <v>2000</v>
      </c>
      <c r="H365" s="221">
        <f t="shared" si="367"/>
        <v>2000</v>
      </c>
      <c r="I365" s="221">
        <f t="shared" ref="I365:M365" si="368">SUM(I366:I367)</f>
        <v>2000</v>
      </c>
      <c r="J365" s="221">
        <f t="shared" si="368"/>
        <v>0</v>
      </c>
      <c r="K365" s="221">
        <f t="shared" si="368"/>
        <v>0</v>
      </c>
      <c r="L365" s="221">
        <f t="shared" si="368"/>
        <v>2000</v>
      </c>
      <c r="M365" s="221">
        <f t="shared" si="368"/>
        <v>2000</v>
      </c>
      <c r="N365" s="221">
        <f t="shared" ref="N365:O365" si="369">SUM(N366:N367)</f>
        <v>2000</v>
      </c>
      <c r="O365" s="221">
        <f t="shared" si="369"/>
        <v>2000</v>
      </c>
      <c r="P365" s="221">
        <f t="shared" ref="P365:Q365" si="370">SUM(P366:P367)</f>
        <v>2000</v>
      </c>
      <c r="Q365" s="221">
        <f t="shared" si="370"/>
        <v>2000</v>
      </c>
    </row>
    <row r="366" spans="1:17" customFormat="1" ht="14.4" x14ac:dyDescent="0.3">
      <c r="A366" s="180">
        <v>3431</v>
      </c>
      <c r="B366" s="204" t="s">
        <v>41</v>
      </c>
      <c r="C366" s="182">
        <v>2000</v>
      </c>
      <c r="D366" s="182"/>
      <c r="E366" s="182"/>
      <c r="F366" s="182">
        <f t="shared" ref="F366" si="371">C366-D366+E366</f>
        <v>2000</v>
      </c>
      <c r="G366" s="182">
        <v>2000</v>
      </c>
      <c r="H366" s="182">
        <v>2000</v>
      </c>
      <c r="I366" s="182">
        <v>2000</v>
      </c>
      <c r="J366" s="220"/>
      <c r="K366" s="220"/>
      <c r="L366" s="220">
        <f>I366-J366+K366</f>
        <v>2000</v>
      </c>
      <c r="M366" s="182">
        <v>2000</v>
      </c>
      <c r="N366" s="182">
        <v>2000</v>
      </c>
      <c r="O366" s="182">
        <v>2000</v>
      </c>
      <c r="P366" s="182">
        <v>2000</v>
      </c>
      <c r="Q366" s="182">
        <v>2000</v>
      </c>
    </row>
    <row r="367" spans="1:17" customFormat="1" ht="26.4" hidden="1" x14ac:dyDescent="0.3">
      <c r="A367" s="180">
        <v>3432</v>
      </c>
      <c r="B367" s="181" t="s">
        <v>89</v>
      </c>
      <c r="C367" s="182"/>
      <c r="D367" s="182"/>
      <c r="E367" s="182"/>
      <c r="F367" s="182"/>
      <c r="G367" s="182"/>
      <c r="H367" s="182"/>
      <c r="I367" s="182"/>
      <c r="J367" s="220"/>
      <c r="K367" s="220"/>
      <c r="L367" s="220"/>
      <c r="M367" s="182"/>
      <c r="N367" s="182"/>
      <c r="O367" s="182"/>
      <c r="P367" s="182"/>
      <c r="Q367" s="182"/>
    </row>
    <row r="368" spans="1:17" customFormat="1" ht="26.4" x14ac:dyDescent="0.3">
      <c r="A368" s="174" t="s">
        <v>323</v>
      </c>
      <c r="B368" s="186" t="s">
        <v>324</v>
      </c>
      <c r="C368" s="176">
        <f>SUM(C369)</f>
        <v>59000</v>
      </c>
      <c r="D368" s="176">
        <f t="shared" ref="D368:Q368" si="372">SUM(D369)</f>
        <v>0</v>
      </c>
      <c r="E368" s="176">
        <f t="shared" si="372"/>
        <v>201000</v>
      </c>
      <c r="F368" s="176">
        <f t="shared" si="372"/>
        <v>260000</v>
      </c>
      <c r="G368" s="176">
        <f>SUM(G369)</f>
        <v>22000</v>
      </c>
      <c r="H368" s="176">
        <f>SUM(H369)</f>
        <v>22000</v>
      </c>
      <c r="I368" s="176">
        <f t="shared" si="372"/>
        <v>22000</v>
      </c>
      <c r="J368" s="176">
        <f t="shared" si="372"/>
        <v>0</v>
      </c>
      <c r="K368" s="176">
        <f t="shared" si="372"/>
        <v>0</v>
      </c>
      <c r="L368" s="176">
        <f t="shared" si="372"/>
        <v>22000</v>
      </c>
      <c r="M368" s="176">
        <f t="shared" si="372"/>
        <v>22000</v>
      </c>
      <c r="N368" s="176">
        <f t="shared" si="372"/>
        <v>22000</v>
      </c>
      <c r="O368" s="176">
        <f t="shared" si="372"/>
        <v>22000</v>
      </c>
      <c r="P368" s="176">
        <f t="shared" si="372"/>
        <v>22000</v>
      </c>
      <c r="Q368" s="176">
        <f t="shared" si="372"/>
        <v>22000</v>
      </c>
    </row>
    <row r="369" spans="1:17" customFormat="1" ht="14.4" x14ac:dyDescent="0.3">
      <c r="A369" s="188">
        <v>422</v>
      </c>
      <c r="B369" s="192" t="s">
        <v>53</v>
      </c>
      <c r="C369" s="221">
        <f t="shared" ref="C369:F369" si="373">SUM(C370:C373)</f>
        <v>59000</v>
      </c>
      <c r="D369" s="221">
        <f t="shared" si="373"/>
        <v>0</v>
      </c>
      <c r="E369" s="221">
        <f t="shared" si="373"/>
        <v>201000</v>
      </c>
      <c r="F369" s="221">
        <f t="shared" si="373"/>
        <v>260000</v>
      </c>
      <c r="G369" s="221">
        <f t="shared" ref="G369:H369" si="374">SUM(G370:G373)</f>
        <v>22000</v>
      </c>
      <c r="H369" s="221">
        <f t="shared" si="374"/>
        <v>22000</v>
      </c>
      <c r="I369" s="221">
        <f t="shared" ref="I369:N369" si="375">SUM(I370:I373)</f>
        <v>22000</v>
      </c>
      <c r="J369" s="221">
        <f t="shared" si="375"/>
        <v>0</v>
      </c>
      <c r="K369" s="221">
        <f t="shared" si="375"/>
        <v>0</v>
      </c>
      <c r="L369" s="221">
        <f t="shared" si="375"/>
        <v>22000</v>
      </c>
      <c r="M369" s="221">
        <f t="shared" si="375"/>
        <v>22000</v>
      </c>
      <c r="N369" s="221">
        <f t="shared" si="375"/>
        <v>22000</v>
      </c>
      <c r="O369" s="221">
        <f t="shared" ref="O369:P369" si="376">SUM(O370:O373)</f>
        <v>22000</v>
      </c>
      <c r="P369" s="221">
        <f t="shared" si="376"/>
        <v>22000</v>
      </c>
      <c r="Q369" s="221">
        <f t="shared" ref="Q369" si="377">SUM(Q370:Q373)</f>
        <v>22000</v>
      </c>
    </row>
    <row r="370" spans="1:17" customFormat="1" ht="14.4" x14ac:dyDescent="0.3">
      <c r="A370" s="189">
        <v>4221</v>
      </c>
      <c r="B370" s="190" t="s">
        <v>54</v>
      </c>
      <c r="C370" s="197">
        <v>21000</v>
      </c>
      <c r="D370" s="197"/>
      <c r="E370" s="197">
        <v>29000</v>
      </c>
      <c r="F370" s="182">
        <f t="shared" ref="F370:F373" si="378">C370-D370+E370</f>
        <v>50000</v>
      </c>
      <c r="G370" s="197">
        <v>5000</v>
      </c>
      <c r="H370" s="197">
        <v>5000</v>
      </c>
      <c r="I370" s="197">
        <v>5000</v>
      </c>
      <c r="J370" s="295"/>
      <c r="K370" s="295"/>
      <c r="L370" s="220">
        <f>I370-J370+K370</f>
        <v>5000</v>
      </c>
      <c r="M370" s="197">
        <v>5000</v>
      </c>
      <c r="N370" s="197">
        <v>5000</v>
      </c>
      <c r="O370" s="197">
        <v>5000</v>
      </c>
      <c r="P370" s="197">
        <v>5000</v>
      </c>
      <c r="Q370" s="197">
        <v>5000</v>
      </c>
    </row>
    <row r="371" spans="1:17" customFormat="1" ht="14.4" x14ac:dyDescent="0.3">
      <c r="A371" s="189">
        <v>4222</v>
      </c>
      <c r="B371" s="190" t="s">
        <v>58</v>
      </c>
      <c r="C371" s="197">
        <v>20000</v>
      </c>
      <c r="D371" s="197"/>
      <c r="E371" s="197">
        <v>70000</v>
      </c>
      <c r="F371" s="182">
        <f t="shared" si="378"/>
        <v>90000</v>
      </c>
      <c r="G371" s="197">
        <v>13000</v>
      </c>
      <c r="H371" s="197">
        <v>13000</v>
      </c>
      <c r="I371" s="197">
        <v>13000</v>
      </c>
      <c r="J371" s="295"/>
      <c r="K371" s="295"/>
      <c r="L371" s="220">
        <f>I371-J371+K371</f>
        <v>13000</v>
      </c>
      <c r="M371" s="197">
        <v>13000</v>
      </c>
      <c r="N371" s="197">
        <v>13000</v>
      </c>
      <c r="O371" s="197">
        <v>13000</v>
      </c>
      <c r="P371" s="197">
        <v>13000</v>
      </c>
      <c r="Q371" s="197">
        <v>13000</v>
      </c>
    </row>
    <row r="372" spans="1:17" customFormat="1" ht="14.4" x14ac:dyDescent="0.3">
      <c r="A372" s="180">
        <v>4223</v>
      </c>
      <c r="B372" s="204" t="s">
        <v>59</v>
      </c>
      <c r="C372" s="182">
        <v>6000</v>
      </c>
      <c r="D372" s="182"/>
      <c r="E372" s="182">
        <v>14000</v>
      </c>
      <c r="F372" s="182">
        <f t="shared" si="378"/>
        <v>20000</v>
      </c>
      <c r="G372" s="182">
        <v>1000</v>
      </c>
      <c r="H372" s="182">
        <v>1000</v>
      </c>
      <c r="I372" s="182">
        <v>1000</v>
      </c>
      <c r="J372" s="220"/>
      <c r="K372" s="220"/>
      <c r="L372" s="220">
        <f>I372-J372+K372</f>
        <v>1000</v>
      </c>
      <c r="M372" s="182">
        <v>1000</v>
      </c>
      <c r="N372" s="182">
        <v>1000</v>
      </c>
      <c r="O372" s="182">
        <v>1000</v>
      </c>
      <c r="P372" s="182">
        <v>1000</v>
      </c>
      <c r="Q372" s="182">
        <v>1000</v>
      </c>
    </row>
    <row r="373" spans="1:17" customFormat="1" ht="14.25" customHeight="1" x14ac:dyDescent="0.3">
      <c r="A373" s="180">
        <v>4227</v>
      </c>
      <c r="B373" s="204" t="s">
        <v>60</v>
      </c>
      <c r="C373" s="182">
        <v>12000</v>
      </c>
      <c r="D373" s="182"/>
      <c r="E373" s="182">
        <v>88000</v>
      </c>
      <c r="F373" s="182">
        <f t="shared" si="378"/>
        <v>100000</v>
      </c>
      <c r="G373" s="182">
        <v>3000</v>
      </c>
      <c r="H373" s="182">
        <v>3000</v>
      </c>
      <c r="I373" s="182">
        <v>3000</v>
      </c>
      <c r="J373" s="220"/>
      <c r="K373" s="220"/>
      <c r="L373" s="220">
        <f>I373-J373+K373</f>
        <v>3000</v>
      </c>
      <c r="M373" s="182">
        <v>3000</v>
      </c>
      <c r="N373" s="182">
        <v>3000</v>
      </c>
      <c r="O373" s="182">
        <v>3000</v>
      </c>
      <c r="P373" s="182">
        <v>3000</v>
      </c>
      <c r="Q373" s="182">
        <v>3000</v>
      </c>
    </row>
    <row r="374" spans="1:17" customFormat="1" ht="0.75" hidden="1" customHeight="1" x14ac:dyDescent="0.3">
      <c r="A374" s="170" t="s">
        <v>84</v>
      </c>
      <c r="B374" s="171" t="s">
        <v>85</v>
      </c>
      <c r="C374" s="172">
        <f t="shared" ref="C374:D374" si="379">SUM(C375)</f>
        <v>0</v>
      </c>
      <c r="D374" s="172">
        <f t="shared" si="379"/>
        <v>0</v>
      </c>
      <c r="E374" s="172"/>
      <c r="F374" s="172"/>
      <c r="G374" s="172"/>
      <c r="H374" s="172"/>
      <c r="I374" s="172"/>
      <c r="J374" s="384"/>
      <c r="K374" s="384"/>
      <c r="L374" s="384"/>
      <c r="M374" s="172"/>
      <c r="N374" s="172"/>
      <c r="O374" s="172"/>
      <c r="P374" s="172"/>
      <c r="Q374" s="172"/>
    </row>
    <row r="375" spans="1:17" customFormat="1" ht="18" hidden="1" customHeight="1" x14ac:dyDescent="0.3">
      <c r="A375" s="721" t="s">
        <v>106</v>
      </c>
      <c r="B375" s="721"/>
      <c r="C375" s="173">
        <f t="shared" ref="C375:D375" si="380">SUM(C376,C378)</f>
        <v>0</v>
      </c>
      <c r="D375" s="173">
        <f t="shared" si="380"/>
        <v>0</v>
      </c>
      <c r="E375" s="173"/>
      <c r="F375" s="173"/>
      <c r="G375" s="173"/>
      <c r="H375" s="173"/>
      <c r="I375" s="173"/>
      <c r="J375" s="385"/>
      <c r="K375" s="385"/>
      <c r="L375" s="385"/>
      <c r="M375" s="173"/>
      <c r="N375" s="173"/>
      <c r="O375" s="173"/>
      <c r="P375" s="173"/>
      <c r="Q375" s="173"/>
    </row>
    <row r="376" spans="1:17" customFormat="1" ht="14.4" hidden="1" x14ac:dyDescent="0.3">
      <c r="A376" s="188">
        <v>323</v>
      </c>
      <c r="B376" s="178" t="s">
        <v>23</v>
      </c>
      <c r="C376" s="179">
        <f t="shared" ref="C376:D376" si="381">SUM(C377)</f>
        <v>0</v>
      </c>
      <c r="D376" s="179">
        <f t="shared" si="381"/>
        <v>0</v>
      </c>
      <c r="E376" s="179"/>
      <c r="F376" s="179"/>
      <c r="G376" s="179"/>
      <c r="H376" s="179"/>
      <c r="I376" s="179"/>
      <c r="J376" s="219"/>
      <c r="K376" s="219"/>
      <c r="L376" s="219"/>
      <c r="M376" s="179"/>
      <c r="N376" s="179"/>
      <c r="O376" s="179"/>
      <c r="P376" s="179"/>
      <c r="Q376" s="179"/>
    </row>
    <row r="377" spans="1:17" customFormat="1" ht="14.4" hidden="1" x14ac:dyDescent="0.3">
      <c r="A377" s="189">
        <v>3237</v>
      </c>
      <c r="B377" s="190" t="s">
        <v>30</v>
      </c>
      <c r="C377" s="182"/>
      <c r="D377" s="182"/>
      <c r="E377" s="182"/>
      <c r="F377" s="182"/>
      <c r="G377" s="182"/>
      <c r="H377" s="182"/>
      <c r="I377" s="182"/>
      <c r="J377" s="220"/>
      <c r="K377" s="220"/>
      <c r="L377" s="220"/>
      <c r="M377" s="182"/>
      <c r="N377" s="182"/>
      <c r="O377" s="182"/>
      <c r="P377" s="182"/>
      <c r="Q377" s="182"/>
    </row>
    <row r="378" spans="1:17" customFormat="1" ht="14.4" hidden="1" x14ac:dyDescent="0.3">
      <c r="A378" s="188">
        <v>422</v>
      </c>
      <c r="B378" s="192" t="s">
        <v>53</v>
      </c>
      <c r="C378" s="179">
        <f t="shared" ref="C378:D378" si="382">SUM(C379)</f>
        <v>0</v>
      </c>
      <c r="D378" s="179">
        <f t="shared" si="382"/>
        <v>0</v>
      </c>
      <c r="E378" s="179"/>
      <c r="F378" s="179"/>
      <c r="G378" s="179"/>
      <c r="H378" s="179"/>
      <c r="I378" s="179"/>
      <c r="J378" s="219"/>
      <c r="K378" s="219"/>
      <c r="L378" s="219"/>
      <c r="M378" s="179"/>
      <c r="N378" s="179"/>
      <c r="O378" s="179"/>
      <c r="P378" s="179"/>
      <c r="Q378" s="179"/>
    </row>
    <row r="379" spans="1:17" customFormat="1" ht="14.4" hidden="1" x14ac:dyDescent="0.3">
      <c r="A379" s="189">
        <v>4221</v>
      </c>
      <c r="B379" s="190" t="s">
        <v>54</v>
      </c>
      <c r="C379" s="182"/>
      <c r="D379" s="182"/>
      <c r="E379" s="182"/>
      <c r="F379" s="182"/>
      <c r="G379" s="182"/>
      <c r="H379" s="182"/>
      <c r="I379" s="182"/>
      <c r="J379" s="220"/>
      <c r="K379" s="220"/>
      <c r="L379" s="220"/>
      <c r="M379" s="182"/>
      <c r="N379" s="182"/>
      <c r="O379" s="182"/>
      <c r="P379" s="182"/>
      <c r="Q379" s="182"/>
    </row>
    <row r="380" spans="1:17" customFormat="1" ht="24.75" hidden="1" customHeight="1" x14ac:dyDescent="0.3">
      <c r="A380" s="170" t="s">
        <v>218</v>
      </c>
      <c r="B380" s="171" t="s">
        <v>245</v>
      </c>
      <c r="C380" s="172">
        <f t="shared" ref="C380:D382" si="383">SUM(C381)</f>
        <v>0</v>
      </c>
      <c r="D380" s="172">
        <f t="shared" si="383"/>
        <v>0</v>
      </c>
      <c r="E380" s="172"/>
      <c r="F380" s="172"/>
      <c r="G380" s="172"/>
      <c r="H380" s="172"/>
      <c r="I380" s="172"/>
      <c r="J380" s="384"/>
      <c r="K380" s="384"/>
      <c r="L380" s="384"/>
      <c r="M380" s="172"/>
      <c r="N380" s="172"/>
      <c r="O380" s="172"/>
      <c r="P380" s="172"/>
      <c r="Q380" s="172"/>
    </row>
    <row r="381" spans="1:17" customFormat="1" ht="18" hidden="1" customHeight="1" x14ac:dyDescent="0.3">
      <c r="A381" s="721" t="s">
        <v>106</v>
      </c>
      <c r="B381" s="721"/>
      <c r="C381" s="173">
        <f t="shared" si="383"/>
        <v>0</v>
      </c>
      <c r="D381" s="173">
        <f t="shared" si="383"/>
        <v>0</v>
      </c>
      <c r="E381" s="173"/>
      <c r="F381" s="173"/>
      <c r="G381" s="173"/>
      <c r="H381" s="173"/>
      <c r="I381" s="173"/>
      <c r="J381" s="385"/>
      <c r="K381" s="385"/>
      <c r="L381" s="385"/>
      <c r="M381" s="173"/>
      <c r="N381" s="173"/>
      <c r="O381" s="173"/>
      <c r="P381" s="173"/>
      <c r="Q381" s="173"/>
    </row>
    <row r="382" spans="1:17" customFormat="1" ht="14.4" hidden="1" x14ac:dyDescent="0.3">
      <c r="A382" s="188">
        <v>323</v>
      </c>
      <c r="B382" s="178" t="s">
        <v>23</v>
      </c>
      <c r="C382" s="179">
        <f t="shared" si="383"/>
        <v>0</v>
      </c>
      <c r="D382" s="179">
        <f t="shared" si="383"/>
        <v>0</v>
      </c>
      <c r="E382" s="179"/>
      <c r="F382" s="179"/>
      <c r="G382" s="179"/>
      <c r="H382" s="179"/>
      <c r="I382" s="179"/>
      <c r="J382" s="219"/>
      <c r="K382" s="219"/>
      <c r="L382" s="219"/>
      <c r="M382" s="179"/>
      <c r="N382" s="179"/>
      <c r="O382" s="179"/>
      <c r="P382" s="179"/>
      <c r="Q382" s="179"/>
    </row>
    <row r="383" spans="1:17" customFormat="1" ht="14.4" hidden="1" x14ac:dyDescent="0.3">
      <c r="A383" s="189">
        <v>3237</v>
      </c>
      <c r="B383" s="190" t="s">
        <v>30</v>
      </c>
      <c r="C383" s="182"/>
      <c r="D383" s="182"/>
      <c r="E383" s="182"/>
      <c r="F383" s="182"/>
      <c r="G383" s="182"/>
      <c r="H383" s="182"/>
      <c r="I383" s="182"/>
      <c r="J383" s="220"/>
      <c r="K383" s="220"/>
      <c r="L383" s="220"/>
      <c r="M383" s="182"/>
      <c r="N383" s="182"/>
      <c r="O383" s="182"/>
      <c r="P383" s="182"/>
      <c r="Q383" s="182"/>
    </row>
    <row r="384" spans="1:17" customFormat="1" ht="24.75" hidden="1" customHeight="1" x14ac:dyDescent="0.3">
      <c r="A384" s="170" t="s">
        <v>78</v>
      </c>
      <c r="B384" s="171" t="s">
        <v>79</v>
      </c>
      <c r="C384" s="172">
        <f t="shared" ref="C384:D386" si="384">SUM(C385)</f>
        <v>0</v>
      </c>
      <c r="D384" s="172">
        <f t="shared" si="384"/>
        <v>0</v>
      </c>
      <c r="E384" s="172"/>
      <c r="F384" s="172"/>
      <c r="G384" s="172"/>
      <c r="H384" s="172"/>
      <c r="I384" s="172"/>
      <c r="J384" s="384"/>
      <c r="K384" s="384"/>
      <c r="L384" s="384"/>
      <c r="M384" s="172"/>
      <c r="N384" s="172"/>
      <c r="O384" s="172"/>
      <c r="P384" s="172"/>
      <c r="Q384" s="172"/>
    </row>
    <row r="385" spans="1:17" customFormat="1" ht="18" hidden="1" customHeight="1" x14ac:dyDescent="0.3">
      <c r="A385" s="721" t="s">
        <v>106</v>
      </c>
      <c r="B385" s="721"/>
      <c r="C385" s="173">
        <f t="shared" ref="C385:D385" si="385">SUM(C386,C388)</f>
        <v>0</v>
      </c>
      <c r="D385" s="173">
        <f t="shared" si="385"/>
        <v>0</v>
      </c>
      <c r="E385" s="173"/>
      <c r="F385" s="173"/>
      <c r="G385" s="173"/>
      <c r="H385" s="173"/>
      <c r="I385" s="173"/>
      <c r="J385" s="385"/>
      <c r="K385" s="385"/>
      <c r="L385" s="385"/>
      <c r="M385" s="173"/>
      <c r="N385" s="173"/>
      <c r="O385" s="173"/>
      <c r="P385" s="173"/>
      <c r="Q385" s="173"/>
    </row>
    <row r="386" spans="1:17" customFormat="1" ht="14.4" hidden="1" x14ac:dyDescent="0.3">
      <c r="A386" s="177">
        <v>323</v>
      </c>
      <c r="B386" s="178" t="s">
        <v>23</v>
      </c>
      <c r="C386" s="179">
        <f t="shared" si="384"/>
        <v>0</v>
      </c>
      <c r="D386" s="179">
        <f t="shared" si="384"/>
        <v>0</v>
      </c>
      <c r="E386" s="179"/>
      <c r="F386" s="179"/>
      <c r="G386" s="179"/>
      <c r="H386" s="179"/>
      <c r="I386" s="179"/>
      <c r="J386" s="219"/>
      <c r="K386" s="219"/>
      <c r="L386" s="219"/>
      <c r="M386" s="179"/>
      <c r="N386" s="179"/>
      <c r="O386" s="179"/>
      <c r="P386" s="179"/>
      <c r="Q386" s="179"/>
    </row>
    <row r="387" spans="1:17" customFormat="1" ht="14.4" hidden="1" x14ac:dyDescent="0.3">
      <c r="A387" s="189">
        <v>3237</v>
      </c>
      <c r="B387" s="190" t="s">
        <v>30</v>
      </c>
      <c r="C387" s="182"/>
      <c r="D387" s="182"/>
      <c r="E387" s="182"/>
      <c r="F387" s="182"/>
      <c r="G387" s="182"/>
      <c r="H387" s="182"/>
      <c r="I387" s="182"/>
      <c r="J387" s="220"/>
      <c r="K387" s="220"/>
      <c r="L387" s="220"/>
      <c r="M387" s="182"/>
      <c r="N387" s="182"/>
      <c r="O387" s="182"/>
      <c r="P387" s="182"/>
      <c r="Q387" s="182"/>
    </row>
    <row r="388" spans="1:17" customFormat="1" ht="14.4" hidden="1" x14ac:dyDescent="0.3">
      <c r="A388" s="188">
        <v>426</v>
      </c>
      <c r="B388" s="192" t="s">
        <v>73</v>
      </c>
      <c r="C388" s="179">
        <f t="shared" ref="C388:D388" si="386">SUM(C389)</f>
        <v>0</v>
      </c>
      <c r="D388" s="179">
        <f t="shared" si="386"/>
        <v>0</v>
      </c>
      <c r="E388" s="179"/>
      <c r="F388" s="179"/>
      <c r="G388" s="179"/>
      <c r="H388" s="179"/>
      <c r="I388" s="179"/>
      <c r="J388" s="219"/>
      <c r="K388" s="219"/>
      <c r="L388" s="219"/>
      <c r="M388" s="179"/>
      <c r="N388" s="179"/>
      <c r="O388" s="179"/>
      <c r="P388" s="179"/>
      <c r="Q388" s="179"/>
    </row>
    <row r="389" spans="1:17" customFormat="1" ht="14.4" hidden="1" x14ac:dyDescent="0.3">
      <c r="A389" s="189">
        <v>4262</v>
      </c>
      <c r="B389" s="190" t="s">
        <v>88</v>
      </c>
      <c r="C389" s="182"/>
      <c r="D389" s="182"/>
      <c r="E389" s="182"/>
      <c r="F389" s="182"/>
      <c r="G389" s="182"/>
      <c r="H389" s="182"/>
      <c r="I389" s="182"/>
      <c r="J389" s="220"/>
      <c r="K389" s="220"/>
      <c r="L389" s="220"/>
      <c r="M389" s="182"/>
      <c r="N389" s="182"/>
      <c r="O389" s="182"/>
      <c r="P389" s="182"/>
      <c r="Q389" s="182"/>
    </row>
    <row r="390" spans="1:17" customFormat="1" ht="24.75" hidden="1" customHeight="1" x14ac:dyDescent="0.3">
      <c r="A390" s="170" t="s">
        <v>221</v>
      </c>
      <c r="B390" s="171" t="s">
        <v>246</v>
      </c>
      <c r="C390" s="172">
        <f t="shared" ref="C390:D392" si="387">SUM(C391)</f>
        <v>0</v>
      </c>
      <c r="D390" s="172">
        <f t="shared" si="387"/>
        <v>0</v>
      </c>
      <c r="E390" s="172"/>
      <c r="F390" s="172"/>
      <c r="G390" s="172"/>
      <c r="H390" s="172"/>
      <c r="I390" s="172"/>
      <c r="J390" s="384"/>
      <c r="K390" s="384"/>
      <c r="L390" s="384"/>
      <c r="M390" s="172"/>
      <c r="N390" s="172"/>
      <c r="O390" s="172"/>
      <c r="P390" s="172"/>
      <c r="Q390" s="172"/>
    </row>
    <row r="391" spans="1:17" customFormat="1" ht="18" hidden="1" customHeight="1" x14ac:dyDescent="0.3">
      <c r="A391" s="721" t="s">
        <v>106</v>
      </c>
      <c r="B391" s="721"/>
      <c r="C391" s="173">
        <f t="shared" si="387"/>
        <v>0</v>
      </c>
      <c r="D391" s="173">
        <f t="shared" si="387"/>
        <v>0</v>
      </c>
      <c r="E391" s="173"/>
      <c r="F391" s="173"/>
      <c r="G391" s="173"/>
      <c r="H391" s="173"/>
      <c r="I391" s="173"/>
      <c r="J391" s="385"/>
      <c r="K391" s="385"/>
      <c r="L391" s="385"/>
      <c r="M391" s="173"/>
      <c r="N391" s="173"/>
      <c r="O391" s="173"/>
      <c r="P391" s="173"/>
      <c r="Q391" s="173"/>
    </row>
    <row r="392" spans="1:17" customFormat="1" ht="14.4" hidden="1" x14ac:dyDescent="0.3">
      <c r="A392" s="188">
        <v>323</v>
      </c>
      <c r="B392" s="178" t="s">
        <v>23</v>
      </c>
      <c r="C392" s="179">
        <f t="shared" si="387"/>
        <v>0</v>
      </c>
      <c r="D392" s="179">
        <f t="shared" si="387"/>
        <v>0</v>
      </c>
      <c r="E392" s="179"/>
      <c r="F392" s="179"/>
      <c r="G392" s="179"/>
      <c r="H392" s="179"/>
      <c r="I392" s="179"/>
      <c r="J392" s="219"/>
      <c r="K392" s="219"/>
      <c r="L392" s="219"/>
      <c r="M392" s="179"/>
      <c r="N392" s="179"/>
      <c r="O392" s="179"/>
      <c r="P392" s="179"/>
      <c r="Q392" s="179"/>
    </row>
    <row r="393" spans="1:17" customFormat="1" ht="4.5" hidden="1" customHeight="1" x14ac:dyDescent="0.3">
      <c r="A393" s="189">
        <v>3237</v>
      </c>
      <c r="B393" s="190" t="s">
        <v>30</v>
      </c>
      <c r="C393" s="182"/>
      <c r="D393" s="182"/>
      <c r="E393" s="182"/>
      <c r="F393" s="182"/>
      <c r="G393" s="182"/>
      <c r="H393" s="182"/>
      <c r="I393" s="182"/>
      <c r="J393" s="220"/>
      <c r="K393" s="220"/>
      <c r="L393" s="220"/>
      <c r="M393" s="182"/>
      <c r="N393" s="182"/>
      <c r="O393" s="182"/>
      <c r="P393" s="182"/>
      <c r="Q393" s="182"/>
    </row>
    <row r="394" spans="1:17" customFormat="1" ht="25.05" customHeight="1" x14ac:dyDescent="0.3">
      <c r="A394" s="170" t="s">
        <v>107</v>
      </c>
      <c r="B394" s="171" t="s">
        <v>108</v>
      </c>
      <c r="C394" s="172">
        <f t="shared" ref="C394:Q394" si="388">SUM(C395)</f>
        <v>0</v>
      </c>
      <c r="D394" s="172">
        <f t="shared" si="388"/>
        <v>0</v>
      </c>
      <c r="E394" s="172">
        <f t="shared" si="388"/>
        <v>1000</v>
      </c>
      <c r="F394" s="172">
        <f t="shared" si="388"/>
        <v>1000</v>
      </c>
      <c r="G394" s="172">
        <f t="shared" si="388"/>
        <v>0</v>
      </c>
      <c r="H394" s="172">
        <f t="shared" si="388"/>
        <v>0</v>
      </c>
      <c r="I394" s="172">
        <f t="shared" si="388"/>
        <v>2000</v>
      </c>
      <c r="J394" s="172">
        <f t="shared" si="388"/>
        <v>0</v>
      </c>
      <c r="K394" s="172">
        <f t="shared" si="388"/>
        <v>0</v>
      </c>
      <c r="L394" s="172">
        <f t="shared" si="388"/>
        <v>2000</v>
      </c>
      <c r="M394" s="172">
        <f t="shared" si="388"/>
        <v>0</v>
      </c>
      <c r="N394" s="172">
        <f t="shared" si="388"/>
        <v>0</v>
      </c>
      <c r="O394" s="172">
        <f t="shared" si="388"/>
        <v>2000</v>
      </c>
      <c r="P394" s="172">
        <f t="shared" si="388"/>
        <v>2000</v>
      </c>
      <c r="Q394" s="172">
        <f t="shared" si="388"/>
        <v>2000</v>
      </c>
    </row>
    <row r="395" spans="1:17" customFormat="1" ht="18" customHeight="1" x14ac:dyDescent="0.3">
      <c r="A395" s="721" t="s">
        <v>106</v>
      </c>
      <c r="B395" s="721"/>
      <c r="C395" s="173">
        <f>SUM(C396,C406,C409)</f>
        <v>0</v>
      </c>
      <c r="D395" s="173">
        <f t="shared" ref="D395:F395" si="389">SUM(D396,D406,D409)</f>
        <v>0</v>
      </c>
      <c r="E395" s="173">
        <f t="shared" si="389"/>
        <v>1000</v>
      </c>
      <c r="F395" s="173">
        <f t="shared" si="389"/>
        <v>1000</v>
      </c>
      <c r="G395" s="173">
        <f t="shared" ref="G395:H395" si="390">SUM(G396,G406,G409)</f>
        <v>0</v>
      </c>
      <c r="H395" s="173">
        <f t="shared" si="390"/>
        <v>0</v>
      </c>
      <c r="I395" s="173">
        <f t="shared" ref="I395:M395" si="391">SUM(I396,I406,I409)</f>
        <v>2000</v>
      </c>
      <c r="J395" s="173">
        <f t="shared" si="391"/>
        <v>0</v>
      </c>
      <c r="K395" s="173">
        <f t="shared" si="391"/>
        <v>0</v>
      </c>
      <c r="L395" s="173">
        <f t="shared" si="391"/>
        <v>2000</v>
      </c>
      <c r="M395" s="173">
        <f t="shared" si="391"/>
        <v>0</v>
      </c>
      <c r="N395" s="173">
        <f t="shared" ref="N395:O395" si="392">SUM(N396,N406,N409)</f>
        <v>0</v>
      </c>
      <c r="O395" s="173">
        <f t="shared" si="392"/>
        <v>2000</v>
      </c>
      <c r="P395" s="173">
        <f t="shared" ref="P395:Q395" si="393">SUM(P396,P406,P409)</f>
        <v>2000</v>
      </c>
      <c r="Q395" s="173">
        <f t="shared" si="393"/>
        <v>2000</v>
      </c>
    </row>
    <row r="396" spans="1:17" customFormat="1" ht="18" customHeight="1" x14ac:dyDescent="0.3">
      <c r="A396" s="185" t="s">
        <v>317</v>
      </c>
      <c r="B396" s="185" t="s">
        <v>318</v>
      </c>
      <c r="C396" s="218">
        <f>SUM(C397,C399,C401,C404)</f>
        <v>0</v>
      </c>
      <c r="D396" s="218">
        <f t="shared" ref="D396:F396" si="394">SUM(D397,D399,D401,D404)</f>
        <v>0</v>
      </c>
      <c r="E396" s="218">
        <f t="shared" si="394"/>
        <v>1000</v>
      </c>
      <c r="F396" s="218">
        <f t="shared" si="394"/>
        <v>1000</v>
      </c>
      <c r="G396" s="218">
        <f t="shared" ref="G396:H396" si="395">SUM(G397,G399,G401,G404)</f>
        <v>0</v>
      </c>
      <c r="H396" s="218">
        <f t="shared" si="395"/>
        <v>0</v>
      </c>
      <c r="I396" s="218">
        <f t="shared" ref="I396:M396" si="396">SUM(I397,I399,I401,I404)</f>
        <v>2000</v>
      </c>
      <c r="J396" s="218">
        <f t="shared" si="396"/>
        <v>0</v>
      </c>
      <c r="K396" s="218">
        <f t="shared" si="396"/>
        <v>0</v>
      </c>
      <c r="L396" s="218">
        <f t="shared" si="396"/>
        <v>2000</v>
      </c>
      <c r="M396" s="218">
        <f t="shared" si="396"/>
        <v>0</v>
      </c>
      <c r="N396" s="218">
        <f t="shared" ref="N396:O396" si="397">SUM(N397,N399,N401,N404)</f>
        <v>0</v>
      </c>
      <c r="O396" s="218">
        <f t="shared" si="397"/>
        <v>2000</v>
      </c>
      <c r="P396" s="218">
        <f t="shared" ref="P396:Q396" si="398">SUM(P397,P399,P401,P404)</f>
        <v>2000</v>
      </c>
      <c r="Q396" s="218">
        <f t="shared" si="398"/>
        <v>2000</v>
      </c>
    </row>
    <row r="397" spans="1:17" customFormat="1" ht="14.4" x14ac:dyDescent="0.3">
      <c r="A397" s="188">
        <v>321</v>
      </c>
      <c r="B397" s="178" t="s">
        <v>109</v>
      </c>
      <c r="C397" s="179">
        <f t="shared" ref="C397:Q397" si="399">SUM(C398)</f>
        <v>0</v>
      </c>
      <c r="D397" s="179">
        <f t="shared" si="399"/>
        <v>0</v>
      </c>
      <c r="E397" s="179">
        <f t="shared" si="399"/>
        <v>0</v>
      </c>
      <c r="F397" s="179">
        <f t="shared" si="399"/>
        <v>0</v>
      </c>
      <c r="G397" s="179">
        <f t="shared" si="399"/>
        <v>0</v>
      </c>
      <c r="H397" s="179">
        <f t="shared" si="399"/>
        <v>0</v>
      </c>
      <c r="I397" s="179">
        <f t="shared" si="399"/>
        <v>1000</v>
      </c>
      <c r="J397" s="179">
        <f t="shared" si="399"/>
        <v>0</v>
      </c>
      <c r="K397" s="179">
        <f t="shared" si="399"/>
        <v>0</v>
      </c>
      <c r="L397" s="179">
        <f t="shared" si="399"/>
        <v>1000</v>
      </c>
      <c r="M397" s="179">
        <f t="shared" si="399"/>
        <v>0</v>
      </c>
      <c r="N397" s="179">
        <f t="shared" si="399"/>
        <v>0</v>
      </c>
      <c r="O397" s="179">
        <f t="shared" si="399"/>
        <v>1000</v>
      </c>
      <c r="P397" s="179">
        <f t="shared" si="399"/>
        <v>1000</v>
      </c>
      <c r="Q397" s="179">
        <f t="shared" si="399"/>
        <v>1000</v>
      </c>
    </row>
    <row r="398" spans="1:17" customFormat="1" ht="13.5" customHeight="1" x14ac:dyDescent="0.3">
      <c r="A398" s="189">
        <v>3211</v>
      </c>
      <c r="B398" s="190" t="s">
        <v>13</v>
      </c>
      <c r="C398" s="182">
        <v>0</v>
      </c>
      <c r="D398" s="182"/>
      <c r="E398" s="182"/>
      <c r="F398" s="182">
        <f t="shared" ref="F398:F405" si="400">C398-D398+E398</f>
        <v>0</v>
      </c>
      <c r="G398" s="182"/>
      <c r="H398" s="182"/>
      <c r="I398" s="182">
        <v>1000</v>
      </c>
      <c r="J398" s="220"/>
      <c r="K398" s="220"/>
      <c r="L398" s="220">
        <f>I398-J398+K398</f>
        <v>1000</v>
      </c>
      <c r="M398" s="182"/>
      <c r="N398" s="182"/>
      <c r="O398" s="182">
        <v>1000</v>
      </c>
      <c r="P398" s="182">
        <v>1000</v>
      </c>
      <c r="Q398" s="182">
        <v>1000</v>
      </c>
    </row>
    <row r="399" spans="1:17" customFormat="1" ht="14.4" hidden="1" x14ac:dyDescent="0.3">
      <c r="A399" s="188">
        <v>322</v>
      </c>
      <c r="B399" s="178" t="s">
        <v>16</v>
      </c>
      <c r="C399" s="179">
        <f t="shared" ref="C399:Q399" si="401">SUM(C400:C400)</f>
        <v>0</v>
      </c>
      <c r="D399" s="179">
        <f t="shared" si="401"/>
        <v>0</v>
      </c>
      <c r="E399" s="179">
        <f t="shared" si="401"/>
        <v>0</v>
      </c>
      <c r="F399" s="179">
        <f t="shared" si="401"/>
        <v>0</v>
      </c>
      <c r="G399" s="179">
        <f t="shared" si="401"/>
        <v>0</v>
      </c>
      <c r="H399" s="179">
        <f t="shared" si="401"/>
        <v>0</v>
      </c>
      <c r="I399" s="179">
        <f t="shared" si="401"/>
        <v>0</v>
      </c>
      <c r="J399" s="179">
        <f t="shared" si="401"/>
        <v>0</v>
      </c>
      <c r="K399" s="179">
        <f t="shared" si="401"/>
        <v>0</v>
      </c>
      <c r="L399" s="179">
        <f t="shared" si="401"/>
        <v>0</v>
      </c>
      <c r="M399" s="179">
        <f t="shared" si="401"/>
        <v>0</v>
      </c>
      <c r="N399" s="179">
        <f t="shared" si="401"/>
        <v>0</v>
      </c>
      <c r="O399" s="179">
        <f t="shared" si="401"/>
        <v>0</v>
      </c>
      <c r="P399" s="179">
        <f t="shared" si="401"/>
        <v>0</v>
      </c>
      <c r="Q399" s="179">
        <f t="shared" si="401"/>
        <v>0</v>
      </c>
    </row>
    <row r="400" spans="1:17" customFormat="1" ht="14.4" hidden="1" x14ac:dyDescent="0.3">
      <c r="A400" s="189">
        <v>3221</v>
      </c>
      <c r="B400" s="190" t="s">
        <v>17</v>
      </c>
      <c r="C400" s="182">
        <v>0</v>
      </c>
      <c r="D400" s="182"/>
      <c r="E400" s="182"/>
      <c r="F400" s="182">
        <f t="shared" si="400"/>
        <v>0</v>
      </c>
      <c r="G400" s="182"/>
      <c r="H400" s="182"/>
      <c r="I400" s="182"/>
      <c r="J400" s="220"/>
      <c r="K400" s="220"/>
      <c r="L400" s="220"/>
      <c r="M400" s="182"/>
      <c r="N400" s="182"/>
      <c r="O400" s="182"/>
      <c r="P400" s="182"/>
      <c r="Q400" s="182"/>
    </row>
    <row r="401" spans="1:17" customFormat="1" ht="14.4" hidden="1" x14ac:dyDescent="0.3">
      <c r="A401" s="188">
        <v>323</v>
      </c>
      <c r="B401" s="178" t="s">
        <v>23</v>
      </c>
      <c r="C401" s="179">
        <f t="shared" ref="C401:F401" si="402">SUM(C402:C403)</f>
        <v>0</v>
      </c>
      <c r="D401" s="179">
        <f t="shared" si="402"/>
        <v>0</v>
      </c>
      <c r="E401" s="179">
        <f t="shared" si="402"/>
        <v>0</v>
      </c>
      <c r="F401" s="179">
        <f t="shared" si="402"/>
        <v>0</v>
      </c>
      <c r="G401" s="179">
        <f t="shared" ref="G401:H401" si="403">SUM(G402:G403)</f>
        <v>0</v>
      </c>
      <c r="H401" s="179">
        <f t="shared" si="403"/>
        <v>0</v>
      </c>
      <c r="I401" s="179">
        <f t="shared" ref="I401:M401" si="404">SUM(I402:I403)</f>
        <v>0</v>
      </c>
      <c r="J401" s="179">
        <f t="shared" si="404"/>
        <v>0</v>
      </c>
      <c r="K401" s="179">
        <f t="shared" si="404"/>
        <v>0</v>
      </c>
      <c r="L401" s="179">
        <f t="shared" si="404"/>
        <v>0</v>
      </c>
      <c r="M401" s="179">
        <f t="shared" si="404"/>
        <v>0</v>
      </c>
      <c r="N401" s="179">
        <f t="shared" ref="N401:O401" si="405">SUM(N402:N403)</f>
        <v>0</v>
      </c>
      <c r="O401" s="179">
        <f t="shared" si="405"/>
        <v>0</v>
      </c>
      <c r="P401" s="179">
        <f t="shared" ref="P401:Q401" si="406">SUM(P402:P403)</f>
        <v>0</v>
      </c>
      <c r="Q401" s="179">
        <f t="shared" si="406"/>
        <v>0</v>
      </c>
    </row>
    <row r="402" spans="1:17" customFormat="1" ht="14.4" hidden="1" x14ac:dyDescent="0.3">
      <c r="A402" s="189">
        <v>3233</v>
      </c>
      <c r="B402" s="181" t="s">
        <v>26</v>
      </c>
      <c r="C402" s="182">
        <v>0</v>
      </c>
      <c r="D402" s="182"/>
      <c r="E402" s="182"/>
      <c r="F402" s="182">
        <f t="shared" si="400"/>
        <v>0</v>
      </c>
      <c r="G402" s="182"/>
      <c r="H402" s="182"/>
      <c r="I402" s="182"/>
      <c r="J402" s="220"/>
      <c r="K402" s="220"/>
      <c r="L402" s="220"/>
      <c r="M402" s="182"/>
      <c r="N402" s="182"/>
      <c r="O402" s="182"/>
      <c r="P402" s="182"/>
      <c r="Q402" s="182"/>
    </row>
    <row r="403" spans="1:17" customFormat="1" ht="14.4" hidden="1" x14ac:dyDescent="0.3">
      <c r="A403" s="189">
        <v>3237</v>
      </c>
      <c r="B403" s="190" t="s">
        <v>30</v>
      </c>
      <c r="C403" s="182">
        <v>0</v>
      </c>
      <c r="D403" s="182"/>
      <c r="E403" s="182"/>
      <c r="F403" s="182">
        <f t="shared" si="400"/>
        <v>0</v>
      </c>
      <c r="G403" s="182"/>
      <c r="H403" s="182"/>
      <c r="I403" s="182"/>
      <c r="J403" s="220"/>
      <c r="K403" s="220"/>
      <c r="L403" s="220"/>
      <c r="M403" s="182"/>
      <c r="N403" s="182"/>
      <c r="O403" s="182"/>
      <c r="P403" s="182"/>
      <c r="Q403" s="182"/>
    </row>
    <row r="404" spans="1:17" customFormat="1" ht="14.4" x14ac:dyDescent="0.3">
      <c r="A404" s="188">
        <v>329</v>
      </c>
      <c r="B404" s="178" t="s">
        <v>33</v>
      </c>
      <c r="C404" s="179">
        <f t="shared" ref="C404:Q404" si="407">SUM(C405)</f>
        <v>0</v>
      </c>
      <c r="D404" s="179">
        <f t="shared" si="407"/>
        <v>0</v>
      </c>
      <c r="E404" s="179">
        <f t="shared" si="407"/>
        <v>1000</v>
      </c>
      <c r="F404" s="179">
        <f t="shared" si="407"/>
        <v>1000</v>
      </c>
      <c r="G404" s="179">
        <f t="shared" si="407"/>
        <v>0</v>
      </c>
      <c r="H404" s="179">
        <f t="shared" si="407"/>
        <v>0</v>
      </c>
      <c r="I404" s="179">
        <f t="shared" si="407"/>
        <v>1000</v>
      </c>
      <c r="J404" s="179">
        <f t="shared" si="407"/>
        <v>0</v>
      </c>
      <c r="K404" s="179">
        <f t="shared" si="407"/>
        <v>0</v>
      </c>
      <c r="L404" s="179">
        <f t="shared" si="407"/>
        <v>1000</v>
      </c>
      <c r="M404" s="179">
        <f t="shared" si="407"/>
        <v>0</v>
      </c>
      <c r="N404" s="179">
        <f t="shared" si="407"/>
        <v>0</v>
      </c>
      <c r="O404" s="179">
        <f t="shared" si="407"/>
        <v>1000</v>
      </c>
      <c r="P404" s="179">
        <f t="shared" si="407"/>
        <v>1000</v>
      </c>
      <c r="Q404" s="179">
        <f t="shared" si="407"/>
        <v>1000</v>
      </c>
    </row>
    <row r="405" spans="1:17" customFormat="1" ht="14.4" x14ac:dyDescent="0.3">
      <c r="A405" s="180">
        <v>3299</v>
      </c>
      <c r="B405" s="204" t="s">
        <v>33</v>
      </c>
      <c r="C405" s="182">
        <v>0</v>
      </c>
      <c r="D405" s="182"/>
      <c r="E405" s="182">
        <v>1000</v>
      </c>
      <c r="F405" s="182">
        <f t="shared" si="400"/>
        <v>1000</v>
      </c>
      <c r="G405" s="182"/>
      <c r="H405" s="182"/>
      <c r="I405" s="182">
        <v>1000</v>
      </c>
      <c r="J405" s="220"/>
      <c r="K405" s="220"/>
      <c r="L405" s="220">
        <f>I405-J405+K405</f>
        <v>1000</v>
      </c>
      <c r="M405" s="182"/>
      <c r="N405" s="182"/>
      <c r="O405" s="182">
        <v>1000</v>
      </c>
      <c r="P405" s="182">
        <v>1000</v>
      </c>
      <c r="Q405" s="182">
        <v>1000</v>
      </c>
    </row>
    <row r="406" spans="1:17" customFormat="1" ht="26.4" hidden="1" x14ac:dyDescent="0.3">
      <c r="A406" s="174" t="s">
        <v>321</v>
      </c>
      <c r="B406" s="186" t="s">
        <v>322</v>
      </c>
      <c r="C406" s="176">
        <f>SUM(C407)</f>
        <v>0</v>
      </c>
      <c r="D406" s="176">
        <f t="shared" ref="D406:Q406" si="408">SUM(D407)</f>
        <v>0</v>
      </c>
      <c r="E406" s="176">
        <f t="shared" si="408"/>
        <v>0</v>
      </c>
      <c r="F406" s="176">
        <f t="shared" si="408"/>
        <v>0</v>
      </c>
      <c r="G406" s="176">
        <f t="shared" si="408"/>
        <v>0</v>
      </c>
      <c r="H406" s="176">
        <f t="shared" si="408"/>
        <v>0</v>
      </c>
      <c r="I406" s="176">
        <f t="shared" si="408"/>
        <v>0</v>
      </c>
      <c r="J406" s="176">
        <f t="shared" si="408"/>
        <v>0</v>
      </c>
      <c r="K406" s="176">
        <f t="shared" si="408"/>
        <v>0</v>
      </c>
      <c r="L406" s="176">
        <f t="shared" si="408"/>
        <v>0</v>
      </c>
      <c r="M406" s="176">
        <f t="shared" si="408"/>
        <v>0</v>
      </c>
      <c r="N406" s="176">
        <f t="shared" si="408"/>
        <v>0</v>
      </c>
      <c r="O406" s="176">
        <f t="shared" si="408"/>
        <v>0</v>
      </c>
      <c r="P406" s="176">
        <f t="shared" si="408"/>
        <v>0</v>
      </c>
      <c r="Q406" s="176">
        <f t="shared" si="408"/>
        <v>0</v>
      </c>
    </row>
    <row r="407" spans="1:17" s="6" customFormat="1" ht="26.4" hidden="1" x14ac:dyDescent="0.3">
      <c r="A407" s="188">
        <v>372</v>
      </c>
      <c r="B407" s="178" t="s">
        <v>44</v>
      </c>
      <c r="C407" s="179">
        <f t="shared" ref="C407:Q407" si="409">SUM(C408)</f>
        <v>0</v>
      </c>
      <c r="D407" s="179">
        <f t="shared" si="409"/>
        <v>0</v>
      </c>
      <c r="E407" s="179">
        <f t="shared" si="409"/>
        <v>0</v>
      </c>
      <c r="F407" s="179">
        <f t="shared" si="409"/>
        <v>0</v>
      </c>
      <c r="G407" s="179">
        <f t="shared" si="409"/>
        <v>0</v>
      </c>
      <c r="H407" s="179">
        <f t="shared" si="409"/>
        <v>0</v>
      </c>
      <c r="I407" s="179">
        <f t="shared" si="409"/>
        <v>0</v>
      </c>
      <c r="J407" s="179">
        <f t="shared" si="409"/>
        <v>0</v>
      </c>
      <c r="K407" s="179">
        <f t="shared" si="409"/>
        <v>0</v>
      </c>
      <c r="L407" s="179">
        <f t="shared" si="409"/>
        <v>0</v>
      </c>
      <c r="M407" s="179">
        <f t="shared" si="409"/>
        <v>0</v>
      </c>
      <c r="N407" s="179">
        <f t="shared" si="409"/>
        <v>0</v>
      </c>
      <c r="O407" s="179">
        <f t="shared" si="409"/>
        <v>0</v>
      </c>
      <c r="P407" s="179">
        <f t="shared" si="409"/>
        <v>0</v>
      </c>
      <c r="Q407" s="179">
        <f t="shared" si="409"/>
        <v>0</v>
      </c>
    </row>
    <row r="408" spans="1:17" customFormat="1" ht="14.4" hidden="1" x14ac:dyDescent="0.3">
      <c r="A408" s="180">
        <v>3721</v>
      </c>
      <c r="B408" s="204" t="s">
        <v>45</v>
      </c>
      <c r="C408" s="182">
        <v>0</v>
      </c>
      <c r="D408" s="182"/>
      <c r="E408" s="182"/>
      <c r="F408" s="182">
        <f t="shared" ref="F408" si="410">C408-D408+E408</f>
        <v>0</v>
      </c>
      <c r="G408" s="182"/>
      <c r="H408" s="182"/>
      <c r="I408" s="182"/>
      <c r="J408" s="220"/>
      <c r="K408" s="220"/>
      <c r="L408" s="220"/>
      <c r="M408" s="182"/>
      <c r="N408" s="182"/>
      <c r="O408" s="182"/>
      <c r="P408" s="182"/>
      <c r="Q408" s="182"/>
    </row>
    <row r="409" spans="1:17" customFormat="1" ht="26.4" hidden="1" x14ac:dyDescent="0.3">
      <c r="A409" s="174" t="s">
        <v>323</v>
      </c>
      <c r="B409" s="186" t="s">
        <v>324</v>
      </c>
      <c r="C409" s="176">
        <f>SUM(C410)</f>
        <v>0</v>
      </c>
      <c r="D409" s="176">
        <f t="shared" ref="D409:Q409" si="411">SUM(D410)</f>
        <v>0</v>
      </c>
      <c r="E409" s="176">
        <f t="shared" si="411"/>
        <v>0</v>
      </c>
      <c r="F409" s="176">
        <f t="shared" si="411"/>
        <v>0</v>
      </c>
      <c r="G409" s="176">
        <f t="shared" si="411"/>
        <v>0</v>
      </c>
      <c r="H409" s="176">
        <f t="shared" si="411"/>
        <v>0</v>
      </c>
      <c r="I409" s="176">
        <f t="shared" si="411"/>
        <v>0</v>
      </c>
      <c r="J409" s="176">
        <f t="shared" si="411"/>
        <v>0</v>
      </c>
      <c r="K409" s="176">
        <f t="shared" si="411"/>
        <v>0</v>
      </c>
      <c r="L409" s="176">
        <f t="shared" si="411"/>
        <v>0</v>
      </c>
      <c r="M409" s="176">
        <f t="shared" si="411"/>
        <v>0</v>
      </c>
      <c r="N409" s="176">
        <f t="shared" si="411"/>
        <v>0</v>
      </c>
      <c r="O409" s="176">
        <f t="shared" si="411"/>
        <v>0</v>
      </c>
      <c r="P409" s="176">
        <f t="shared" si="411"/>
        <v>0</v>
      </c>
      <c r="Q409" s="176">
        <f t="shared" si="411"/>
        <v>0</v>
      </c>
    </row>
    <row r="410" spans="1:17" customFormat="1" ht="14.4" hidden="1" x14ac:dyDescent="0.3">
      <c r="A410" s="188">
        <v>422</v>
      </c>
      <c r="B410" s="192" t="s">
        <v>53</v>
      </c>
      <c r="C410" s="179">
        <f t="shared" ref="C410:Q410" si="412">SUM(C411)</f>
        <v>0</v>
      </c>
      <c r="D410" s="179">
        <f t="shared" si="412"/>
        <v>0</v>
      </c>
      <c r="E410" s="179">
        <f t="shared" si="412"/>
        <v>0</v>
      </c>
      <c r="F410" s="179">
        <f t="shared" si="412"/>
        <v>0</v>
      </c>
      <c r="G410" s="179">
        <f t="shared" si="412"/>
        <v>0</v>
      </c>
      <c r="H410" s="179">
        <f t="shared" si="412"/>
        <v>0</v>
      </c>
      <c r="I410" s="179">
        <f t="shared" si="412"/>
        <v>0</v>
      </c>
      <c r="J410" s="179">
        <f t="shared" si="412"/>
        <v>0</v>
      </c>
      <c r="K410" s="179">
        <f t="shared" si="412"/>
        <v>0</v>
      </c>
      <c r="L410" s="179">
        <f t="shared" si="412"/>
        <v>0</v>
      </c>
      <c r="M410" s="179">
        <f t="shared" si="412"/>
        <v>0</v>
      </c>
      <c r="N410" s="179">
        <f t="shared" si="412"/>
        <v>0</v>
      </c>
      <c r="O410" s="179">
        <f t="shared" si="412"/>
        <v>0</v>
      </c>
      <c r="P410" s="179">
        <f t="shared" si="412"/>
        <v>0</v>
      </c>
      <c r="Q410" s="179">
        <f t="shared" si="412"/>
        <v>0</v>
      </c>
    </row>
    <row r="411" spans="1:17" customFormat="1" ht="12.6" hidden="1" customHeight="1" x14ac:dyDescent="0.3">
      <c r="A411" s="189">
        <v>4221</v>
      </c>
      <c r="B411" s="190" t="s">
        <v>54</v>
      </c>
      <c r="C411" s="182">
        <v>0</v>
      </c>
      <c r="D411" s="182"/>
      <c r="E411" s="182"/>
      <c r="F411" s="182">
        <f t="shared" ref="F411" si="413">C411-D411+E411</f>
        <v>0</v>
      </c>
      <c r="G411" s="182"/>
      <c r="H411" s="182"/>
      <c r="I411" s="182"/>
      <c r="J411" s="220"/>
      <c r="K411" s="220"/>
      <c r="L411" s="220"/>
      <c r="M411" s="182"/>
      <c r="N411" s="182"/>
      <c r="O411" s="182"/>
      <c r="P411" s="182"/>
      <c r="Q411" s="182"/>
    </row>
    <row r="412" spans="1:17" customFormat="1" ht="40.200000000000003" hidden="1" x14ac:dyDescent="0.3">
      <c r="A412" s="224" t="s">
        <v>80</v>
      </c>
      <c r="B412" s="225" t="s">
        <v>230</v>
      </c>
      <c r="C412" s="172">
        <f t="shared" ref="C412:D412" si="414">SUM(C413)</f>
        <v>0</v>
      </c>
      <c r="D412" s="172">
        <f t="shared" si="414"/>
        <v>0</v>
      </c>
      <c r="E412" s="172"/>
      <c r="F412" s="172"/>
      <c r="G412" s="172"/>
      <c r="H412" s="172"/>
      <c r="I412" s="172"/>
      <c r="J412" s="384"/>
      <c r="K412" s="384"/>
      <c r="L412" s="384"/>
      <c r="M412" s="172"/>
      <c r="N412" s="172"/>
      <c r="O412" s="172"/>
      <c r="P412" s="172"/>
      <c r="Q412" s="172"/>
    </row>
    <row r="413" spans="1:17" customFormat="1" ht="14.4" hidden="1" x14ac:dyDescent="0.3">
      <c r="A413" s="721" t="s">
        <v>106</v>
      </c>
      <c r="B413" s="721"/>
      <c r="C413" s="173">
        <f t="shared" ref="C413:D413" si="415">SUM(C415)</f>
        <v>0</v>
      </c>
      <c r="D413" s="173">
        <f t="shared" si="415"/>
        <v>0</v>
      </c>
      <c r="E413" s="173"/>
      <c r="F413" s="173"/>
      <c r="G413" s="173"/>
      <c r="H413" s="173"/>
      <c r="I413" s="173"/>
      <c r="J413" s="385"/>
      <c r="K413" s="385"/>
      <c r="L413" s="385"/>
      <c r="M413" s="173"/>
      <c r="N413" s="173"/>
      <c r="O413" s="173"/>
      <c r="P413" s="173"/>
      <c r="Q413" s="173"/>
    </row>
    <row r="414" spans="1:17" customFormat="1" ht="14.4" hidden="1" x14ac:dyDescent="0.3">
      <c r="A414" s="188">
        <v>323</v>
      </c>
      <c r="B414" s="178" t="s">
        <v>23</v>
      </c>
      <c r="C414" s="194">
        <f t="shared" ref="C414:D414" si="416">SUM(C415)</f>
        <v>0</v>
      </c>
      <c r="D414" s="194">
        <f t="shared" si="416"/>
        <v>0</v>
      </c>
      <c r="E414" s="194"/>
      <c r="F414" s="194"/>
      <c r="G414" s="194"/>
      <c r="H414" s="194"/>
      <c r="I414" s="194"/>
      <c r="J414" s="389"/>
      <c r="K414" s="389"/>
      <c r="L414" s="389"/>
      <c r="M414" s="194"/>
      <c r="N414" s="194"/>
      <c r="O414" s="194"/>
      <c r="P414" s="194"/>
      <c r="Q414" s="194"/>
    </row>
    <row r="415" spans="1:17" customFormat="1" ht="14.4" hidden="1" x14ac:dyDescent="0.3">
      <c r="A415" s="189">
        <v>3237</v>
      </c>
      <c r="B415" s="190" t="s">
        <v>30</v>
      </c>
      <c r="C415" s="182"/>
      <c r="D415" s="182"/>
      <c r="E415" s="182"/>
      <c r="F415" s="182"/>
      <c r="G415" s="182"/>
      <c r="H415" s="182"/>
      <c r="I415" s="182"/>
      <c r="J415" s="220"/>
      <c r="K415" s="220"/>
      <c r="L415" s="220"/>
      <c r="M415" s="182"/>
      <c r="N415" s="182"/>
      <c r="O415" s="182"/>
      <c r="P415" s="182"/>
      <c r="Q415" s="182"/>
    </row>
    <row r="416" spans="1:17" customFormat="1" ht="24" customHeight="1" x14ac:dyDescent="0.3">
      <c r="A416" s="170" t="s">
        <v>247</v>
      </c>
      <c r="B416" s="171" t="s">
        <v>248</v>
      </c>
      <c r="C416" s="172">
        <f t="shared" ref="C416:Q416" si="417">SUM(C417)</f>
        <v>200000</v>
      </c>
      <c r="D416" s="172">
        <f t="shared" si="417"/>
        <v>162000</v>
      </c>
      <c r="E416" s="172">
        <f t="shared" si="417"/>
        <v>0</v>
      </c>
      <c r="F416" s="172">
        <f t="shared" si="417"/>
        <v>38000</v>
      </c>
      <c r="G416" s="172">
        <f t="shared" si="417"/>
        <v>200000</v>
      </c>
      <c r="H416" s="172">
        <f t="shared" si="417"/>
        <v>200000</v>
      </c>
      <c r="I416" s="172">
        <f t="shared" si="417"/>
        <v>200000</v>
      </c>
      <c r="J416" s="172">
        <f t="shared" si="417"/>
        <v>140000</v>
      </c>
      <c r="K416" s="172">
        <f t="shared" si="417"/>
        <v>0</v>
      </c>
      <c r="L416" s="172">
        <f t="shared" si="417"/>
        <v>60000</v>
      </c>
      <c r="M416" s="172">
        <f t="shared" si="417"/>
        <v>200000</v>
      </c>
      <c r="N416" s="172">
        <f t="shared" si="417"/>
        <v>200000</v>
      </c>
      <c r="O416" s="172">
        <f t="shared" si="417"/>
        <v>60000</v>
      </c>
      <c r="P416" s="172">
        <f t="shared" si="417"/>
        <v>60000</v>
      </c>
      <c r="Q416" s="172">
        <f t="shared" si="417"/>
        <v>60000</v>
      </c>
    </row>
    <row r="417" spans="1:17" customFormat="1" ht="14.4" x14ac:dyDescent="0.3">
      <c r="A417" s="721" t="s">
        <v>106</v>
      </c>
      <c r="B417" s="721"/>
      <c r="C417" s="173">
        <f>SUM(C418,C421,C434)</f>
        <v>200000</v>
      </c>
      <c r="D417" s="173">
        <f t="shared" ref="D417:F417" si="418">SUM(D418,D421,D434)</f>
        <v>162000</v>
      </c>
      <c r="E417" s="173">
        <f t="shared" si="418"/>
        <v>0</v>
      </c>
      <c r="F417" s="173">
        <f t="shared" si="418"/>
        <v>38000</v>
      </c>
      <c r="G417" s="173">
        <f>SUM(G418,G421,G434)</f>
        <v>200000</v>
      </c>
      <c r="H417" s="173">
        <f>SUM(H418,H421,H434)</f>
        <v>200000</v>
      </c>
      <c r="I417" s="173">
        <f t="shared" ref="I417:N417" si="419">SUM(I418,I421,I434)</f>
        <v>200000</v>
      </c>
      <c r="J417" s="173">
        <f t="shared" si="419"/>
        <v>140000</v>
      </c>
      <c r="K417" s="173">
        <f t="shared" si="419"/>
        <v>0</v>
      </c>
      <c r="L417" s="173">
        <f t="shared" si="419"/>
        <v>60000</v>
      </c>
      <c r="M417" s="173">
        <f t="shared" si="419"/>
        <v>200000</v>
      </c>
      <c r="N417" s="173">
        <f t="shared" si="419"/>
        <v>200000</v>
      </c>
      <c r="O417" s="173">
        <f t="shared" ref="O417:P417" si="420">SUM(O418,O421,O434)</f>
        <v>60000</v>
      </c>
      <c r="P417" s="173">
        <f t="shared" si="420"/>
        <v>60000</v>
      </c>
      <c r="Q417" s="173">
        <f t="shared" ref="Q417" si="421">SUM(Q418,Q421,Q434)</f>
        <v>60000</v>
      </c>
    </row>
    <row r="418" spans="1:17" customFormat="1" ht="14.4" x14ac:dyDescent="0.3">
      <c r="A418" s="185" t="s">
        <v>315</v>
      </c>
      <c r="B418" s="186" t="s">
        <v>316</v>
      </c>
      <c r="C418" s="187">
        <f>SUM(C419)</f>
        <v>13000</v>
      </c>
      <c r="D418" s="187">
        <f t="shared" ref="D418:Q418" si="422">SUM(D419)</f>
        <v>12000</v>
      </c>
      <c r="E418" s="187">
        <f t="shared" si="422"/>
        <v>0</v>
      </c>
      <c r="F418" s="187">
        <f t="shared" si="422"/>
        <v>1000</v>
      </c>
      <c r="G418" s="187">
        <f>SUM(G419)</f>
        <v>13000</v>
      </c>
      <c r="H418" s="187">
        <f>SUM(H419)</f>
        <v>13000</v>
      </c>
      <c r="I418" s="187">
        <f t="shared" si="422"/>
        <v>13000</v>
      </c>
      <c r="J418" s="187">
        <f t="shared" si="422"/>
        <v>0</v>
      </c>
      <c r="K418" s="187">
        <f t="shared" si="422"/>
        <v>0</v>
      </c>
      <c r="L418" s="187">
        <f t="shared" si="422"/>
        <v>13000</v>
      </c>
      <c r="M418" s="187">
        <f t="shared" si="422"/>
        <v>13000</v>
      </c>
      <c r="N418" s="187">
        <f t="shared" si="422"/>
        <v>13000</v>
      </c>
      <c r="O418" s="187">
        <f t="shared" si="422"/>
        <v>13000</v>
      </c>
      <c r="P418" s="187">
        <f t="shared" si="422"/>
        <v>13000</v>
      </c>
      <c r="Q418" s="187">
        <f t="shared" si="422"/>
        <v>13000</v>
      </c>
    </row>
    <row r="419" spans="1:17" s="10" customFormat="1" ht="15.75" customHeight="1" x14ac:dyDescent="0.3">
      <c r="A419" s="226" t="s">
        <v>143</v>
      </c>
      <c r="B419" s="227" t="s">
        <v>220</v>
      </c>
      <c r="C419" s="202">
        <f t="shared" ref="C419:Q419" si="423">SUM(C420)</f>
        <v>13000</v>
      </c>
      <c r="D419" s="202">
        <f t="shared" si="423"/>
        <v>12000</v>
      </c>
      <c r="E419" s="202">
        <f t="shared" si="423"/>
        <v>0</v>
      </c>
      <c r="F419" s="202">
        <f t="shared" si="423"/>
        <v>1000</v>
      </c>
      <c r="G419" s="202">
        <f t="shared" si="423"/>
        <v>13000</v>
      </c>
      <c r="H419" s="202">
        <f t="shared" si="423"/>
        <v>13000</v>
      </c>
      <c r="I419" s="202">
        <f t="shared" si="423"/>
        <v>13000</v>
      </c>
      <c r="J419" s="202">
        <f t="shared" si="423"/>
        <v>0</v>
      </c>
      <c r="K419" s="202">
        <f t="shared" si="423"/>
        <v>0</v>
      </c>
      <c r="L419" s="202">
        <f t="shared" si="423"/>
        <v>13000</v>
      </c>
      <c r="M419" s="202">
        <f t="shared" si="423"/>
        <v>13000</v>
      </c>
      <c r="N419" s="202">
        <f t="shared" si="423"/>
        <v>13000</v>
      </c>
      <c r="O419" s="202">
        <f t="shared" si="423"/>
        <v>13000</v>
      </c>
      <c r="P419" s="202">
        <f t="shared" si="423"/>
        <v>13000</v>
      </c>
      <c r="Q419" s="202">
        <f t="shared" si="423"/>
        <v>13000</v>
      </c>
    </row>
    <row r="420" spans="1:17" s="10" customFormat="1" ht="14.4" x14ac:dyDescent="0.3">
      <c r="A420" s="228">
        <v>3111</v>
      </c>
      <c r="B420" s="229" t="s">
        <v>5</v>
      </c>
      <c r="C420" s="191">
        <v>13000</v>
      </c>
      <c r="D420" s="191">
        <v>12000</v>
      </c>
      <c r="E420" s="191"/>
      <c r="F420" s="182">
        <f t="shared" ref="F420" si="424">C420-D420+E420</f>
        <v>1000</v>
      </c>
      <c r="G420" s="191">
        <v>13000</v>
      </c>
      <c r="H420" s="191">
        <v>13000</v>
      </c>
      <c r="I420" s="191">
        <v>13000</v>
      </c>
      <c r="J420" s="233"/>
      <c r="K420" s="233"/>
      <c r="L420" s="220">
        <f>I420-J420+K420</f>
        <v>13000</v>
      </c>
      <c r="M420" s="191">
        <v>13000</v>
      </c>
      <c r="N420" s="191">
        <v>13000</v>
      </c>
      <c r="O420" s="191">
        <v>13000</v>
      </c>
      <c r="P420" s="191">
        <v>13000</v>
      </c>
      <c r="Q420" s="191">
        <v>13000</v>
      </c>
    </row>
    <row r="421" spans="1:17" s="10" customFormat="1" ht="14.4" x14ac:dyDescent="0.3">
      <c r="A421" s="185" t="s">
        <v>317</v>
      </c>
      <c r="B421" s="185" t="s">
        <v>318</v>
      </c>
      <c r="C421" s="218">
        <f>SUM(C422,C424,C428,C432)</f>
        <v>160000</v>
      </c>
      <c r="D421" s="218">
        <f t="shared" ref="D421:F421" si="425">SUM(D422,D424,D428,D432)</f>
        <v>150000</v>
      </c>
      <c r="E421" s="218">
        <f t="shared" si="425"/>
        <v>0</v>
      </c>
      <c r="F421" s="218">
        <f t="shared" si="425"/>
        <v>10000</v>
      </c>
      <c r="G421" s="218">
        <f>SUM(G422,G424,G428,G432)</f>
        <v>160000</v>
      </c>
      <c r="H421" s="218">
        <f>SUM(H422,H424,H428,H432)</f>
        <v>160000</v>
      </c>
      <c r="I421" s="218">
        <f t="shared" ref="I421:N421" si="426">SUM(I422,I424,I428,I432)</f>
        <v>160000</v>
      </c>
      <c r="J421" s="218">
        <f t="shared" si="426"/>
        <v>120000</v>
      </c>
      <c r="K421" s="218">
        <f t="shared" si="426"/>
        <v>0</v>
      </c>
      <c r="L421" s="218">
        <f t="shared" si="426"/>
        <v>40000</v>
      </c>
      <c r="M421" s="218">
        <f t="shared" si="426"/>
        <v>160000</v>
      </c>
      <c r="N421" s="218">
        <f t="shared" si="426"/>
        <v>160000</v>
      </c>
      <c r="O421" s="218">
        <f t="shared" ref="O421:P421" si="427">SUM(O422,O424,O428,O432)</f>
        <v>40000</v>
      </c>
      <c r="P421" s="218">
        <f t="shared" si="427"/>
        <v>40000</v>
      </c>
      <c r="Q421" s="218">
        <f t="shared" ref="Q421" si="428">SUM(Q422,Q424,Q428,Q432)</f>
        <v>40000</v>
      </c>
    </row>
    <row r="422" spans="1:17" customFormat="1" ht="14.4" x14ac:dyDescent="0.3">
      <c r="A422" s="188">
        <v>321</v>
      </c>
      <c r="B422" s="178" t="s">
        <v>109</v>
      </c>
      <c r="C422" s="179">
        <f t="shared" ref="C422:Q422" si="429">SUM(C423)</f>
        <v>13000</v>
      </c>
      <c r="D422" s="179">
        <f t="shared" si="429"/>
        <v>10000</v>
      </c>
      <c r="E422" s="179">
        <f t="shared" si="429"/>
        <v>0</v>
      </c>
      <c r="F422" s="179">
        <f t="shared" si="429"/>
        <v>3000</v>
      </c>
      <c r="G422" s="179">
        <f t="shared" si="429"/>
        <v>13000</v>
      </c>
      <c r="H422" s="179">
        <f t="shared" si="429"/>
        <v>13000</v>
      </c>
      <c r="I422" s="179">
        <f t="shared" si="429"/>
        <v>13000</v>
      </c>
      <c r="J422" s="179">
        <f t="shared" si="429"/>
        <v>0</v>
      </c>
      <c r="K422" s="179">
        <f t="shared" si="429"/>
        <v>0</v>
      </c>
      <c r="L422" s="179">
        <f t="shared" si="429"/>
        <v>13000</v>
      </c>
      <c r="M422" s="179">
        <f t="shared" si="429"/>
        <v>13000</v>
      </c>
      <c r="N422" s="179">
        <f t="shared" si="429"/>
        <v>13000</v>
      </c>
      <c r="O422" s="179">
        <f t="shared" si="429"/>
        <v>13000</v>
      </c>
      <c r="P422" s="179">
        <f t="shared" si="429"/>
        <v>13000</v>
      </c>
      <c r="Q422" s="179">
        <f t="shared" si="429"/>
        <v>13000</v>
      </c>
    </row>
    <row r="423" spans="1:17" customFormat="1" ht="14.4" x14ac:dyDescent="0.3">
      <c r="A423" s="189">
        <v>3211</v>
      </c>
      <c r="B423" s="190" t="s">
        <v>13</v>
      </c>
      <c r="C423" s="182">
        <v>13000</v>
      </c>
      <c r="D423" s="182">
        <v>10000</v>
      </c>
      <c r="E423" s="182"/>
      <c r="F423" s="182">
        <f t="shared" ref="F423:F433" si="430">C423-D423+E423</f>
        <v>3000</v>
      </c>
      <c r="G423" s="182">
        <v>13000</v>
      </c>
      <c r="H423" s="182">
        <v>13000</v>
      </c>
      <c r="I423" s="182">
        <v>13000</v>
      </c>
      <c r="J423" s="220"/>
      <c r="K423" s="220"/>
      <c r="L423" s="220">
        <f>I423-J423+K423</f>
        <v>13000</v>
      </c>
      <c r="M423" s="182">
        <v>13000</v>
      </c>
      <c r="N423" s="182">
        <v>13000</v>
      </c>
      <c r="O423" s="182">
        <v>13000</v>
      </c>
      <c r="P423" s="182">
        <v>13000</v>
      </c>
      <c r="Q423" s="182">
        <v>13000</v>
      </c>
    </row>
    <row r="424" spans="1:17" customFormat="1" ht="14.4" x14ac:dyDescent="0.3">
      <c r="A424" s="188">
        <v>322</v>
      </c>
      <c r="B424" s="178" t="s">
        <v>16</v>
      </c>
      <c r="C424" s="179">
        <f t="shared" ref="C424:F424" si="431">SUM(C425:C427)</f>
        <v>21000</v>
      </c>
      <c r="D424" s="179">
        <f t="shared" si="431"/>
        <v>18000</v>
      </c>
      <c r="E424" s="179">
        <f t="shared" si="431"/>
        <v>0</v>
      </c>
      <c r="F424" s="179">
        <f t="shared" si="431"/>
        <v>3000</v>
      </c>
      <c r="G424" s="179">
        <f t="shared" ref="G424:H424" si="432">SUM(G425:G427)</f>
        <v>21000</v>
      </c>
      <c r="H424" s="179">
        <f t="shared" si="432"/>
        <v>21000</v>
      </c>
      <c r="I424" s="179">
        <f t="shared" ref="I424:N424" si="433">SUM(I425:I427)</f>
        <v>21000</v>
      </c>
      <c r="J424" s="179">
        <f t="shared" si="433"/>
        <v>15000</v>
      </c>
      <c r="K424" s="179">
        <f t="shared" si="433"/>
        <v>0</v>
      </c>
      <c r="L424" s="179">
        <f t="shared" si="433"/>
        <v>6000</v>
      </c>
      <c r="M424" s="179">
        <f t="shared" si="433"/>
        <v>21000</v>
      </c>
      <c r="N424" s="179">
        <f t="shared" si="433"/>
        <v>21000</v>
      </c>
      <c r="O424" s="179">
        <f t="shared" ref="O424:P424" si="434">SUM(O425:O427)</f>
        <v>6000</v>
      </c>
      <c r="P424" s="179">
        <f t="shared" si="434"/>
        <v>6000</v>
      </c>
      <c r="Q424" s="179">
        <f t="shared" ref="Q424" si="435">SUM(Q425:Q427)</f>
        <v>6000</v>
      </c>
    </row>
    <row r="425" spans="1:17" customFormat="1" ht="14.4" x14ac:dyDescent="0.3">
      <c r="A425" s="189">
        <v>3221</v>
      </c>
      <c r="B425" s="190" t="s">
        <v>17</v>
      </c>
      <c r="C425" s="182">
        <v>7000</v>
      </c>
      <c r="D425" s="182">
        <v>6000</v>
      </c>
      <c r="E425" s="182"/>
      <c r="F425" s="182">
        <f t="shared" si="430"/>
        <v>1000</v>
      </c>
      <c r="G425" s="182">
        <v>7000</v>
      </c>
      <c r="H425" s="182">
        <v>7000</v>
      </c>
      <c r="I425" s="182">
        <v>7000</v>
      </c>
      <c r="J425" s="220">
        <v>5000</v>
      </c>
      <c r="K425" s="220"/>
      <c r="L425" s="220">
        <f>I425-J425+K425</f>
        <v>2000</v>
      </c>
      <c r="M425" s="182">
        <v>7000</v>
      </c>
      <c r="N425" s="182">
        <v>7000</v>
      </c>
      <c r="O425" s="182">
        <v>2000</v>
      </c>
      <c r="P425" s="182">
        <v>2000</v>
      </c>
      <c r="Q425" s="182">
        <v>2000</v>
      </c>
    </row>
    <row r="426" spans="1:17" customFormat="1" ht="14.4" x14ac:dyDescent="0.3">
      <c r="A426" s="189">
        <v>3222</v>
      </c>
      <c r="B426" s="190" t="s">
        <v>18</v>
      </c>
      <c r="C426" s="182">
        <v>7000</v>
      </c>
      <c r="D426" s="182">
        <v>6000</v>
      </c>
      <c r="E426" s="182"/>
      <c r="F426" s="182">
        <f t="shared" si="430"/>
        <v>1000</v>
      </c>
      <c r="G426" s="182">
        <v>7000</v>
      </c>
      <c r="H426" s="182">
        <v>7000</v>
      </c>
      <c r="I426" s="182">
        <v>7000</v>
      </c>
      <c r="J426" s="220">
        <v>5000</v>
      </c>
      <c r="K426" s="220"/>
      <c r="L426" s="220">
        <f>I426-J426+K426</f>
        <v>2000</v>
      </c>
      <c r="M426" s="182">
        <v>7000</v>
      </c>
      <c r="N426" s="182">
        <v>7000</v>
      </c>
      <c r="O426" s="182">
        <v>2000</v>
      </c>
      <c r="P426" s="182">
        <v>2000</v>
      </c>
      <c r="Q426" s="182">
        <v>2000</v>
      </c>
    </row>
    <row r="427" spans="1:17" customFormat="1" ht="14.4" x14ac:dyDescent="0.3">
      <c r="A427" s="189">
        <v>3225</v>
      </c>
      <c r="B427" s="190" t="s">
        <v>21</v>
      </c>
      <c r="C427" s="182">
        <v>7000</v>
      </c>
      <c r="D427" s="182">
        <v>6000</v>
      </c>
      <c r="E427" s="182"/>
      <c r="F427" s="182">
        <f t="shared" si="430"/>
        <v>1000</v>
      </c>
      <c r="G427" s="182">
        <v>7000</v>
      </c>
      <c r="H427" s="182">
        <v>7000</v>
      </c>
      <c r="I427" s="182">
        <v>7000</v>
      </c>
      <c r="J427" s="220">
        <v>5000</v>
      </c>
      <c r="K427" s="220"/>
      <c r="L427" s="220">
        <f>I427-J427+K427</f>
        <v>2000</v>
      </c>
      <c r="M427" s="182">
        <v>7000</v>
      </c>
      <c r="N427" s="182">
        <v>7000</v>
      </c>
      <c r="O427" s="182">
        <v>2000</v>
      </c>
      <c r="P427" s="182">
        <v>2000</v>
      </c>
      <c r="Q427" s="182">
        <v>2000</v>
      </c>
    </row>
    <row r="428" spans="1:17" customFormat="1" ht="14.4" x14ac:dyDescent="0.3">
      <c r="A428" s="188">
        <v>323</v>
      </c>
      <c r="B428" s="178" t="s">
        <v>23</v>
      </c>
      <c r="C428" s="179">
        <f t="shared" ref="C428:F428" si="436">SUM(C429:C431)</f>
        <v>60000</v>
      </c>
      <c r="D428" s="179">
        <f t="shared" si="436"/>
        <v>57000</v>
      </c>
      <c r="E428" s="179">
        <f t="shared" si="436"/>
        <v>0</v>
      </c>
      <c r="F428" s="179">
        <f t="shared" si="436"/>
        <v>3000</v>
      </c>
      <c r="G428" s="179">
        <f t="shared" ref="G428:H428" si="437">SUM(G429:G431)</f>
        <v>60000</v>
      </c>
      <c r="H428" s="179">
        <f t="shared" si="437"/>
        <v>60000</v>
      </c>
      <c r="I428" s="179">
        <f t="shared" ref="I428:N428" si="438">SUM(I429:I431)</f>
        <v>60000</v>
      </c>
      <c r="J428" s="179">
        <f t="shared" si="438"/>
        <v>45000</v>
      </c>
      <c r="K428" s="179">
        <f t="shared" si="438"/>
        <v>0</v>
      </c>
      <c r="L428" s="179">
        <f t="shared" si="438"/>
        <v>15000</v>
      </c>
      <c r="M428" s="179">
        <f t="shared" si="438"/>
        <v>60000</v>
      </c>
      <c r="N428" s="179">
        <f t="shared" si="438"/>
        <v>60000</v>
      </c>
      <c r="O428" s="179">
        <f t="shared" ref="O428:P428" si="439">SUM(O429:O431)</f>
        <v>15000</v>
      </c>
      <c r="P428" s="179">
        <f t="shared" si="439"/>
        <v>15000</v>
      </c>
      <c r="Q428" s="179">
        <f t="shared" ref="Q428" si="440">SUM(Q429:Q431)</f>
        <v>15000</v>
      </c>
    </row>
    <row r="429" spans="1:17" customFormat="1" ht="14.4" x14ac:dyDescent="0.3">
      <c r="A429" s="189">
        <v>3233</v>
      </c>
      <c r="B429" s="181" t="s">
        <v>26</v>
      </c>
      <c r="C429" s="182">
        <v>13000</v>
      </c>
      <c r="D429" s="182">
        <v>12000</v>
      </c>
      <c r="E429" s="182"/>
      <c r="F429" s="182">
        <f t="shared" si="430"/>
        <v>1000</v>
      </c>
      <c r="G429" s="182">
        <v>13000</v>
      </c>
      <c r="H429" s="182">
        <v>13000</v>
      </c>
      <c r="I429" s="182">
        <v>13000</v>
      </c>
      <c r="J429" s="220">
        <v>10000</v>
      </c>
      <c r="K429" s="220"/>
      <c r="L429" s="220">
        <f>I429-J429+K429</f>
        <v>3000</v>
      </c>
      <c r="M429" s="182">
        <v>13000</v>
      </c>
      <c r="N429" s="182">
        <v>13000</v>
      </c>
      <c r="O429" s="182">
        <v>3000</v>
      </c>
      <c r="P429" s="182">
        <v>3000</v>
      </c>
      <c r="Q429" s="182">
        <v>3000</v>
      </c>
    </row>
    <row r="430" spans="1:17" customFormat="1" ht="14.4" x14ac:dyDescent="0.3">
      <c r="A430" s="189">
        <v>3235</v>
      </c>
      <c r="B430" s="181" t="s">
        <v>28</v>
      </c>
      <c r="C430" s="182">
        <v>27000</v>
      </c>
      <c r="D430" s="182">
        <v>26000</v>
      </c>
      <c r="E430" s="182"/>
      <c r="F430" s="182">
        <f t="shared" si="430"/>
        <v>1000</v>
      </c>
      <c r="G430" s="182">
        <v>27000</v>
      </c>
      <c r="H430" s="182">
        <v>27000</v>
      </c>
      <c r="I430" s="182">
        <v>27000</v>
      </c>
      <c r="J430" s="220">
        <v>20000</v>
      </c>
      <c r="K430" s="220"/>
      <c r="L430" s="220">
        <f>I430-J430+K430</f>
        <v>7000</v>
      </c>
      <c r="M430" s="182">
        <v>27000</v>
      </c>
      <c r="N430" s="182">
        <v>27000</v>
      </c>
      <c r="O430" s="182">
        <v>7000</v>
      </c>
      <c r="P430" s="182">
        <v>7000</v>
      </c>
      <c r="Q430" s="182">
        <v>7000</v>
      </c>
    </row>
    <row r="431" spans="1:17" customFormat="1" ht="14.4" x14ac:dyDescent="0.3">
      <c r="A431" s="189">
        <v>3237</v>
      </c>
      <c r="B431" s="190" t="s">
        <v>30</v>
      </c>
      <c r="C431" s="182">
        <v>20000</v>
      </c>
      <c r="D431" s="182">
        <v>19000</v>
      </c>
      <c r="E431" s="182"/>
      <c r="F431" s="182">
        <f t="shared" si="430"/>
        <v>1000</v>
      </c>
      <c r="G431" s="182">
        <v>20000</v>
      </c>
      <c r="H431" s="182">
        <v>20000</v>
      </c>
      <c r="I431" s="182">
        <v>20000</v>
      </c>
      <c r="J431" s="220">
        <v>15000</v>
      </c>
      <c r="K431" s="220"/>
      <c r="L431" s="220">
        <f>I431-J431+K431</f>
        <v>5000</v>
      </c>
      <c r="M431" s="182">
        <v>20000</v>
      </c>
      <c r="N431" s="182">
        <v>20000</v>
      </c>
      <c r="O431" s="182">
        <v>5000</v>
      </c>
      <c r="P431" s="182">
        <v>5000</v>
      </c>
      <c r="Q431" s="182">
        <v>5000</v>
      </c>
    </row>
    <row r="432" spans="1:17" customFormat="1" ht="14.4" x14ac:dyDescent="0.3">
      <c r="A432" s="188">
        <v>329</v>
      </c>
      <c r="B432" s="178" t="s">
        <v>33</v>
      </c>
      <c r="C432" s="221">
        <f>SUM(C433)</f>
        <v>66000</v>
      </c>
      <c r="D432" s="221">
        <f t="shared" ref="D432:E432" si="441">SUM(D433:D433)</f>
        <v>65000</v>
      </c>
      <c r="E432" s="221">
        <f t="shared" si="441"/>
        <v>0</v>
      </c>
      <c r="F432" s="221">
        <f>SUM(F433)</f>
        <v>1000</v>
      </c>
      <c r="G432" s="221">
        <f>SUM(G433)</f>
        <v>66000</v>
      </c>
      <c r="H432" s="221">
        <f>SUM(H433)</f>
        <v>66000</v>
      </c>
      <c r="I432" s="221">
        <f>SUM(I433)</f>
        <v>66000</v>
      </c>
      <c r="J432" s="221">
        <f t="shared" ref="J432:K432" si="442">SUM(J433)</f>
        <v>60000</v>
      </c>
      <c r="K432" s="221">
        <f t="shared" si="442"/>
        <v>0</v>
      </c>
      <c r="L432" s="221">
        <f>SUM(L433)</f>
        <v>6000</v>
      </c>
      <c r="M432" s="221">
        <f t="shared" ref="M432:Q432" si="443">SUM(M433)</f>
        <v>66000</v>
      </c>
      <c r="N432" s="221">
        <f t="shared" si="443"/>
        <v>66000</v>
      </c>
      <c r="O432" s="221">
        <f t="shared" si="443"/>
        <v>6000</v>
      </c>
      <c r="P432" s="221">
        <f t="shared" si="443"/>
        <v>6000</v>
      </c>
      <c r="Q432" s="221">
        <f t="shared" si="443"/>
        <v>6000</v>
      </c>
    </row>
    <row r="433" spans="1:17" customFormat="1" ht="14.4" x14ac:dyDescent="0.3">
      <c r="A433" s="180">
        <v>3299</v>
      </c>
      <c r="B433" s="204" t="s">
        <v>33</v>
      </c>
      <c r="C433" s="182">
        <v>66000</v>
      </c>
      <c r="D433" s="182">
        <v>65000</v>
      </c>
      <c r="E433" s="182"/>
      <c r="F433" s="182">
        <f t="shared" si="430"/>
        <v>1000</v>
      </c>
      <c r="G433" s="182">
        <v>66000</v>
      </c>
      <c r="H433" s="182">
        <v>66000</v>
      </c>
      <c r="I433" s="182">
        <v>66000</v>
      </c>
      <c r="J433" s="220">
        <v>60000</v>
      </c>
      <c r="K433" s="220"/>
      <c r="L433" s="220">
        <f>I433-J433+K433</f>
        <v>6000</v>
      </c>
      <c r="M433" s="182">
        <v>66000</v>
      </c>
      <c r="N433" s="182">
        <v>66000</v>
      </c>
      <c r="O433" s="182">
        <v>6000</v>
      </c>
      <c r="P433" s="182">
        <v>6000</v>
      </c>
      <c r="Q433" s="182">
        <v>6000</v>
      </c>
    </row>
    <row r="434" spans="1:17" customFormat="1" ht="26.4" x14ac:dyDescent="0.3">
      <c r="A434" s="174" t="s">
        <v>323</v>
      </c>
      <c r="B434" s="186" t="s">
        <v>324</v>
      </c>
      <c r="C434" s="176">
        <f>SUM(C435)</f>
        <v>27000</v>
      </c>
      <c r="D434" s="176">
        <f t="shared" ref="D434:Q434" si="444">SUM(D435)</f>
        <v>0</v>
      </c>
      <c r="E434" s="176">
        <f t="shared" si="444"/>
        <v>0</v>
      </c>
      <c r="F434" s="176">
        <f t="shared" si="444"/>
        <v>27000</v>
      </c>
      <c r="G434" s="176">
        <f>SUM(G435)</f>
        <v>27000</v>
      </c>
      <c r="H434" s="176">
        <f>SUM(H435)</f>
        <v>27000</v>
      </c>
      <c r="I434" s="176">
        <f t="shared" si="444"/>
        <v>27000</v>
      </c>
      <c r="J434" s="176">
        <f t="shared" si="444"/>
        <v>20000</v>
      </c>
      <c r="K434" s="176">
        <f t="shared" si="444"/>
        <v>0</v>
      </c>
      <c r="L434" s="176">
        <f t="shared" si="444"/>
        <v>7000</v>
      </c>
      <c r="M434" s="176">
        <f t="shared" si="444"/>
        <v>27000</v>
      </c>
      <c r="N434" s="176">
        <f t="shared" si="444"/>
        <v>27000</v>
      </c>
      <c r="O434" s="176">
        <f t="shared" si="444"/>
        <v>7000</v>
      </c>
      <c r="P434" s="176">
        <f t="shared" si="444"/>
        <v>7000</v>
      </c>
      <c r="Q434" s="176">
        <f t="shared" si="444"/>
        <v>7000</v>
      </c>
    </row>
    <row r="435" spans="1:17" customFormat="1" ht="14.4" x14ac:dyDescent="0.3">
      <c r="A435" s="188">
        <v>422</v>
      </c>
      <c r="B435" s="192" t="s">
        <v>53</v>
      </c>
      <c r="C435" s="179">
        <f t="shared" ref="C435:Q435" si="445">SUM(C436)</f>
        <v>27000</v>
      </c>
      <c r="D435" s="179">
        <f t="shared" si="445"/>
        <v>0</v>
      </c>
      <c r="E435" s="179">
        <f t="shared" si="445"/>
        <v>0</v>
      </c>
      <c r="F435" s="179">
        <f t="shared" si="445"/>
        <v>27000</v>
      </c>
      <c r="G435" s="179">
        <f t="shared" si="445"/>
        <v>27000</v>
      </c>
      <c r="H435" s="179">
        <f t="shared" si="445"/>
        <v>27000</v>
      </c>
      <c r="I435" s="179">
        <f t="shared" si="445"/>
        <v>27000</v>
      </c>
      <c r="J435" s="179">
        <f t="shared" si="445"/>
        <v>20000</v>
      </c>
      <c r="K435" s="179">
        <f t="shared" si="445"/>
        <v>0</v>
      </c>
      <c r="L435" s="179">
        <f t="shared" si="445"/>
        <v>7000</v>
      </c>
      <c r="M435" s="179">
        <f t="shared" si="445"/>
        <v>27000</v>
      </c>
      <c r="N435" s="179">
        <f t="shared" si="445"/>
        <v>27000</v>
      </c>
      <c r="O435" s="179">
        <f t="shared" si="445"/>
        <v>7000</v>
      </c>
      <c r="P435" s="179">
        <f t="shared" si="445"/>
        <v>7000</v>
      </c>
      <c r="Q435" s="179">
        <f t="shared" si="445"/>
        <v>7000</v>
      </c>
    </row>
    <row r="436" spans="1:17" customFormat="1" ht="14.4" x14ac:dyDescent="0.3">
      <c r="A436" s="189">
        <v>4221</v>
      </c>
      <c r="B436" s="190" t="s">
        <v>54</v>
      </c>
      <c r="C436" s="182">
        <v>27000</v>
      </c>
      <c r="D436" s="182"/>
      <c r="E436" s="182"/>
      <c r="F436" s="182">
        <f t="shared" ref="F436" si="446">C436-D436+E436</f>
        <v>27000</v>
      </c>
      <c r="G436" s="182">
        <v>27000</v>
      </c>
      <c r="H436" s="182">
        <v>27000</v>
      </c>
      <c r="I436" s="182">
        <v>27000</v>
      </c>
      <c r="J436" s="220">
        <v>20000</v>
      </c>
      <c r="K436" s="220"/>
      <c r="L436" s="220">
        <f>I436-J436+K436</f>
        <v>7000</v>
      </c>
      <c r="M436" s="182">
        <v>27000</v>
      </c>
      <c r="N436" s="182">
        <v>27000</v>
      </c>
      <c r="O436" s="182">
        <v>7000</v>
      </c>
      <c r="P436" s="182">
        <v>7000</v>
      </c>
      <c r="Q436" s="182">
        <v>7000</v>
      </c>
    </row>
    <row r="437" spans="1:17" customFormat="1" ht="43.5" hidden="1" customHeight="1" x14ac:dyDescent="0.3">
      <c r="A437" s="410" t="s">
        <v>274</v>
      </c>
      <c r="B437" s="411" t="s">
        <v>278</v>
      </c>
      <c r="C437" s="172">
        <f t="shared" ref="C437:Q437" si="447">SUM(C438)</f>
        <v>0</v>
      </c>
      <c r="D437" s="172">
        <f t="shared" si="447"/>
        <v>0</v>
      </c>
      <c r="E437" s="172">
        <f t="shared" si="447"/>
        <v>0</v>
      </c>
      <c r="F437" s="172">
        <f t="shared" si="447"/>
        <v>0</v>
      </c>
      <c r="G437" s="172">
        <f t="shared" si="447"/>
        <v>0</v>
      </c>
      <c r="H437" s="172">
        <f t="shared" si="447"/>
        <v>0</v>
      </c>
      <c r="I437" s="172">
        <f t="shared" si="447"/>
        <v>0</v>
      </c>
      <c r="J437" s="172">
        <f t="shared" si="447"/>
        <v>0</v>
      </c>
      <c r="K437" s="172">
        <f t="shared" si="447"/>
        <v>0</v>
      </c>
      <c r="L437" s="172">
        <f t="shared" si="447"/>
        <v>0</v>
      </c>
      <c r="M437" s="172">
        <f t="shared" si="447"/>
        <v>0</v>
      </c>
      <c r="N437" s="172">
        <f t="shared" si="447"/>
        <v>0</v>
      </c>
      <c r="O437" s="172">
        <f t="shared" si="447"/>
        <v>0</v>
      </c>
      <c r="P437" s="172">
        <f t="shared" si="447"/>
        <v>0</v>
      </c>
      <c r="Q437" s="172">
        <f t="shared" si="447"/>
        <v>0</v>
      </c>
    </row>
    <row r="438" spans="1:17" customFormat="1" ht="18" hidden="1" customHeight="1" x14ac:dyDescent="0.3">
      <c r="A438" s="721" t="s">
        <v>106</v>
      </c>
      <c r="B438" s="721"/>
      <c r="C438" s="173">
        <f>SUM(C444,C471)</f>
        <v>0</v>
      </c>
      <c r="D438" s="173">
        <f t="shared" ref="D438:F438" si="448">SUM(D444,D471)</f>
        <v>0</v>
      </c>
      <c r="E438" s="173">
        <f t="shared" si="448"/>
        <v>0</v>
      </c>
      <c r="F438" s="173">
        <f t="shared" si="448"/>
        <v>0</v>
      </c>
      <c r="G438" s="173">
        <f t="shared" ref="G438:H438" si="449">SUM(G444,G471)</f>
        <v>0</v>
      </c>
      <c r="H438" s="173">
        <f t="shared" si="449"/>
        <v>0</v>
      </c>
      <c r="I438" s="173">
        <f t="shared" ref="I438:M438" si="450">SUM(I444,I471)</f>
        <v>0</v>
      </c>
      <c r="J438" s="173">
        <f t="shared" si="450"/>
        <v>0</v>
      </c>
      <c r="K438" s="173">
        <f t="shared" si="450"/>
        <v>0</v>
      </c>
      <c r="L438" s="173">
        <f t="shared" si="450"/>
        <v>0</v>
      </c>
      <c r="M438" s="173">
        <f t="shared" si="450"/>
        <v>0</v>
      </c>
      <c r="N438" s="173">
        <f t="shared" ref="N438:O438" si="451">SUM(N444,N471)</f>
        <v>0</v>
      </c>
      <c r="O438" s="173">
        <f t="shared" si="451"/>
        <v>0</v>
      </c>
      <c r="P438" s="173">
        <f t="shared" ref="P438:Q438" si="452">SUM(P444,P471)</f>
        <v>0</v>
      </c>
      <c r="Q438" s="173">
        <f t="shared" si="452"/>
        <v>0</v>
      </c>
    </row>
    <row r="439" spans="1:17" s="6" customFormat="1" ht="14.4" hidden="1" x14ac:dyDescent="0.3">
      <c r="A439" s="188" t="s">
        <v>143</v>
      </c>
      <c r="B439" s="192" t="s">
        <v>220</v>
      </c>
      <c r="C439" s="202">
        <f t="shared" ref="C439:D439" si="453">SUM(C440)</f>
        <v>0</v>
      </c>
      <c r="D439" s="202">
        <f t="shared" si="453"/>
        <v>0</v>
      </c>
      <c r="E439" s="202"/>
      <c r="F439" s="202"/>
      <c r="G439" s="202"/>
      <c r="H439" s="202"/>
      <c r="I439" s="202"/>
      <c r="J439" s="232"/>
      <c r="K439" s="232"/>
      <c r="L439" s="232"/>
      <c r="M439" s="202"/>
      <c r="N439" s="202"/>
      <c r="O439" s="202"/>
      <c r="P439" s="202"/>
      <c r="Q439" s="202"/>
    </row>
    <row r="440" spans="1:17" customFormat="1" ht="14.4" hidden="1" x14ac:dyDescent="0.3">
      <c r="A440" s="189" t="s">
        <v>145</v>
      </c>
      <c r="B440" s="190" t="s">
        <v>6</v>
      </c>
      <c r="C440" s="191"/>
      <c r="D440" s="191"/>
      <c r="E440" s="191"/>
      <c r="F440" s="191"/>
      <c r="G440" s="191"/>
      <c r="H440" s="191"/>
      <c r="I440" s="191"/>
      <c r="J440" s="233"/>
      <c r="K440" s="233"/>
      <c r="L440" s="233"/>
      <c r="M440" s="191"/>
      <c r="N440" s="191"/>
      <c r="O440" s="191"/>
      <c r="P440" s="191"/>
      <c r="Q440" s="191"/>
    </row>
    <row r="441" spans="1:17" s="6" customFormat="1" ht="14.4" hidden="1" x14ac:dyDescent="0.3">
      <c r="A441" s="188" t="s">
        <v>146</v>
      </c>
      <c r="B441" s="192" t="s">
        <v>126</v>
      </c>
      <c r="C441" s="202">
        <f t="shared" ref="C441:D441" si="454">SUM(C442:C443)</f>
        <v>0</v>
      </c>
      <c r="D441" s="202">
        <f t="shared" si="454"/>
        <v>0</v>
      </c>
      <c r="E441" s="202"/>
      <c r="F441" s="202"/>
      <c r="G441" s="202"/>
      <c r="H441" s="202"/>
      <c r="I441" s="202"/>
      <c r="J441" s="232"/>
      <c r="K441" s="232"/>
      <c r="L441" s="232"/>
      <c r="M441" s="202"/>
      <c r="N441" s="202"/>
      <c r="O441" s="202"/>
      <c r="P441" s="202"/>
      <c r="Q441" s="202"/>
    </row>
    <row r="442" spans="1:17" customFormat="1" ht="26.4" hidden="1" x14ac:dyDescent="0.3">
      <c r="A442" s="189" t="s">
        <v>147</v>
      </c>
      <c r="B442" s="190" t="s">
        <v>127</v>
      </c>
      <c r="C442" s="191"/>
      <c r="D442" s="191"/>
      <c r="E442" s="191"/>
      <c r="F442" s="191"/>
      <c r="G442" s="191"/>
      <c r="H442" s="191"/>
      <c r="I442" s="191"/>
      <c r="J442" s="233"/>
      <c r="K442" s="233"/>
      <c r="L442" s="233"/>
      <c r="M442" s="191"/>
      <c r="N442" s="191"/>
      <c r="O442" s="191"/>
      <c r="P442" s="191"/>
      <c r="Q442" s="191"/>
    </row>
    <row r="443" spans="1:17" customFormat="1" ht="26.4" hidden="1" x14ac:dyDescent="0.3">
      <c r="A443" s="189" t="s">
        <v>148</v>
      </c>
      <c r="B443" s="190" t="s">
        <v>128</v>
      </c>
      <c r="C443" s="191"/>
      <c r="D443" s="191"/>
      <c r="E443" s="191"/>
      <c r="F443" s="191"/>
      <c r="G443" s="191"/>
      <c r="H443" s="191"/>
      <c r="I443" s="191"/>
      <c r="J443" s="233"/>
      <c r="K443" s="233"/>
      <c r="L443" s="233"/>
      <c r="M443" s="191"/>
      <c r="N443" s="191"/>
      <c r="O443" s="191"/>
      <c r="P443" s="191"/>
      <c r="Q443" s="191"/>
    </row>
    <row r="444" spans="1:17" customFormat="1" ht="14.4" hidden="1" x14ac:dyDescent="0.3">
      <c r="A444" s="185" t="s">
        <v>317</v>
      </c>
      <c r="B444" s="185" t="s">
        <v>318</v>
      </c>
      <c r="C444" s="218">
        <f>SUM(C445,C447,C452,C459)</f>
        <v>0</v>
      </c>
      <c r="D444" s="218">
        <f t="shared" ref="D444:F444" si="455">SUM(D445,D447,D452,D459)</f>
        <v>0</v>
      </c>
      <c r="E444" s="218">
        <f t="shared" si="455"/>
        <v>0</v>
      </c>
      <c r="F444" s="218">
        <f t="shared" si="455"/>
        <v>0</v>
      </c>
      <c r="G444" s="218">
        <f t="shared" ref="G444:H444" si="456">SUM(G445,G447,G452,G459)</f>
        <v>0</v>
      </c>
      <c r="H444" s="218">
        <f t="shared" si="456"/>
        <v>0</v>
      </c>
      <c r="I444" s="218">
        <f t="shared" ref="I444:M444" si="457">SUM(I445,I447,I452,I459)</f>
        <v>0</v>
      </c>
      <c r="J444" s="218">
        <f t="shared" si="457"/>
        <v>0</v>
      </c>
      <c r="K444" s="218">
        <f t="shared" si="457"/>
        <v>0</v>
      </c>
      <c r="L444" s="218">
        <f t="shared" si="457"/>
        <v>0</v>
      </c>
      <c r="M444" s="218">
        <f t="shared" si="457"/>
        <v>0</v>
      </c>
      <c r="N444" s="218">
        <f t="shared" ref="N444:O444" si="458">SUM(N445,N447,N452,N459)</f>
        <v>0</v>
      </c>
      <c r="O444" s="218">
        <f t="shared" si="458"/>
        <v>0</v>
      </c>
      <c r="P444" s="218">
        <f t="shared" ref="P444:Q444" si="459">SUM(P445,P447,P452,P459)</f>
        <v>0</v>
      </c>
      <c r="Q444" s="218">
        <f t="shared" si="459"/>
        <v>0</v>
      </c>
    </row>
    <row r="445" spans="1:17" s="6" customFormat="1" ht="14.4" hidden="1" x14ac:dyDescent="0.3">
      <c r="A445" s="188" t="s">
        <v>149</v>
      </c>
      <c r="B445" s="192" t="s">
        <v>12</v>
      </c>
      <c r="C445" s="202">
        <f t="shared" ref="C445:Q445" si="460">SUM(C446)</f>
        <v>0</v>
      </c>
      <c r="D445" s="202">
        <f t="shared" si="460"/>
        <v>0</v>
      </c>
      <c r="E445" s="202">
        <f t="shared" si="460"/>
        <v>0</v>
      </c>
      <c r="F445" s="202">
        <f t="shared" si="460"/>
        <v>0</v>
      </c>
      <c r="G445" s="202">
        <f t="shared" si="460"/>
        <v>0</v>
      </c>
      <c r="H445" s="202">
        <f t="shared" si="460"/>
        <v>0</v>
      </c>
      <c r="I445" s="202">
        <f t="shared" si="460"/>
        <v>0</v>
      </c>
      <c r="J445" s="202">
        <f t="shared" si="460"/>
        <v>0</v>
      </c>
      <c r="K445" s="202">
        <f t="shared" si="460"/>
        <v>0</v>
      </c>
      <c r="L445" s="202">
        <f t="shared" si="460"/>
        <v>0</v>
      </c>
      <c r="M445" s="202">
        <f t="shared" si="460"/>
        <v>0</v>
      </c>
      <c r="N445" s="202">
        <f t="shared" si="460"/>
        <v>0</v>
      </c>
      <c r="O445" s="202">
        <f t="shared" si="460"/>
        <v>0</v>
      </c>
      <c r="P445" s="202">
        <f t="shared" si="460"/>
        <v>0</v>
      </c>
      <c r="Q445" s="202">
        <f t="shared" si="460"/>
        <v>0</v>
      </c>
    </row>
    <row r="446" spans="1:17" customFormat="1" ht="14.4" hidden="1" x14ac:dyDescent="0.3">
      <c r="A446" s="189">
        <v>3211</v>
      </c>
      <c r="B446" s="190" t="s">
        <v>13</v>
      </c>
      <c r="C446" s="191">
        <v>0</v>
      </c>
      <c r="D446" s="191"/>
      <c r="E446" s="191"/>
      <c r="F446" s="182">
        <f t="shared" ref="F446:F451" si="461">C446-D446+E446</f>
        <v>0</v>
      </c>
      <c r="G446" s="191"/>
      <c r="H446" s="191"/>
      <c r="I446" s="191"/>
      <c r="J446" s="233"/>
      <c r="K446" s="233"/>
      <c r="L446" s="233"/>
      <c r="M446" s="191"/>
      <c r="N446" s="191"/>
      <c r="O446" s="191"/>
      <c r="P446" s="191"/>
      <c r="Q446" s="191"/>
    </row>
    <row r="447" spans="1:17" s="6" customFormat="1" ht="14.4" hidden="1" x14ac:dyDescent="0.3">
      <c r="A447" s="188" t="s">
        <v>153</v>
      </c>
      <c r="B447" s="192" t="s">
        <v>16</v>
      </c>
      <c r="C447" s="202">
        <f t="shared" ref="C447:F447" si="462">SUM(C448:C451)</f>
        <v>0</v>
      </c>
      <c r="D447" s="202">
        <f t="shared" si="462"/>
        <v>0</v>
      </c>
      <c r="E447" s="202">
        <f t="shared" si="462"/>
        <v>0</v>
      </c>
      <c r="F447" s="202">
        <f t="shared" si="462"/>
        <v>0</v>
      </c>
      <c r="G447" s="202">
        <f t="shared" ref="G447:H447" si="463">SUM(G448:G451)</f>
        <v>0</v>
      </c>
      <c r="H447" s="202">
        <f t="shared" si="463"/>
        <v>0</v>
      </c>
      <c r="I447" s="202">
        <f t="shared" ref="I447:M447" si="464">SUM(I448:I451)</f>
        <v>0</v>
      </c>
      <c r="J447" s="202">
        <f t="shared" si="464"/>
        <v>0</v>
      </c>
      <c r="K447" s="202">
        <f t="shared" si="464"/>
        <v>0</v>
      </c>
      <c r="L447" s="202">
        <f t="shared" si="464"/>
        <v>0</v>
      </c>
      <c r="M447" s="202">
        <f t="shared" si="464"/>
        <v>0</v>
      </c>
      <c r="N447" s="202">
        <f t="shared" ref="N447:O447" si="465">SUM(N448:N451)</f>
        <v>0</v>
      </c>
      <c r="O447" s="202">
        <f t="shared" si="465"/>
        <v>0</v>
      </c>
      <c r="P447" s="202">
        <f t="shared" ref="P447:Q447" si="466">SUM(P448:P451)</f>
        <v>0</v>
      </c>
      <c r="Q447" s="202">
        <f t="shared" si="466"/>
        <v>0</v>
      </c>
    </row>
    <row r="448" spans="1:17" customFormat="1" ht="14.4" hidden="1" x14ac:dyDescent="0.3">
      <c r="A448" s="189" t="s">
        <v>154</v>
      </c>
      <c r="B448" s="190" t="s">
        <v>17</v>
      </c>
      <c r="C448" s="191"/>
      <c r="D448" s="191"/>
      <c r="E448" s="191"/>
      <c r="F448" s="182">
        <f t="shared" si="461"/>
        <v>0</v>
      </c>
      <c r="G448" s="191"/>
      <c r="H448" s="191"/>
      <c r="I448" s="191"/>
      <c r="J448" s="233"/>
      <c r="K448" s="233"/>
      <c r="L448" s="233"/>
      <c r="M448" s="191"/>
      <c r="N448" s="191"/>
      <c r="O448" s="191"/>
      <c r="P448" s="191"/>
      <c r="Q448" s="191"/>
    </row>
    <row r="449" spans="1:17" customFormat="1" ht="14.4" hidden="1" x14ac:dyDescent="0.3">
      <c r="A449" s="189" t="s">
        <v>155</v>
      </c>
      <c r="B449" s="190" t="s">
        <v>18</v>
      </c>
      <c r="C449" s="191"/>
      <c r="D449" s="191"/>
      <c r="E449" s="191"/>
      <c r="F449" s="182">
        <f t="shared" si="461"/>
        <v>0</v>
      </c>
      <c r="G449" s="191"/>
      <c r="H449" s="191"/>
      <c r="I449" s="191"/>
      <c r="J449" s="233"/>
      <c r="K449" s="233"/>
      <c r="L449" s="233"/>
      <c r="M449" s="191"/>
      <c r="N449" s="191"/>
      <c r="O449" s="191"/>
      <c r="P449" s="191"/>
      <c r="Q449" s="191"/>
    </row>
    <row r="450" spans="1:17" customFormat="1" ht="14.4" hidden="1" x14ac:dyDescent="0.3">
      <c r="A450" s="189" t="s">
        <v>156</v>
      </c>
      <c r="B450" s="190" t="s">
        <v>19</v>
      </c>
      <c r="C450" s="191"/>
      <c r="D450" s="191"/>
      <c r="E450" s="191"/>
      <c r="F450" s="182">
        <f t="shared" si="461"/>
        <v>0</v>
      </c>
      <c r="G450" s="191"/>
      <c r="H450" s="191"/>
      <c r="I450" s="191"/>
      <c r="J450" s="233"/>
      <c r="K450" s="233"/>
      <c r="L450" s="233"/>
      <c r="M450" s="191"/>
      <c r="N450" s="191"/>
      <c r="O450" s="191"/>
      <c r="P450" s="191"/>
      <c r="Q450" s="191"/>
    </row>
    <row r="451" spans="1:17" customFormat="1" ht="14.4" hidden="1" x14ac:dyDescent="0.3">
      <c r="A451" s="189">
        <v>3227</v>
      </c>
      <c r="B451" s="190" t="s">
        <v>22</v>
      </c>
      <c r="C451" s="191"/>
      <c r="D451" s="191"/>
      <c r="E451" s="191"/>
      <c r="F451" s="182">
        <f t="shared" si="461"/>
        <v>0</v>
      </c>
      <c r="G451" s="191"/>
      <c r="H451" s="191"/>
      <c r="I451" s="191"/>
      <c r="J451" s="233"/>
      <c r="K451" s="233"/>
      <c r="L451" s="233"/>
      <c r="M451" s="191"/>
      <c r="N451" s="191"/>
      <c r="O451" s="191"/>
      <c r="P451" s="191"/>
      <c r="Q451" s="191"/>
    </row>
    <row r="452" spans="1:17" s="6" customFormat="1" ht="14.4" hidden="1" x14ac:dyDescent="0.3">
      <c r="A452" s="188" t="s">
        <v>159</v>
      </c>
      <c r="B452" s="192" t="s">
        <v>123</v>
      </c>
      <c r="C452" s="202">
        <f t="shared" ref="C452:F452" si="467">SUM(C453:C458)</f>
        <v>0</v>
      </c>
      <c r="D452" s="202">
        <f t="shared" si="467"/>
        <v>0</v>
      </c>
      <c r="E452" s="202">
        <f t="shared" si="467"/>
        <v>0</v>
      </c>
      <c r="F452" s="202">
        <f t="shared" si="467"/>
        <v>0</v>
      </c>
      <c r="G452" s="202">
        <f t="shared" ref="G452:H452" si="468">SUM(G453:G458)</f>
        <v>0</v>
      </c>
      <c r="H452" s="202">
        <f t="shared" si="468"/>
        <v>0</v>
      </c>
      <c r="I452" s="202">
        <f t="shared" ref="I452:M452" si="469">SUM(I453:I458)</f>
        <v>0</v>
      </c>
      <c r="J452" s="202">
        <f t="shared" si="469"/>
        <v>0</v>
      </c>
      <c r="K452" s="202">
        <f t="shared" si="469"/>
        <v>0</v>
      </c>
      <c r="L452" s="202">
        <f t="shared" si="469"/>
        <v>0</v>
      </c>
      <c r="M452" s="202">
        <f t="shared" si="469"/>
        <v>0</v>
      </c>
      <c r="N452" s="202">
        <f t="shared" ref="N452:O452" si="470">SUM(N453:N458)</f>
        <v>0</v>
      </c>
      <c r="O452" s="202">
        <f t="shared" si="470"/>
        <v>0</v>
      </c>
      <c r="P452" s="202">
        <f t="shared" ref="P452:Q452" si="471">SUM(P453:P458)</f>
        <v>0</v>
      </c>
      <c r="Q452" s="202">
        <f t="shared" si="471"/>
        <v>0</v>
      </c>
    </row>
    <row r="453" spans="1:17" customFormat="1" ht="14.4" hidden="1" x14ac:dyDescent="0.3">
      <c r="A453" s="189" t="s">
        <v>160</v>
      </c>
      <c r="B453" s="190" t="s">
        <v>24</v>
      </c>
      <c r="C453" s="191"/>
      <c r="D453" s="191"/>
      <c r="E453" s="191"/>
      <c r="F453" s="191"/>
      <c r="G453" s="191"/>
      <c r="H453" s="191"/>
      <c r="I453" s="191"/>
      <c r="J453" s="233"/>
      <c r="K453" s="233"/>
      <c r="L453" s="233"/>
      <c r="M453" s="191"/>
      <c r="N453" s="191"/>
      <c r="O453" s="191"/>
      <c r="P453" s="191"/>
      <c r="Q453" s="191"/>
    </row>
    <row r="454" spans="1:17" customFormat="1" ht="14.4" hidden="1" x14ac:dyDescent="0.3">
      <c r="A454" s="189" t="s">
        <v>161</v>
      </c>
      <c r="B454" s="190" t="s">
        <v>25</v>
      </c>
      <c r="C454" s="191"/>
      <c r="D454" s="191"/>
      <c r="E454" s="191"/>
      <c r="F454" s="191"/>
      <c r="G454" s="191"/>
      <c r="H454" s="191"/>
      <c r="I454" s="191"/>
      <c r="J454" s="233"/>
      <c r="K454" s="233"/>
      <c r="L454" s="233"/>
      <c r="M454" s="191"/>
      <c r="N454" s="191"/>
      <c r="O454" s="191"/>
      <c r="P454" s="191"/>
      <c r="Q454" s="191"/>
    </row>
    <row r="455" spans="1:17" customFormat="1" ht="14.4" hidden="1" x14ac:dyDescent="0.3">
      <c r="A455" s="189" t="s">
        <v>162</v>
      </c>
      <c r="B455" s="190" t="s">
        <v>26</v>
      </c>
      <c r="C455" s="191"/>
      <c r="D455" s="191"/>
      <c r="E455" s="191"/>
      <c r="F455" s="182">
        <f t="shared" ref="F455:F460" si="472">C455-D455+E455</f>
        <v>0</v>
      </c>
      <c r="G455" s="191"/>
      <c r="H455" s="191"/>
      <c r="I455" s="191"/>
      <c r="J455" s="233"/>
      <c r="K455" s="233"/>
      <c r="L455" s="233"/>
      <c r="M455" s="191"/>
      <c r="N455" s="191"/>
      <c r="O455" s="191"/>
      <c r="P455" s="191"/>
      <c r="Q455" s="191"/>
    </row>
    <row r="456" spans="1:17" customFormat="1" ht="14.4" hidden="1" x14ac:dyDescent="0.3">
      <c r="A456" s="189" t="s">
        <v>164</v>
      </c>
      <c r="B456" s="190" t="s">
        <v>28</v>
      </c>
      <c r="C456" s="191"/>
      <c r="D456" s="191"/>
      <c r="E456" s="191"/>
      <c r="F456" s="182">
        <f t="shared" si="472"/>
        <v>0</v>
      </c>
      <c r="G456" s="191"/>
      <c r="H456" s="191"/>
      <c r="I456" s="191"/>
      <c r="J456" s="233"/>
      <c r="K456" s="233"/>
      <c r="L456" s="233"/>
      <c r="M456" s="191"/>
      <c r="N456" s="191"/>
      <c r="O456" s="191"/>
      <c r="P456" s="191"/>
      <c r="Q456" s="191"/>
    </row>
    <row r="457" spans="1:17" customFormat="1" ht="14.4" hidden="1" x14ac:dyDescent="0.3">
      <c r="A457" s="189">
        <v>3237</v>
      </c>
      <c r="B457" s="190" t="s">
        <v>30</v>
      </c>
      <c r="C457" s="191"/>
      <c r="D457" s="191"/>
      <c r="E457" s="191"/>
      <c r="F457" s="182">
        <f t="shared" si="472"/>
        <v>0</v>
      </c>
      <c r="G457" s="191"/>
      <c r="H457" s="191"/>
      <c r="I457" s="191"/>
      <c r="J457" s="233"/>
      <c r="K457" s="233"/>
      <c r="L457" s="233"/>
      <c r="M457" s="191"/>
      <c r="N457" s="191"/>
      <c r="O457" s="191"/>
      <c r="P457" s="191"/>
      <c r="Q457" s="191"/>
    </row>
    <row r="458" spans="1:17" customFormat="1" ht="14.4" hidden="1" x14ac:dyDescent="0.3">
      <c r="A458" s="189" t="s">
        <v>167</v>
      </c>
      <c r="B458" s="190" t="s">
        <v>31</v>
      </c>
      <c r="C458" s="191"/>
      <c r="D458" s="191"/>
      <c r="E458" s="191"/>
      <c r="F458" s="182">
        <f t="shared" si="472"/>
        <v>0</v>
      </c>
      <c r="G458" s="191"/>
      <c r="H458" s="191"/>
      <c r="I458" s="191"/>
      <c r="J458" s="233"/>
      <c r="K458" s="233"/>
      <c r="L458" s="233"/>
      <c r="M458" s="191"/>
      <c r="N458" s="191"/>
      <c r="O458" s="191"/>
      <c r="P458" s="191"/>
      <c r="Q458" s="191"/>
    </row>
    <row r="459" spans="1:17" s="6" customFormat="1" ht="26.4" hidden="1" x14ac:dyDescent="0.3">
      <c r="A459" s="188" t="s">
        <v>168</v>
      </c>
      <c r="B459" s="192" t="s">
        <v>32</v>
      </c>
      <c r="C459" s="202">
        <f t="shared" ref="C459:Q459" si="473">SUM(C460)</f>
        <v>0</v>
      </c>
      <c r="D459" s="202">
        <f t="shared" si="473"/>
        <v>0</v>
      </c>
      <c r="E459" s="202">
        <f t="shared" si="473"/>
        <v>0</v>
      </c>
      <c r="F459" s="202">
        <f t="shared" si="473"/>
        <v>0</v>
      </c>
      <c r="G459" s="202">
        <f t="shared" si="473"/>
        <v>0</v>
      </c>
      <c r="H459" s="202">
        <f t="shared" si="473"/>
        <v>0</v>
      </c>
      <c r="I459" s="202">
        <f t="shared" si="473"/>
        <v>0</v>
      </c>
      <c r="J459" s="202">
        <f t="shared" si="473"/>
        <v>0</v>
      </c>
      <c r="K459" s="202">
        <f t="shared" si="473"/>
        <v>0</v>
      </c>
      <c r="L459" s="202">
        <f t="shared" si="473"/>
        <v>0</v>
      </c>
      <c r="M459" s="202">
        <f t="shared" si="473"/>
        <v>0</v>
      </c>
      <c r="N459" s="202">
        <f t="shared" si="473"/>
        <v>0</v>
      </c>
      <c r="O459" s="202">
        <f t="shared" si="473"/>
        <v>0</v>
      </c>
      <c r="P459" s="202">
        <f t="shared" si="473"/>
        <v>0</v>
      </c>
      <c r="Q459" s="202">
        <f t="shared" si="473"/>
        <v>0</v>
      </c>
    </row>
    <row r="460" spans="1:17" customFormat="1" ht="26.4" hidden="1" x14ac:dyDescent="0.3">
      <c r="A460" s="189" t="s">
        <v>169</v>
      </c>
      <c r="B460" s="190" t="s">
        <v>32</v>
      </c>
      <c r="C460" s="191"/>
      <c r="D460" s="191"/>
      <c r="E460" s="191"/>
      <c r="F460" s="182">
        <f t="shared" si="472"/>
        <v>0</v>
      </c>
      <c r="G460" s="191"/>
      <c r="H460" s="191"/>
      <c r="I460" s="191"/>
      <c r="J460" s="233"/>
      <c r="K460" s="233"/>
      <c r="L460" s="233"/>
      <c r="M460" s="191"/>
      <c r="N460" s="191"/>
      <c r="O460" s="191"/>
      <c r="P460" s="191"/>
      <c r="Q460" s="191"/>
    </row>
    <row r="461" spans="1:17" s="6" customFormat="1" ht="14.4" hidden="1" x14ac:dyDescent="0.3">
      <c r="A461" s="188" t="s">
        <v>170</v>
      </c>
      <c r="B461" s="192" t="s">
        <v>33</v>
      </c>
      <c r="C461" s="202">
        <f t="shared" ref="C461:D461" si="474">SUM(C462:C464)</f>
        <v>0</v>
      </c>
      <c r="D461" s="202">
        <f t="shared" si="474"/>
        <v>0</v>
      </c>
      <c r="E461" s="202"/>
      <c r="F461" s="202"/>
      <c r="G461" s="202"/>
      <c r="H461" s="202"/>
      <c r="I461" s="202"/>
      <c r="J461" s="232"/>
      <c r="K461" s="232"/>
      <c r="L461" s="232"/>
      <c r="M461" s="202"/>
      <c r="N461" s="202"/>
      <c r="O461" s="202"/>
      <c r="P461" s="202"/>
      <c r="Q461" s="202"/>
    </row>
    <row r="462" spans="1:17" customFormat="1" ht="14.4" hidden="1" x14ac:dyDescent="0.3">
      <c r="A462" s="189" t="s">
        <v>171</v>
      </c>
      <c r="B462" s="190" t="s">
        <v>35</v>
      </c>
      <c r="C462" s="191"/>
      <c r="D462" s="191"/>
      <c r="E462" s="191"/>
      <c r="F462" s="191"/>
      <c r="G462" s="191"/>
      <c r="H462" s="191"/>
      <c r="I462" s="191"/>
      <c r="J462" s="233"/>
      <c r="K462" s="233"/>
      <c r="L462" s="233"/>
      <c r="M462" s="191"/>
      <c r="N462" s="191"/>
      <c r="O462" s="191"/>
      <c r="P462" s="191"/>
      <c r="Q462" s="191"/>
    </row>
    <row r="463" spans="1:17" customFormat="1" ht="14.4" hidden="1" x14ac:dyDescent="0.3">
      <c r="A463" s="189" t="s">
        <v>172</v>
      </c>
      <c r="B463" s="190" t="s">
        <v>36</v>
      </c>
      <c r="C463" s="191"/>
      <c r="D463" s="191"/>
      <c r="E463" s="191"/>
      <c r="F463" s="191"/>
      <c r="G463" s="191"/>
      <c r="H463" s="191"/>
      <c r="I463" s="191"/>
      <c r="J463" s="233"/>
      <c r="K463" s="233"/>
      <c r="L463" s="233"/>
      <c r="M463" s="191"/>
      <c r="N463" s="191"/>
      <c r="O463" s="191"/>
      <c r="P463" s="191"/>
      <c r="Q463" s="191"/>
    </row>
    <row r="464" spans="1:17" customFormat="1" ht="14.4" hidden="1" x14ac:dyDescent="0.3">
      <c r="A464" s="189" t="s">
        <v>173</v>
      </c>
      <c r="B464" s="190" t="s">
        <v>33</v>
      </c>
      <c r="C464" s="191"/>
      <c r="D464" s="191"/>
      <c r="E464" s="191"/>
      <c r="F464" s="191"/>
      <c r="G464" s="191"/>
      <c r="H464" s="191"/>
      <c r="I464" s="191"/>
      <c r="J464" s="233"/>
      <c r="K464" s="233"/>
      <c r="L464" s="233"/>
      <c r="M464" s="191"/>
      <c r="N464" s="191"/>
      <c r="O464" s="191"/>
      <c r="P464" s="191"/>
      <c r="Q464" s="191"/>
    </row>
    <row r="465" spans="1:17" s="6" customFormat="1" ht="26.4" hidden="1" x14ac:dyDescent="0.3">
      <c r="A465" s="188" t="s">
        <v>249</v>
      </c>
      <c r="B465" s="192" t="s">
        <v>231</v>
      </c>
      <c r="C465" s="202">
        <f t="shared" ref="C465:D465" si="475">SUM(C466)</f>
        <v>0</v>
      </c>
      <c r="D465" s="202">
        <f t="shared" si="475"/>
        <v>0</v>
      </c>
      <c r="E465" s="202"/>
      <c r="F465" s="202"/>
      <c r="G465" s="202"/>
      <c r="H465" s="202"/>
      <c r="I465" s="202"/>
      <c r="J465" s="232"/>
      <c r="K465" s="232"/>
      <c r="L465" s="232"/>
      <c r="M465" s="202"/>
      <c r="N465" s="202"/>
      <c r="O465" s="202"/>
      <c r="P465" s="202"/>
      <c r="Q465" s="202"/>
    </row>
    <row r="466" spans="1:17" customFormat="1" ht="26.4" hidden="1" x14ac:dyDescent="0.3">
      <c r="A466" s="189" t="s">
        <v>250</v>
      </c>
      <c r="B466" s="190" t="s">
        <v>251</v>
      </c>
      <c r="C466" s="191"/>
      <c r="D466" s="191"/>
      <c r="E466" s="191"/>
      <c r="F466" s="191"/>
      <c r="G466" s="191"/>
      <c r="H466" s="191"/>
      <c r="I466" s="191"/>
      <c r="J466" s="233"/>
      <c r="K466" s="233"/>
      <c r="L466" s="233"/>
      <c r="M466" s="191"/>
      <c r="N466" s="191"/>
      <c r="O466" s="191"/>
      <c r="P466" s="191"/>
      <c r="Q466" s="191"/>
    </row>
    <row r="467" spans="1:17" s="6" customFormat="1" ht="14.4" hidden="1" x14ac:dyDescent="0.3">
      <c r="A467" s="188" t="s">
        <v>139</v>
      </c>
      <c r="B467" s="192" t="s">
        <v>124</v>
      </c>
      <c r="C467" s="202">
        <f t="shared" ref="C467:D467" si="476">SUM(C468)</f>
        <v>0</v>
      </c>
      <c r="D467" s="202">
        <f t="shared" si="476"/>
        <v>0</v>
      </c>
      <c r="E467" s="202"/>
      <c r="F467" s="202"/>
      <c r="G467" s="202"/>
      <c r="H467" s="202"/>
      <c r="I467" s="202"/>
      <c r="J467" s="232"/>
      <c r="K467" s="232"/>
      <c r="L467" s="232"/>
      <c r="M467" s="202"/>
      <c r="N467" s="202"/>
      <c r="O467" s="202"/>
      <c r="P467" s="202"/>
      <c r="Q467" s="202"/>
    </row>
    <row r="468" spans="1:17" customFormat="1" ht="14.4" hidden="1" x14ac:dyDescent="0.3">
      <c r="A468" s="189" t="s">
        <v>140</v>
      </c>
      <c r="B468" s="190" t="s">
        <v>46</v>
      </c>
      <c r="C468" s="191"/>
      <c r="D468" s="191"/>
      <c r="E468" s="191"/>
      <c r="F468" s="191"/>
      <c r="G468" s="191"/>
      <c r="H468" s="191"/>
      <c r="I468" s="191"/>
      <c r="J468" s="233"/>
      <c r="K468" s="233"/>
      <c r="L468" s="233"/>
      <c r="M468" s="191"/>
      <c r="N468" s="191"/>
      <c r="O468" s="191"/>
      <c r="P468" s="191"/>
      <c r="Q468" s="191"/>
    </row>
    <row r="469" spans="1:17" s="6" customFormat="1" ht="14.4" hidden="1" x14ac:dyDescent="0.3">
      <c r="A469" s="188" t="s">
        <v>193</v>
      </c>
      <c r="B469" s="192" t="s">
        <v>73</v>
      </c>
      <c r="C469" s="202">
        <f t="shared" ref="C469:D469" si="477">SUM(C470)</f>
        <v>0</v>
      </c>
      <c r="D469" s="202">
        <f t="shared" si="477"/>
        <v>0</v>
      </c>
      <c r="E469" s="202"/>
      <c r="F469" s="202"/>
      <c r="G469" s="202"/>
      <c r="H469" s="202"/>
      <c r="I469" s="202"/>
      <c r="J469" s="232"/>
      <c r="K469" s="232"/>
      <c r="L469" s="232"/>
      <c r="M469" s="202"/>
      <c r="N469" s="202"/>
      <c r="O469" s="202"/>
      <c r="P469" s="202"/>
      <c r="Q469" s="202"/>
    </row>
    <row r="470" spans="1:17" customFormat="1" ht="14.4" hidden="1" x14ac:dyDescent="0.3">
      <c r="A470" s="189" t="s">
        <v>194</v>
      </c>
      <c r="B470" s="190" t="s">
        <v>88</v>
      </c>
      <c r="C470" s="191"/>
      <c r="D470" s="191"/>
      <c r="E470" s="191"/>
      <c r="F470" s="191"/>
      <c r="G470" s="191"/>
      <c r="H470" s="191"/>
      <c r="I470" s="191"/>
      <c r="J470" s="233"/>
      <c r="K470" s="233"/>
      <c r="L470" s="233"/>
      <c r="M470" s="191"/>
      <c r="N470" s="191"/>
      <c r="O470" s="191"/>
      <c r="P470" s="191"/>
      <c r="Q470" s="191"/>
    </row>
    <row r="471" spans="1:17" customFormat="1" ht="26.4" hidden="1" x14ac:dyDescent="0.3">
      <c r="A471" s="174" t="s">
        <v>323</v>
      </c>
      <c r="B471" s="186" t="s">
        <v>324</v>
      </c>
      <c r="C471" s="176">
        <f>SUM(C472)</f>
        <v>0</v>
      </c>
      <c r="D471" s="176">
        <f t="shared" ref="D471:Q471" si="478">SUM(D472)</f>
        <v>0</v>
      </c>
      <c r="E471" s="176">
        <f t="shared" si="478"/>
        <v>0</v>
      </c>
      <c r="F471" s="176">
        <f t="shared" si="478"/>
        <v>0</v>
      </c>
      <c r="G471" s="176">
        <f t="shared" si="478"/>
        <v>0</v>
      </c>
      <c r="H471" s="176">
        <f t="shared" si="478"/>
        <v>0</v>
      </c>
      <c r="I471" s="176">
        <f t="shared" si="478"/>
        <v>0</v>
      </c>
      <c r="J471" s="176">
        <f t="shared" si="478"/>
        <v>0</v>
      </c>
      <c r="K471" s="176">
        <f t="shared" si="478"/>
        <v>0</v>
      </c>
      <c r="L471" s="176">
        <f t="shared" si="478"/>
        <v>0</v>
      </c>
      <c r="M471" s="176">
        <f t="shared" si="478"/>
        <v>0</v>
      </c>
      <c r="N471" s="176">
        <f t="shared" si="478"/>
        <v>0</v>
      </c>
      <c r="O471" s="176">
        <f t="shared" si="478"/>
        <v>0</v>
      </c>
      <c r="P471" s="176">
        <f t="shared" si="478"/>
        <v>0</v>
      </c>
      <c r="Q471" s="176">
        <f t="shared" si="478"/>
        <v>0</v>
      </c>
    </row>
    <row r="472" spans="1:17" customFormat="1" ht="14.25" hidden="1" customHeight="1" x14ac:dyDescent="0.3">
      <c r="A472" s="188">
        <v>422</v>
      </c>
      <c r="B472" s="192" t="s">
        <v>53</v>
      </c>
      <c r="C472" s="179">
        <f>SUM(C473:C475)</f>
        <v>0</v>
      </c>
      <c r="D472" s="179">
        <f t="shared" ref="D472:F472" si="479">SUM(D473:D475)</f>
        <v>0</v>
      </c>
      <c r="E472" s="179">
        <f t="shared" si="479"/>
        <v>0</v>
      </c>
      <c r="F472" s="179">
        <f t="shared" si="479"/>
        <v>0</v>
      </c>
      <c r="G472" s="179">
        <f t="shared" ref="G472:H472" si="480">SUM(G473:G475)</f>
        <v>0</v>
      </c>
      <c r="H472" s="179">
        <f t="shared" si="480"/>
        <v>0</v>
      </c>
      <c r="I472" s="179">
        <f t="shared" ref="I472:M472" si="481">SUM(I473:I475)</f>
        <v>0</v>
      </c>
      <c r="J472" s="179">
        <f t="shared" si="481"/>
        <v>0</v>
      </c>
      <c r="K472" s="179">
        <f t="shared" si="481"/>
        <v>0</v>
      </c>
      <c r="L472" s="179">
        <f t="shared" si="481"/>
        <v>0</v>
      </c>
      <c r="M472" s="179">
        <f t="shared" si="481"/>
        <v>0</v>
      </c>
      <c r="N472" s="179">
        <f t="shared" ref="N472:O472" si="482">SUM(N473:N475)</f>
        <v>0</v>
      </c>
      <c r="O472" s="179">
        <f t="shared" si="482"/>
        <v>0</v>
      </c>
      <c r="P472" s="179">
        <f t="shared" ref="P472:Q472" si="483">SUM(P473:P475)</f>
        <v>0</v>
      </c>
      <c r="Q472" s="179">
        <f t="shared" si="483"/>
        <v>0</v>
      </c>
    </row>
    <row r="473" spans="1:17" customFormat="1" ht="15.75" hidden="1" customHeight="1" x14ac:dyDescent="0.3">
      <c r="A473" s="189">
        <v>4222</v>
      </c>
      <c r="B473" s="190" t="s">
        <v>58</v>
      </c>
      <c r="C473" s="182"/>
      <c r="D473" s="182"/>
      <c r="E473" s="182"/>
      <c r="F473" s="182">
        <f t="shared" ref="F473:F475" si="484">C473-D473+E473</f>
        <v>0</v>
      </c>
      <c r="G473" s="182"/>
      <c r="H473" s="182"/>
      <c r="I473" s="182"/>
      <c r="J473" s="220"/>
      <c r="K473" s="220"/>
      <c r="L473" s="220"/>
      <c r="M473" s="182"/>
      <c r="N473" s="182"/>
      <c r="O473" s="182"/>
      <c r="P473" s="182"/>
      <c r="Q473" s="182"/>
    </row>
    <row r="474" spans="1:17" customFormat="1" ht="14.4" hidden="1" x14ac:dyDescent="0.3">
      <c r="A474" s="189">
        <v>4223</v>
      </c>
      <c r="B474" s="190" t="s">
        <v>59</v>
      </c>
      <c r="C474" s="182"/>
      <c r="D474" s="182"/>
      <c r="E474" s="182"/>
      <c r="F474" s="182">
        <f t="shared" si="484"/>
        <v>0</v>
      </c>
      <c r="G474" s="182"/>
      <c r="H474" s="182"/>
      <c r="I474" s="182"/>
      <c r="J474" s="220"/>
      <c r="K474" s="220"/>
      <c r="L474" s="220"/>
      <c r="M474" s="182"/>
      <c r="N474" s="182"/>
      <c r="O474" s="182"/>
      <c r="P474" s="182"/>
      <c r="Q474" s="182"/>
    </row>
    <row r="475" spans="1:17" customFormat="1" ht="14.4" hidden="1" x14ac:dyDescent="0.3">
      <c r="A475" s="189">
        <v>4224</v>
      </c>
      <c r="B475" s="190" t="s">
        <v>283</v>
      </c>
      <c r="C475" s="182"/>
      <c r="D475" s="182"/>
      <c r="E475" s="182"/>
      <c r="F475" s="182">
        <f t="shared" si="484"/>
        <v>0</v>
      </c>
      <c r="G475" s="182"/>
      <c r="H475" s="182"/>
      <c r="I475" s="182"/>
      <c r="J475" s="220"/>
      <c r="K475" s="220"/>
      <c r="L475" s="220"/>
      <c r="M475" s="182"/>
      <c r="N475" s="182"/>
      <c r="O475" s="182"/>
      <c r="P475" s="182"/>
      <c r="Q475" s="182"/>
    </row>
    <row r="476" spans="1:17" customFormat="1" ht="43.5" customHeight="1" x14ac:dyDescent="0.3">
      <c r="A476" s="230" t="s">
        <v>276</v>
      </c>
      <c r="B476" s="231" t="s">
        <v>277</v>
      </c>
      <c r="C476" s="172">
        <f t="shared" ref="C476:Q476" si="485">SUM(C477)</f>
        <v>787000</v>
      </c>
      <c r="D476" s="172">
        <f t="shared" si="485"/>
        <v>589000</v>
      </c>
      <c r="E476" s="172">
        <f t="shared" si="485"/>
        <v>6000</v>
      </c>
      <c r="F476" s="172">
        <f t="shared" si="485"/>
        <v>204000</v>
      </c>
      <c r="G476" s="172">
        <f t="shared" si="485"/>
        <v>645000</v>
      </c>
      <c r="H476" s="172">
        <f t="shared" si="485"/>
        <v>107000</v>
      </c>
      <c r="I476" s="172">
        <f t="shared" si="485"/>
        <v>1025000</v>
      </c>
      <c r="J476" s="172">
        <f t="shared" si="485"/>
        <v>432000</v>
      </c>
      <c r="K476" s="172">
        <f t="shared" si="485"/>
        <v>13000</v>
      </c>
      <c r="L476" s="172">
        <f t="shared" si="485"/>
        <v>606000</v>
      </c>
      <c r="M476" s="172">
        <f t="shared" si="485"/>
        <v>89000</v>
      </c>
      <c r="N476" s="172">
        <f t="shared" si="485"/>
        <v>0</v>
      </c>
      <c r="O476" s="172">
        <f t="shared" si="485"/>
        <v>213500</v>
      </c>
      <c r="P476" s="172">
        <f t="shared" si="485"/>
        <v>370500</v>
      </c>
      <c r="Q476" s="172">
        <f t="shared" si="485"/>
        <v>0</v>
      </c>
    </row>
    <row r="477" spans="1:17" customFormat="1" ht="14.4" x14ac:dyDescent="0.3">
      <c r="A477" s="721" t="s">
        <v>106</v>
      </c>
      <c r="B477" s="721"/>
      <c r="C477" s="173">
        <f>SUM(C478,C484)</f>
        <v>787000</v>
      </c>
      <c r="D477" s="173">
        <f t="shared" ref="D477:F477" si="486">SUM(D478,D484)</f>
        <v>589000</v>
      </c>
      <c r="E477" s="173">
        <f t="shared" si="486"/>
        <v>6000</v>
      </c>
      <c r="F477" s="173">
        <f t="shared" si="486"/>
        <v>204000</v>
      </c>
      <c r="G477" s="173">
        <f t="shared" ref="G477:H477" si="487">SUM(G478,G484)</f>
        <v>645000</v>
      </c>
      <c r="H477" s="173">
        <f t="shared" si="487"/>
        <v>107000</v>
      </c>
      <c r="I477" s="173">
        <f t="shared" ref="I477:N477" si="488">SUM(I478,I484)</f>
        <v>1025000</v>
      </c>
      <c r="J477" s="173">
        <f t="shared" si="488"/>
        <v>432000</v>
      </c>
      <c r="K477" s="173">
        <f t="shared" si="488"/>
        <v>13000</v>
      </c>
      <c r="L477" s="173">
        <f>SUM(L478,L484,L512)</f>
        <v>606000</v>
      </c>
      <c r="M477" s="173">
        <f t="shared" si="488"/>
        <v>89000</v>
      </c>
      <c r="N477" s="173">
        <f t="shared" si="488"/>
        <v>0</v>
      </c>
      <c r="O477" s="173">
        <f>SUM(O478,O484,O512)</f>
        <v>213500</v>
      </c>
      <c r="P477" s="173">
        <f>SUM(P478,P484,P512)</f>
        <v>370500</v>
      </c>
      <c r="Q477" s="173">
        <f t="shared" ref="Q477" si="489">SUM(Q478,Q484)</f>
        <v>0</v>
      </c>
    </row>
    <row r="478" spans="1:17" customFormat="1" ht="14.4" x14ac:dyDescent="0.3">
      <c r="A478" s="185" t="s">
        <v>315</v>
      </c>
      <c r="B478" s="186" t="s">
        <v>316</v>
      </c>
      <c r="C478" s="187">
        <f>SUM(C479)</f>
        <v>237000</v>
      </c>
      <c r="D478" s="187">
        <f t="shared" ref="D478:Q478" si="490">SUM(D479)</f>
        <v>152000</v>
      </c>
      <c r="E478" s="187">
        <f t="shared" si="490"/>
        <v>0</v>
      </c>
      <c r="F478" s="187">
        <f t="shared" si="490"/>
        <v>85000</v>
      </c>
      <c r="G478" s="187">
        <f t="shared" si="490"/>
        <v>233000</v>
      </c>
      <c r="H478" s="187">
        <f t="shared" si="490"/>
        <v>46000</v>
      </c>
      <c r="I478" s="187">
        <f t="shared" si="490"/>
        <v>314000</v>
      </c>
      <c r="J478" s="187">
        <f t="shared" si="490"/>
        <v>0</v>
      </c>
      <c r="K478" s="187">
        <f t="shared" si="490"/>
        <v>0</v>
      </c>
      <c r="L478" s="187">
        <f t="shared" si="490"/>
        <v>314000</v>
      </c>
      <c r="M478" s="187">
        <f t="shared" si="490"/>
        <v>50000</v>
      </c>
      <c r="N478" s="187">
        <f t="shared" si="490"/>
        <v>0</v>
      </c>
      <c r="O478" s="187">
        <f t="shared" si="490"/>
        <v>118000</v>
      </c>
      <c r="P478" s="187">
        <f t="shared" si="490"/>
        <v>118000</v>
      </c>
      <c r="Q478" s="187">
        <f t="shared" si="490"/>
        <v>0</v>
      </c>
    </row>
    <row r="479" spans="1:17" s="6" customFormat="1" ht="14.4" x14ac:dyDescent="0.3">
      <c r="A479" s="188" t="s">
        <v>143</v>
      </c>
      <c r="B479" s="192" t="s">
        <v>220</v>
      </c>
      <c r="C479" s="202">
        <f t="shared" ref="C479:Q479" si="491">SUM(C480)</f>
        <v>237000</v>
      </c>
      <c r="D479" s="202">
        <f t="shared" si="491"/>
        <v>152000</v>
      </c>
      <c r="E479" s="202">
        <f t="shared" si="491"/>
        <v>0</v>
      </c>
      <c r="F479" s="202">
        <f t="shared" si="491"/>
        <v>85000</v>
      </c>
      <c r="G479" s="202">
        <f t="shared" si="491"/>
        <v>233000</v>
      </c>
      <c r="H479" s="202">
        <f t="shared" si="491"/>
        <v>46000</v>
      </c>
      <c r="I479" s="202">
        <f t="shared" si="491"/>
        <v>314000</v>
      </c>
      <c r="J479" s="202">
        <f t="shared" si="491"/>
        <v>0</v>
      </c>
      <c r="K479" s="202">
        <f t="shared" si="491"/>
        <v>0</v>
      </c>
      <c r="L479" s="202">
        <f t="shared" si="491"/>
        <v>314000</v>
      </c>
      <c r="M479" s="202">
        <f t="shared" si="491"/>
        <v>50000</v>
      </c>
      <c r="N479" s="202">
        <f t="shared" si="491"/>
        <v>0</v>
      </c>
      <c r="O479" s="202">
        <f t="shared" si="491"/>
        <v>118000</v>
      </c>
      <c r="P479" s="202">
        <f t="shared" si="491"/>
        <v>118000</v>
      </c>
      <c r="Q479" s="202">
        <f t="shared" si="491"/>
        <v>0</v>
      </c>
    </row>
    <row r="480" spans="1:17" customFormat="1" ht="13.5" customHeight="1" x14ac:dyDescent="0.3">
      <c r="A480" s="189">
        <v>3111</v>
      </c>
      <c r="B480" s="190" t="s">
        <v>5</v>
      </c>
      <c r="C480" s="191">
        <v>237000</v>
      </c>
      <c r="D480" s="191">
        <v>152000</v>
      </c>
      <c r="E480" s="191"/>
      <c r="F480" s="182">
        <f t="shared" ref="F480" si="492">C480-D480+E480</f>
        <v>85000</v>
      </c>
      <c r="G480" s="191">
        <v>233000</v>
      </c>
      <c r="H480" s="191">
        <v>46000</v>
      </c>
      <c r="I480" s="191">
        <v>314000</v>
      </c>
      <c r="J480" s="233"/>
      <c r="K480" s="233"/>
      <c r="L480" s="220">
        <f>I480-J480+K480</f>
        <v>314000</v>
      </c>
      <c r="M480" s="191">
        <v>50000</v>
      </c>
      <c r="N480" s="191"/>
      <c r="O480" s="191">
        <v>118000</v>
      </c>
      <c r="P480" s="191">
        <v>118000</v>
      </c>
      <c r="Q480" s="191"/>
    </row>
    <row r="481" spans="1:17" s="6" customFormat="1" ht="14.4" hidden="1" x14ac:dyDescent="0.3">
      <c r="A481" s="188" t="s">
        <v>146</v>
      </c>
      <c r="B481" s="192" t="s">
        <v>126</v>
      </c>
      <c r="C481" s="202">
        <f t="shared" ref="C481:D481" si="493">SUM(C482:C483)</f>
        <v>0</v>
      </c>
      <c r="D481" s="202">
        <f t="shared" si="493"/>
        <v>0</v>
      </c>
      <c r="E481" s="202"/>
      <c r="F481" s="202"/>
      <c r="G481" s="202"/>
      <c r="H481" s="202"/>
      <c r="I481" s="202"/>
      <c r="J481" s="232"/>
      <c r="K481" s="232"/>
      <c r="L481" s="232"/>
      <c r="M481" s="202"/>
      <c r="N481" s="202"/>
      <c r="O481" s="202"/>
      <c r="P481" s="202"/>
      <c r="Q481" s="202"/>
    </row>
    <row r="482" spans="1:17" customFormat="1" ht="26.4" hidden="1" x14ac:dyDescent="0.3">
      <c r="A482" s="189" t="s">
        <v>147</v>
      </c>
      <c r="B482" s="190" t="s">
        <v>127</v>
      </c>
      <c r="C482" s="191"/>
      <c r="D482" s="191"/>
      <c r="E482" s="191"/>
      <c r="F482" s="191"/>
      <c r="G482" s="191"/>
      <c r="H482" s="191"/>
      <c r="I482" s="191"/>
      <c r="J482" s="233"/>
      <c r="K482" s="233"/>
      <c r="L482" s="233"/>
      <c r="M482" s="191"/>
      <c r="N482" s="191"/>
      <c r="O482" s="191"/>
      <c r="P482" s="191"/>
      <c r="Q482" s="191"/>
    </row>
    <row r="483" spans="1:17" customFormat="1" ht="26.4" hidden="1" x14ac:dyDescent="0.3">
      <c r="A483" s="189" t="s">
        <v>148</v>
      </c>
      <c r="B483" s="190" t="s">
        <v>128</v>
      </c>
      <c r="C483" s="191"/>
      <c r="D483" s="191"/>
      <c r="E483" s="191"/>
      <c r="F483" s="191"/>
      <c r="G483" s="191"/>
      <c r="H483" s="191"/>
      <c r="I483" s="191"/>
      <c r="J483" s="233"/>
      <c r="K483" s="233"/>
      <c r="L483" s="233"/>
      <c r="M483" s="191"/>
      <c r="N483" s="191"/>
      <c r="O483" s="191"/>
      <c r="P483" s="191"/>
      <c r="Q483" s="191"/>
    </row>
    <row r="484" spans="1:17" customFormat="1" ht="14.4" x14ac:dyDescent="0.3">
      <c r="A484" s="185" t="s">
        <v>317</v>
      </c>
      <c r="B484" s="185" t="s">
        <v>318</v>
      </c>
      <c r="C484" s="218">
        <f>SUM(C485,C493,C500)</f>
        <v>550000</v>
      </c>
      <c r="D484" s="218">
        <f t="shared" ref="D484:F484" si="494">SUM(D485,D493,D500)</f>
        <v>437000</v>
      </c>
      <c r="E484" s="218">
        <f t="shared" si="494"/>
        <v>6000</v>
      </c>
      <c r="F484" s="218">
        <f t="shared" si="494"/>
        <v>119000</v>
      </c>
      <c r="G484" s="218">
        <f t="shared" ref="G484:H484" si="495">SUM(G485,G493,G500)</f>
        <v>412000</v>
      </c>
      <c r="H484" s="218">
        <f t="shared" si="495"/>
        <v>61000</v>
      </c>
      <c r="I484" s="218">
        <f>SUM(I485,I493,I500,I502)</f>
        <v>711000</v>
      </c>
      <c r="J484" s="218">
        <f t="shared" ref="J484:L484" si="496">SUM(J485,J493,J500,J502)</f>
        <v>432000</v>
      </c>
      <c r="K484" s="218">
        <f t="shared" si="496"/>
        <v>13000</v>
      </c>
      <c r="L484" s="218">
        <f t="shared" si="496"/>
        <v>292000</v>
      </c>
      <c r="M484" s="218">
        <f t="shared" ref="M484:N484" si="497">SUM(M485,M493,M500,M502)</f>
        <v>39000</v>
      </c>
      <c r="N484" s="218">
        <f t="shared" si="497"/>
        <v>0</v>
      </c>
      <c r="O484" s="218">
        <f t="shared" ref="O484:P484" si="498">SUM(O485,O493,O500,O502)</f>
        <v>54500</v>
      </c>
      <c r="P484" s="218">
        <f t="shared" si="498"/>
        <v>89000</v>
      </c>
      <c r="Q484" s="218">
        <f t="shared" ref="Q484" si="499">SUM(Q485,Q493,Q500,Q502)</f>
        <v>0</v>
      </c>
    </row>
    <row r="485" spans="1:17" s="6" customFormat="1" ht="14.4" x14ac:dyDescent="0.3">
      <c r="A485" s="188" t="s">
        <v>149</v>
      </c>
      <c r="B485" s="192" t="s">
        <v>12</v>
      </c>
      <c r="C485" s="202">
        <f t="shared" ref="C485:F485" si="500">SUM(C486:C487)</f>
        <v>45000</v>
      </c>
      <c r="D485" s="202">
        <f t="shared" si="500"/>
        <v>30000</v>
      </c>
      <c r="E485" s="202">
        <f t="shared" si="500"/>
        <v>0</v>
      </c>
      <c r="F485" s="202">
        <f t="shared" si="500"/>
        <v>15000</v>
      </c>
      <c r="G485" s="202">
        <f t="shared" ref="G485:H485" si="501">SUM(G486:G487)</f>
        <v>33000</v>
      </c>
      <c r="H485" s="202">
        <f t="shared" si="501"/>
        <v>5000</v>
      </c>
      <c r="I485" s="202">
        <f t="shared" ref="I485:N485" si="502">SUM(I486:I487)</f>
        <v>44000</v>
      </c>
      <c r="J485" s="202">
        <f t="shared" si="502"/>
        <v>20000</v>
      </c>
      <c r="K485" s="202">
        <f t="shared" si="502"/>
        <v>0</v>
      </c>
      <c r="L485" s="202">
        <f t="shared" si="502"/>
        <v>24000</v>
      </c>
      <c r="M485" s="202">
        <f t="shared" si="502"/>
        <v>7000</v>
      </c>
      <c r="N485" s="202">
        <f t="shared" si="502"/>
        <v>0</v>
      </c>
      <c r="O485" s="202">
        <f t="shared" ref="O485:P485" si="503">SUM(O486:O487)</f>
        <v>9500</v>
      </c>
      <c r="P485" s="202">
        <f t="shared" si="503"/>
        <v>9000</v>
      </c>
      <c r="Q485" s="202">
        <f t="shared" ref="Q485" si="504">SUM(Q486:Q487)</f>
        <v>0</v>
      </c>
    </row>
    <row r="486" spans="1:17" customFormat="1" ht="14.4" x14ac:dyDescent="0.3">
      <c r="A486" s="189" t="s">
        <v>150</v>
      </c>
      <c r="B486" s="190" t="s">
        <v>13</v>
      </c>
      <c r="C486" s="191">
        <v>24000</v>
      </c>
      <c r="D486" s="191">
        <v>14000</v>
      </c>
      <c r="E486" s="191"/>
      <c r="F486" s="182">
        <f t="shared" ref="F486:F487" si="505">C486-D486+E486</f>
        <v>10000</v>
      </c>
      <c r="G486" s="191">
        <v>18000</v>
      </c>
      <c r="H486" s="191">
        <v>3000</v>
      </c>
      <c r="I486" s="191">
        <v>20000</v>
      </c>
      <c r="J486" s="233"/>
      <c r="K486" s="233"/>
      <c r="L486" s="220">
        <f>I486-J486+K486</f>
        <v>20000</v>
      </c>
      <c r="M486" s="191">
        <v>7000</v>
      </c>
      <c r="N486" s="191"/>
      <c r="O486" s="191">
        <v>9500</v>
      </c>
      <c r="P486" s="191">
        <v>9000</v>
      </c>
      <c r="Q486" s="191"/>
    </row>
    <row r="487" spans="1:17" customFormat="1" ht="14.4" hidden="1" x14ac:dyDescent="0.3">
      <c r="A487" s="189">
        <v>3213</v>
      </c>
      <c r="B487" s="190" t="s">
        <v>15</v>
      </c>
      <c r="C487" s="191">
        <v>21000</v>
      </c>
      <c r="D487" s="191">
        <v>16000</v>
      </c>
      <c r="E487" s="191"/>
      <c r="F487" s="182">
        <f t="shared" si="505"/>
        <v>5000</v>
      </c>
      <c r="G487" s="191">
        <v>15000</v>
      </c>
      <c r="H487" s="191">
        <v>2000</v>
      </c>
      <c r="I487" s="191">
        <v>24000</v>
      </c>
      <c r="J487" s="233">
        <v>20000</v>
      </c>
      <c r="K487" s="233"/>
      <c r="L487" s="220">
        <f>I487-J487+K487</f>
        <v>4000</v>
      </c>
      <c r="M487" s="191"/>
      <c r="N487" s="191"/>
      <c r="O487" s="191"/>
      <c r="P487" s="191"/>
      <c r="Q487" s="191"/>
    </row>
    <row r="488" spans="1:17" s="6" customFormat="1" ht="14.4" hidden="1" x14ac:dyDescent="0.3">
      <c r="A488" s="188" t="s">
        <v>153</v>
      </c>
      <c r="B488" s="192" t="s">
        <v>16</v>
      </c>
      <c r="C488" s="202">
        <f t="shared" ref="C488:D488" si="506">SUM(C489:C492)</f>
        <v>0</v>
      </c>
      <c r="D488" s="202">
        <f t="shared" si="506"/>
        <v>0</v>
      </c>
      <c r="E488" s="202"/>
      <c r="F488" s="202"/>
      <c r="G488" s="202"/>
      <c r="H488" s="202"/>
      <c r="I488" s="202"/>
      <c r="J488" s="232"/>
      <c r="K488" s="232"/>
      <c r="L488" s="232"/>
      <c r="M488" s="202"/>
      <c r="N488" s="202"/>
      <c r="O488" s="202"/>
      <c r="P488" s="202"/>
      <c r="Q488" s="202"/>
    </row>
    <row r="489" spans="1:17" customFormat="1" ht="14.4" hidden="1" x14ac:dyDescent="0.3">
      <c r="A489" s="189" t="s">
        <v>154</v>
      </c>
      <c r="B489" s="190" t="s">
        <v>17</v>
      </c>
      <c r="C489" s="191"/>
      <c r="D489" s="191"/>
      <c r="E489" s="191"/>
      <c r="F489" s="191"/>
      <c r="G489" s="191"/>
      <c r="H489" s="191"/>
      <c r="I489" s="191"/>
      <c r="J489" s="233"/>
      <c r="K489" s="233"/>
      <c r="L489" s="233"/>
      <c r="M489" s="191"/>
      <c r="N489" s="191"/>
      <c r="O489" s="191"/>
      <c r="P489" s="191"/>
      <c r="Q489" s="191"/>
    </row>
    <row r="490" spans="1:17" customFormat="1" ht="14.4" hidden="1" x14ac:dyDescent="0.3">
      <c r="A490" s="189" t="s">
        <v>155</v>
      </c>
      <c r="B490" s="190" t="s">
        <v>18</v>
      </c>
      <c r="C490" s="191"/>
      <c r="D490" s="191"/>
      <c r="E490" s="191"/>
      <c r="F490" s="191"/>
      <c r="G490" s="191"/>
      <c r="H490" s="191"/>
      <c r="I490" s="191"/>
      <c r="J490" s="233"/>
      <c r="K490" s="233"/>
      <c r="L490" s="233"/>
      <c r="M490" s="191"/>
      <c r="N490" s="191"/>
      <c r="O490" s="191"/>
      <c r="P490" s="191"/>
      <c r="Q490" s="191"/>
    </row>
    <row r="491" spans="1:17" customFormat="1" ht="14.4" hidden="1" x14ac:dyDescent="0.3">
      <c r="A491" s="189" t="s">
        <v>156</v>
      </c>
      <c r="B491" s="190" t="s">
        <v>19</v>
      </c>
      <c r="C491" s="191"/>
      <c r="D491" s="191"/>
      <c r="E491" s="191"/>
      <c r="F491" s="191"/>
      <c r="G491" s="191"/>
      <c r="H491" s="191"/>
      <c r="I491" s="191"/>
      <c r="J491" s="233"/>
      <c r="K491" s="233"/>
      <c r="L491" s="233"/>
      <c r="M491" s="191"/>
      <c r="N491" s="191"/>
      <c r="O491" s="191"/>
      <c r="P491" s="191"/>
      <c r="Q491" s="191"/>
    </row>
    <row r="492" spans="1:17" customFormat="1" ht="14.4" hidden="1" x14ac:dyDescent="0.3">
      <c r="A492" s="189" t="s">
        <v>158</v>
      </c>
      <c r="B492" s="190" t="s">
        <v>21</v>
      </c>
      <c r="C492" s="191"/>
      <c r="D492" s="191"/>
      <c r="E492" s="191"/>
      <c r="F492" s="191"/>
      <c r="G492" s="191"/>
      <c r="H492" s="191"/>
      <c r="I492" s="191"/>
      <c r="J492" s="233"/>
      <c r="K492" s="233"/>
      <c r="L492" s="233"/>
      <c r="M492" s="191"/>
      <c r="N492" s="191"/>
      <c r="O492" s="191"/>
      <c r="P492" s="191"/>
      <c r="Q492" s="191"/>
    </row>
    <row r="493" spans="1:17" s="6" customFormat="1" ht="14.55" customHeight="1" x14ac:dyDescent="0.3">
      <c r="A493" s="188" t="s">
        <v>159</v>
      </c>
      <c r="B493" s="192" t="s">
        <v>123</v>
      </c>
      <c r="C493" s="202">
        <f t="shared" ref="C493:F493" si="507">SUM(C494:C499)</f>
        <v>496000</v>
      </c>
      <c r="D493" s="202">
        <f t="shared" si="507"/>
        <v>407000</v>
      </c>
      <c r="E493" s="202">
        <f t="shared" si="507"/>
        <v>6000</v>
      </c>
      <c r="F493" s="202">
        <f t="shared" si="507"/>
        <v>95000</v>
      </c>
      <c r="G493" s="202">
        <f t="shared" ref="G493:H493" si="508">SUM(G494:G499)</f>
        <v>372000</v>
      </c>
      <c r="H493" s="202">
        <f t="shared" si="508"/>
        <v>55000</v>
      </c>
      <c r="I493" s="202">
        <f t="shared" ref="I493:N493" si="509">SUM(I494:I499)</f>
        <v>655000</v>
      </c>
      <c r="J493" s="202">
        <f t="shared" si="509"/>
        <v>412000</v>
      </c>
      <c r="K493" s="202">
        <f t="shared" si="509"/>
        <v>13000</v>
      </c>
      <c r="L493" s="202">
        <f t="shared" si="509"/>
        <v>256000</v>
      </c>
      <c r="M493" s="202">
        <f t="shared" si="509"/>
        <v>32000</v>
      </c>
      <c r="N493" s="202">
        <f t="shared" si="509"/>
        <v>0</v>
      </c>
      <c r="O493" s="202">
        <f t="shared" ref="O493:P493" si="510">SUM(O494:O499)</f>
        <v>43500</v>
      </c>
      <c r="P493" s="202">
        <f t="shared" si="510"/>
        <v>78500</v>
      </c>
      <c r="Q493" s="202">
        <f t="shared" ref="Q493" si="511">SUM(Q494:Q499)</f>
        <v>0</v>
      </c>
    </row>
    <row r="494" spans="1:17" customFormat="1" ht="14.4" hidden="1" x14ac:dyDescent="0.3">
      <c r="A494" s="189" t="s">
        <v>160</v>
      </c>
      <c r="B494" s="190" t="s">
        <v>24</v>
      </c>
      <c r="C494" s="191"/>
      <c r="D494" s="191"/>
      <c r="E494" s="191"/>
      <c r="F494" s="191"/>
      <c r="G494" s="191"/>
      <c r="H494" s="191"/>
      <c r="I494" s="191"/>
      <c r="J494" s="233"/>
      <c r="K494" s="233"/>
      <c r="L494" s="233"/>
      <c r="M494" s="191"/>
      <c r="N494" s="191"/>
      <c r="O494" s="191"/>
      <c r="P494" s="191"/>
      <c r="Q494" s="191"/>
    </row>
    <row r="495" spans="1:17" customFormat="1" ht="14.4" hidden="1" x14ac:dyDescent="0.3">
      <c r="A495" s="189" t="s">
        <v>161</v>
      </c>
      <c r="B495" s="190" t="s">
        <v>25</v>
      </c>
      <c r="C495" s="191"/>
      <c r="D495" s="191"/>
      <c r="E495" s="191"/>
      <c r="F495" s="191"/>
      <c r="G495" s="191"/>
      <c r="H495" s="191"/>
      <c r="I495" s="191"/>
      <c r="J495" s="233"/>
      <c r="K495" s="233"/>
      <c r="L495" s="233"/>
      <c r="M495" s="191"/>
      <c r="N495" s="191"/>
      <c r="O495" s="191"/>
      <c r="P495" s="191"/>
      <c r="Q495" s="191"/>
    </row>
    <row r="496" spans="1:17" customFormat="1" ht="14.4" hidden="1" x14ac:dyDescent="0.3">
      <c r="A496" s="189" t="s">
        <v>162</v>
      </c>
      <c r="B496" s="190" t="s">
        <v>26</v>
      </c>
      <c r="C496" s="191"/>
      <c r="D496" s="191"/>
      <c r="E496" s="191">
        <v>6000</v>
      </c>
      <c r="F496" s="182">
        <f t="shared" ref="F496:F501" si="512">C496-D496+E496</f>
        <v>6000</v>
      </c>
      <c r="G496" s="191"/>
      <c r="H496" s="191"/>
      <c r="I496" s="191"/>
      <c r="J496" s="233"/>
      <c r="K496" s="233"/>
      <c r="L496" s="233"/>
      <c r="M496" s="191"/>
      <c r="N496" s="191"/>
      <c r="O496" s="191"/>
      <c r="P496" s="191"/>
      <c r="Q496" s="191"/>
    </row>
    <row r="497" spans="1:17" customFormat="1" ht="12" customHeight="1" x14ac:dyDescent="0.3">
      <c r="A497" s="189" t="s">
        <v>164</v>
      </c>
      <c r="B497" s="190" t="s">
        <v>28</v>
      </c>
      <c r="C497" s="191">
        <v>8000</v>
      </c>
      <c r="D497" s="191">
        <v>7000</v>
      </c>
      <c r="E497" s="191"/>
      <c r="F497" s="182">
        <f t="shared" si="512"/>
        <v>1000</v>
      </c>
      <c r="G497" s="191">
        <v>6000</v>
      </c>
      <c r="H497" s="191">
        <v>1000</v>
      </c>
      <c r="I497" s="191">
        <v>22000</v>
      </c>
      <c r="J497" s="233">
        <v>12000</v>
      </c>
      <c r="K497" s="233"/>
      <c r="L497" s="220">
        <f>I497-J497+K497</f>
        <v>10000</v>
      </c>
      <c r="M497" s="191">
        <v>2000</v>
      </c>
      <c r="N497" s="191"/>
      <c r="O497" s="191">
        <v>2000</v>
      </c>
      <c r="P497" s="191">
        <v>2500</v>
      </c>
      <c r="Q497" s="191"/>
    </row>
    <row r="498" spans="1:17" customFormat="1" ht="14.4" x14ac:dyDescent="0.3">
      <c r="A498" s="189">
        <v>3237</v>
      </c>
      <c r="B498" s="190" t="s">
        <v>30</v>
      </c>
      <c r="C498" s="191">
        <v>475000</v>
      </c>
      <c r="D498" s="191">
        <v>400000</v>
      </c>
      <c r="E498" s="191"/>
      <c r="F498" s="182">
        <f t="shared" si="512"/>
        <v>75000</v>
      </c>
      <c r="G498" s="191">
        <v>356000</v>
      </c>
      <c r="H498" s="191">
        <v>52000</v>
      </c>
      <c r="I498" s="191">
        <v>616000</v>
      </c>
      <c r="J498" s="233">
        <v>400000</v>
      </c>
      <c r="K498" s="233"/>
      <c r="L498" s="220">
        <f>I498-J498+K498</f>
        <v>216000</v>
      </c>
      <c r="M498" s="191">
        <v>30000</v>
      </c>
      <c r="N498" s="191"/>
      <c r="O498" s="191">
        <v>22000</v>
      </c>
      <c r="P498" s="191">
        <v>53000</v>
      </c>
      <c r="Q498" s="191"/>
    </row>
    <row r="499" spans="1:17" customFormat="1" ht="13.5" customHeight="1" x14ac:dyDescent="0.3">
      <c r="A499" s="189" t="s">
        <v>167</v>
      </c>
      <c r="B499" s="190" t="s">
        <v>31</v>
      </c>
      <c r="C499" s="191">
        <v>13000</v>
      </c>
      <c r="D499" s="191"/>
      <c r="E499" s="191"/>
      <c r="F499" s="182">
        <f t="shared" si="512"/>
        <v>13000</v>
      </c>
      <c r="G499" s="191">
        <v>10000</v>
      </c>
      <c r="H499" s="191">
        <v>2000</v>
      </c>
      <c r="I499" s="191">
        <v>17000</v>
      </c>
      <c r="J499" s="233"/>
      <c r="K499" s="233">
        <v>13000</v>
      </c>
      <c r="L499" s="220">
        <f>I499-J499+K499</f>
        <v>30000</v>
      </c>
      <c r="M499" s="191"/>
      <c r="N499" s="191"/>
      <c r="O499" s="191">
        <v>19500</v>
      </c>
      <c r="P499" s="191">
        <v>23000</v>
      </c>
      <c r="Q499" s="191"/>
    </row>
    <row r="500" spans="1:17" s="6" customFormat="1" ht="14.4" x14ac:dyDescent="0.3">
      <c r="A500" s="188" t="s">
        <v>168</v>
      </c>
      <c r="B500" s="192" t="s">
        <v>32</v>
      </c>
      <c r="C500" s="202">
        <f t="shared" ref="C500:Q500" si="513">SUM(C501)</f>
        <v>9000</v>
      </c>
      <c r="D500" s="202">
        <f t="shared" si="513"/>
        <v>0</v>
      </c>
      <c r="E500" s="202">
        <f t="shared" si="513"/>
        <v>0</v>
      </c>
      <c r="F500" s="202">
        <f t="shared" si="513"/>
        <v>9000</v>
      </c>
      <c r="G500" s="202">
        <f t="shared" si="513"/>
        <v>7000</v>
      </c>
      <c r="H500" s="202">
        <f t="shared" si="513"/>
        <v>1000</v>
      </c>
      <c r="I500" s="202">
        <f t="shared" si="513"/>
        <v>9000</v>
      </c>
      <c r="J500" s="202">
        <f t="shared" si="513"/>
        <v>0</v>
      </c>
      <c r="K500" s="202">
        <f t="shared" si="513"/>
        <v>0</v>
      </c>
      <c r="L500" s="202">
        <f t="shared" si="513"/>
        <v>9000</v>
      </c>
      <c r="M500" s="202">
        <f t="shared" si="513"/>
        <v>0</v>
      </c>
      <c r="N500" s="202">
        <f t="shared" si="513"/>
        <v>0</v>
      </c>
      <c r="O500" s="202">
        <f t="shared" si="513"/>
        <v>1500</v>
      </c>
      <c r="P500" s="202">
        <f t="shared" si="513"/>
        <v>1500</v>
      </c>
      <c r="Q500" s="202">
        <f t="shared" si="513"/>
        <v>0</v>
      </c>
    </row>
    <row r="501" spans="1:17" customFormat="1" ht="24" customHeight="1" x14ac:dyDescent="0.3">
      <c r="A501" s="189" t="s">
        <v>169</v>
      </c>
      <c r="B501" s="190" t="s">
        <v>32</v>
      </c>
      <c r="C501" s="191">
        <v>9000</v>
      </c>
      <c r="D501" s="191"/>
      <c r="E501" s="191"/>
      <c r="F501" s="182">
        <f t="shared" si="512"/>
        <v>9000</v>
      </c>
      <c r="G501" s="191">
        <v>7000</v>
      </c>
      <c r="H501" s="191">
        <v>1000</v>
      </c>
      <c r="I501" s="191">
        <v>9000</v>
      </c>
      <c r="J501" s="233"/>
      <c r="K501" s="233"/>
      <c r="L501" s="220">
        <f>I501-J501+K501</f>
        <v>9000</v>
      </c>
      <c r="M501" s="191"/>
      <c r="N501" s="191"/>
      <c r="O501" s="191">
        <v>1500</v>
      </c>
      <c r="P501" s="191">
        <v>1500</v>
      </c>
      <c r="Q501" s="191"/>
    </row>
    <row r="502" spans="1:17" s="6" customFormat="1" ht="16.5" hidden="1" customHeight="1" x14ac:dyDescent="0.3">
      <c r="A502" s="188" t="s">
        <v>170</v>
      </c>
      <c r="B502" s="192" t="s">
        <v>33</v>
      </c>
      <c r="C502" s="202">
        <f t="shared" ref="C502:N502" si="514">SUM(C503:C505)</f>
        <v>0</v>
      </c>
      <c r="D502" s="202">
        <f t="shared" si="514"/>
        <v>0</v>
      </c>
      <c r="E502" s="202">
        <f t="shared" si="514"/>
        <v>0</v>
      </c>
      <c r="F502" s="202">
        <f t="shared" si="514"/>
        <v>0</v>
      </c>
      <c r="G502" s="202">
        <f t="shared" si="514"/>
        <v>0</v>
      </c>
      <c r="H502" s="202">
        <f t="shared" si="514"/>
        <v>0</v>
      </c>
      <c r="I502" s="202">
        <f t="shared" si="514"/>
        <v>3000</v>
      </c>
      <c r="J502" s="202">
        <f t="shared" si="514"/>
        <v>0</v>
      </c>
      <c r="K502" s="202">
        <f t="shared" si="514"/>
        <v>0</v>
      </c>
      <c r="L502" s="202">
        <f t="shared" si="514"/>
        <v>3000</v>
      </c>
      <c r="M502" s="202">
        <f t="shared" si="514"/>
        <v>0</v>
      </c>
      <c r="N502" s="202">
        <f t="shared" si="514"/>
        <v>0</v>
      </c>
      <c r="O502" s="202">
        <f t="shared" ref="O502:P502" si="515">SUM(O503:O505)</f>
        <v>0</v>
      </c>
      <c r="P502" s="202">
        <f t="shared" si="515"/>
        <v>0</v>
      </c>
      <c r="Q502" s="202">
        <f t="shared" ref="Q502" si="516">SUM(Q503:Q505)</f>
        <v>0</v>
      </c>
    </row>
    <row r="503" spans="1:17" customFormat="1" ht="17.25" hidden="1" customHeight="1" x14ac:dyDescent="0.3">
      <c r="A503" s="189" t="s">
        <v>171</v>
      </c>
      <c r="B503" s="190" t="s">
        <v>35</v>
      </c>
      <c r="C503" s="191"/>
      <c r="D503" s="191"/>
      <c r="E503" s="191"/>
      <c r="F503" s="191"/>
      <c r="G503" s="191"/>
      <c r="H503" s="191"/>
      <c r="I503" s="191"/>
      <c r="J503" s="233"/>
      <c r="K503" s="233"/>
      <c r="L503" s="233"/>
      <c r="M503" s="191"/>
      <c r="N503" s="191"/>
      <c r="O503" s="191"/>
      <c r="P503" s="191"/>
      <c r="Q503" s="191"/>
    </row>
    <row r="504" spans="1:17" customFormat="1" ht="2.25" hidden="1" customHeight="1" x14ac:dyDescent="0.3">
      <c r="A504" s="189" t="s">
        <v>172</v>
      </c>
      <c r="B504" s="190" t="s">
        <v>36</v>
      </c>
      <c r="C504" s="191"/>
      <c r="D504" s="191"/>
      <c r="E504" s="191"/>
      <c r="F504" s="191"/>
      <c r="G504" s="191"/>
      <c r="H504" s="191"/>
      <c r="I504" s="191"/>
      <c r="J504" s="233"/>
      <c r="K504" s="233"/>
      <c r="L504" s="233"/>
      <c r="M504" s="191"/>
      <c r="N504" s="191"/>
      <c r="O504" s="191"/>
      <c r="P504" s="191"/>
      <c r="Q504" s="191"/>
    </row>
    <row r="505" spans="1:17" customFormat="1" ht="18" hidden="1" customHeight="1" x14ac:dyDescent="0.3">
      <c r="A505" s="189" t="s">
        <v>173</v>
      </c>
      <c r="B505" s="190" t="s">
        <v>33</v>
      </c>
      <c r="C505" s="191"/>
      <c r="D505" s="191"/>
      <c r="E505" s="191"/>
      <c r="F505" s="191"/>
      <c r="G505" s="191"/>
      <c r="H505" s="191"/>
      <c r="I505" s="191">
        <v>3000</v>
      </c>
      <c r="J505" s="233"/>
      <c r="K505" s="233"/>
      <c r="L505" s="220">
        <f>I505-J505+K505</f>
        <v>3000</v>
      </c>
      <c r="M505" s="191"/>
      <c r="N505" s="191"/>
      <c r="O505" s="191"/>
      <c r="P505" s="191"/>
      <c r="Q505" s="191"/>
    </row>
    <row r="506" spans="1:17" s="6" customFormat="1" ht="14.25" hidden="1" customHeight="1" x14ac:dyDescent="0.3">
      <c r="A506" s="188" t="s">
        <v>249</v>
      </c>
      <c r="B506" s="192" t="s">
        <v>231</v>
      </c>
      <c r="C506" s="202">
        <f t="shared" ref="C506:D506" si="517">SUM(C507)</f>
        <v>0</v>
      </c>
      <c r="D506" s="202">
        <f t="shared" si="517"/>
        <v>0</v>
      </c>
      <c r="E506" s="202"/>
      <c r="F506" s="202"/>
      <c r="G506" s="202"/>
      <c r="H506" s="202"/>
      <c r="I506" s="202"/>
      <c r="J506" s="232"/>
      <c r="K506" s="232"/>
      <c r="L506" s="232"/>
      <c r="M506" s="202"/>
      <c r="N506" s="202"/>
      <c r="O506" s="202"/>
      <c r="P506" s="202"/>
      <c r="Q506" s="202"/>
    </row>
    <row r="507" spans="1:17" customFormat="1" ht="20.25" hidden="1" customHeight="1" x14ac:dyDescent="0.3">
      <c r="A507" s="189" t="s">
        <v>250</v>
      </c>
      <c r="B507" s="190" t="s">
        <v>251</v>
      </c>
      <c r="C507" s="191"/>
      <c r="D507" s="191"/>
      <c r="E507" s="191"/>
      <c r="F507" s="191"/>
      <c r="G507" s="191"/>
      <c r="H507" s="191"/>
      <c r="I507" s="191"/>
      <c r="J507" s="233"/>
      <c r="K507" s="233"/>
      <c r="L507" s="233"/>
      <c r="M507" s="191"/>
      <c r="N507" s="191"/>
      <c r="O507" s="191"/>
      <c r="P507" s="191"/>
      <c r="Q507" s="191"/>
    </row>
    <row r="508" spans="1:17" s="6" customFormat="1" ht="12.75" hidden="1" customHeight="1" x14ac:dyDescent="0.3">
      <c r="A508" s="188" t="s">
        <v>139</v>
      </c>
      <c r="B508" s="192" t="s">
        <v>124</v>
      </c>
      <c r="C508" s="202">
        <f t="shared" ref="C508:D508" si="518">SUM(C509)</f>
        <v>0</v>
      </c>
      <c r="D508" s="202">
        <f t="shared" si="518"/>
        <v>0</v>
      </c>
      <c r="E508" s="202"/>
      <c r="F508" s="202"/>
      <c r="G508" s="202"/>
      <c r="H508" s="202"/>
      <c r="I508" s="202"/>
      <c r="J508" s="232"/>
      <c r="K508" s="232"/>
      <c r="L508" s="232"/>
      <c r="M508" s="202"/>
      <c r="N508" s="202"/>
      <c r="O508" s="202"/>
      <c r="P508" s="202"/>
      <c r="Q508" s="202"/>
    </row>
    <row r="509" spans="1:17" customFormat="1" ht="15.75" hidden="1" customHeight="1" x14ac:dyDescent="0.3">
      <c r="A509" s="189" t="s">
        <v>140</v>
      </c>
      <c r="B509" s="190" t="s">
        <v>46</v>
      </c>
      <c r="C509" s="191"/>
      <c r="D509" s="191"/>
      <c r="E509" s="191"/>
      <c r="F509" s="191"/>
      <c r="G509" s="191"/>
      <c r="H509" s="191"/>
      <c r="I509" s="191"/>
      <c r="J509" s="233"/>
      <c r="K509" s="233"/>
      <c r="L509" s="233"/>
      <c r="M509" s="191"/>
      <c r="N509" s="191"/>
      <c r="O509" s="191"/>
      <c r="P509" s="191"/>
      <c r="Q509" s="191"/>
    </row>
    <row r="510" spans="1:17" s="6" customFormat="1" ht="12.75" hidden="1" customHeight="1" x14ac:dyDescent="0.3">
      <c r="A510" s="188" t="s">
        <v>193</v>
      </c>
      <c r="B510" s="192" t="s">
        <v>73</v>
      </c>
      <c r="C510" s="202">
        <f t="shared" ref="C510:D510" si="519">SUM(C511)</f>
        <v>0</v>
      </c>
      <c r="D510" s="202">
        <f t="shared" si="519"/>
        <v>0</v>
      </c>
      <c r="E510" s="202"/>
      <c r="F510" s="202"/>
      <c r="G510" s="202"/>
      <c r="H510" s="202"/>
      <c r="I510" s="202"/>
      <c r="J510" s="232"/>
      <c r="K510" s="232"/>
      <c r="L510" s="232"/>
      <c r="M510" s="202"/>
      <c r="N510" s="202"/>
      <c r="O510" s="202"/>
      <c r="P510" s="202"/>
      <c r="Q510" s="202"/>
    </row>
    <row r="511" spans="1:17" customFormat="1" ht="6.75" hidden="1" customHeight="1" x14ac:dyDescent="0.3">
      <c r="A511" s="189" t="s">
        <v>194</v>
      </c>
      <c r="B511" s="190" t="s">
        <v>88</v>
      </c>
      <c r="C511" s="191"/>
      <c r="D511" s="191"/>
      <c r="E511" s="191"/>
      <c r="F511" s="191"/>
      <c r="G511" s="191"/>
      <c r="H511" s="191"/>
      <c r="I511" s="191"/>
      <c r="J511" s="233"/>
      <c r="K511" s="233"/>
      <c r="L511" s="233"/>
      <c r="M511" s="191"/>
      <c r="N511" s="191"/>
      <c r="O511" s="191"/>
      <c r="P511" s="191"/>
      <c r="Q511" s="191"/>
    </row>
    <row r="512" spans="1:17" customFormat="1" ht="24" customHeight="1" x14ac:dyDescent="0.3">
      <c r="A512" s="209" t="s">
        <v>325</v>
      </c>
      <c r="B512" s="210" t="s">
        <v>326</v>
      </c>
      <c r="C512" s="176">
        <f>SUM(C513)</f>
        <v>11000</v>
      </c>
      <c r="D512" s="176">
        <f t="shared" ref="D512:Q512" si="520">SUM(D513)</f>
        <v>0</v>
      </c>
      <c r="E512" s="176">
        <f t="shared" si="520"/>
        <v>0</v>
      </c>
      <c r="F512" s="176">
        <f t="shared" si="520"/>
        <v>11000</v>
      </c>
      <c r="G512" s="176">
        <f>SUM(G513)</f>
        <v>7000</v>
      </c>
      <c r="H512" s="176">
        <f>SUM(H513)</f>
        <v>7000</v>
      </c>
      <c r="I512" s="176">
        <f t="shared" si="520"/>
        <v>0</v>
      </c>
      <c r="J512" s="176">
        <f t="shared" si="520"/>
        <v>0</v>
      </c>
      <c r="K512" s="176">
        <f t="shared" si="520"/>
        <v>0</v>
      </c>
      <c r="L512" s="386">
        <f>SUM(L513:L514)</f>
        <v>0</v>
      </c>
      <c r="M512" s="176">
        <f t="shared" si="520"/>
        <v>0</v>
      </c>
      <c r="N512" s="176">
        <f t="shared" si="520"/>
        <v>0</v>
      </c>
      <c r="O512" s="176">
        <f t="shared" si="520"/>
        <v>41000</v>
      </c>
      <c r="P512" s="176">
        <f t="shared" si="520"/>
        <v>163500</v>
      </c>
      <c r="Q512" s="176">
        <f t="shared" si="520"/>
        <v>0</v>
      </c>
    </row>
    <row r="513" spans="1:17" customFormat="1" ht="14.4" x14ac:dyDescent="0.3">
      <c r="A513" s="188">
        <v>451</v>
      </c>
      <c r="B513" s="192" t="s">
        <v>55</v>
      </c>
      <c r="C513" s="179">
        <f t="shared" ref="C513:Q513" si="521">SUM(C514)</f>
        <v>11000</v>
      </c>
      <c r="D513" s="179">
        <f t="shared" si="521"/>
        <v>0</v>
      </c>
      <c r="E513" s="179">
        <f t="shared" si="521"/>
        <v>0</v>
      </c>
      <c r="F513" s="179">
        <f t="shared" si="521"/>
        <v>11000</v>
      </c>
      <c r="G513" s="179">
        <f t="shared" si="521"/>
        <v>7000</v>
      </c>
      <c r="H513" s="179">
        <f t="shared" si="521"/>
        <v>7000</v>
      </c>
      <c r="I513" s="179">
        <f t="shared" si="521"/>
        <v>0</v>
      </c>
      <c r="J513" s="179">
        <f t="shared" si="521"/>
        <v>0</v>
      </c>
      <c r="K513" s="179">
        <f t="shared" si="521"/>
        <v>0</v>
      </c>
      <c r="L513" s="179">
        <f t="shared" si="521"/>
        <v>0</v>
      </c>
      <c r="M513" s="179">
        <f t="shared" si="521"/>
        <v>0</v>
      </c>
      <c r="N513" s="179">
        <f t="shared" si="521"/>
        <v>0</v>
      </c>
      <c r="O513" s="179">
        <f t="shared" si="521"/>
        <v>41000</v>
      </c>
      <c r="P513" s="179">
        <f t="shared" si="521"/>
        <v>163500</v>
      </c>
      <c r="Q513" s="179">
        <f t="shared" si="521"/>
        <v>0</v>
      </c>
    </row>
    <row r="514" spans="1:17" customFormat="1" ht="14.4" x14ac:dyDescent="0.3">
      <c r="A514" s="189">
        <v>4511</v>
      </c>
      <c r="B514" s="190" t="s">
        <v>55</v>
      </c>
      <c r="C514" s="182">
        <v>11000</v>
      </c>
      <c r="D514" s="182"/>
      <c r="E514" s="182"/>
      <c r="F514" s="182">
        <f t="shared" ref="F514" si="522">C514-D514+E514</f>
        <v>11000</v>
      </c>
      <c r="G514" s="182">
        <v>7000</v>
      </c>
      <c r="H514" s="182">
        <v>7000</v>
      </c>
      <c r="I514" s="182"/>
      <c r="J514" s="220"/>
      <c r="K514" s="220"/>
      <c r="L514" s="220">
        <f>I514-J514+K514</f>
        <v>0</v>
      </c>
      <c r="M514" s="182"/>
      <c r="N514" s="182"/>
      <c r="O514" s="182">
        <v>41000</v>
      </c>
      <c r="P514" s="182">
        <v>163500</v>
      </c>
      <c r="Q514" s="182"/>
    </row>
    <row r="515" spans="1:17" customFormat="1" ht="25.05" customHeight="1" x14ac:dyDescent="0.3">
      <c r="A515" s="230" t="s">
        <v>114</v>
      </c>
      <c r="B515" s="231" t="s">
        <v>115</v>
      </c>
      <c r="C515" s="172">
        <f t="shared" ref="C515:F515" si="523">SUM(C516,C531,C568)</f>
        <v>175000</v>
      </c>
      <c r="D515" s="172">
        <f t="shared" si="523"/>
        <v>101500</v>
      </c>
      <c r="E515" s="172">
        <f t="shared" si="523"/>
        <v>30500</v>
      </c>
      <c r="F515" s="172">
        <f t="shared" si="523"/>
        <v>104000</v>
      </c>
      <c r="G515" s="172">
        <f t="shared" ref="G515:H515" si="524">SUM(G516,G531,G568)</f>
        <v>166000</v>
      </c>
      <c r="H515" s="172">
        <f t="shared" si="524"/>
        <v>166000</v>
      </c>
      <c r="I515" s="172">
        <f t="shared" ref="I515:Q515" si="525">SUM(I516,I531,I568)</f>
        <v>166000</v>
      </c>
      <c r="J515" s="172">
        <f t="shared" si="525"/>
        <v>80000</v>
      </c>
      <c r="K515" s="172">
        <f t="shared" si="525"/>
        <v>70000</v>
      </c>
      <c r="L515" s="172">
        <f t="shared" si="525"/>
        <v>156000</v>
      </c>
      <c r="M515" s="172">
        <f t="shared" si="525"/>
        <v>166000</v>
      </c>
      <c r="N515" s="172">
        <f t="shared" si="525"/>
        <v>166000</v>
      </c>
      <c r="O515" s="172">
        <f t="shared" si="525"/>
        <v>220000</v>
      </c>
      <c r="P515" s="172">
        <f t="shared" si="525"/>
        <v>149000</v>
      </c>
      <c r="Q515" s="172">
        <f t="shared" si="525"/>
        <v>149000</v>
      </c>
    </row>
    <row r="516" spans="1:17" customFormat="1" ht="14.4" x14ac:dyDescent="0.3">
      <c r="A516" s="721" t="s">
        <v>106</v>
      </c>
      <c r="B516" s="721"/>
      <c r="C516" s="173">
        <f>SUM(C517,C521)</f>
        <v>70000</v>
      </c>
      <c r="D516" s="173">
        <f t="shared" ref="D516:F516" si="526">SUM(D517,D521)</f>
        <v>62000</v>
      </c>
      <c r="E516" s="173">
        <f t="shared" si="526"/>
        <v>20000</v>
      </c>
      <c r="F516" s="173">
        <f t="shared" si="526"/>
        <v>28000</v>
      </c>
      <c r="G516" s="173">
        <f>SUM(G517,G521)</f>
        <v>70000</v>
      </c>
      <c r="H516" s="173">
        <f>SUM(H517,H521)</f>
        <v>70000</v>
      </c>
      <c r="I516" s="173">
        <f t="shared" ref="I516:N516" si="527">SUM(I517,I521)</f>
        <v>70000</v>
      </c>
      <c r="J516" s="173">
        <f t="shared" si="527"/>
        <v>56000</v>
      </c>
      <c r="K516" s="173">
        <f t="shared" si="527"/>
        <v>11000</v>
      </c>
      <c r="L516" s="173">
        <f t="shared" si="527"/>
        <v>25000</v>
      </c>
      <c r="M516" s="173">
        <f t="shared" si="527"/>
        <v>70000</v>
      </c>
      <c r="N516" s="173">
        <f t="shared" si="527"/>
        <v>70000</v>
      </c>
      <c r="O516" s="173">
        <f t="shared" ref="O516:P516" si="528">SUM(O517,O521)</f>
        <v>25000</v>
      </c>
      <c r="P516" s="173">
        <f t="shared" si="528"/>
        <v>25000</v>
      </c>
      <c r="Q516" s="173">
        <f t="shared" ref="Q516" si="529">SUM(Q517,Q521)</f>
        <v>25000</v>
      </c>
    </row>
    <row r="517" spans="1:17" customFormat="1" ht="14.4" x14ac:dyDescent="0.3">
      <c r="A517" s="185" t="s">
        <v>315</v>
      </c>
      <c r="B517" s="186" t="s">
        <v>316</v>
      </c>
      <c r="C517" s="187">
        <f>SUM(C518)</f>
        <v>14000</v>
      </c>
      <c r="D517" s="187">
        <f t="shared" ref="D517:Q517" si="530">SUM(D518)</f>
        <v>14000</v>
      </c>
      <c r="E517" s="187">
        <f t="shared" si="530"/>
        <v>20000</v>
      </c>
      <c r="F517" s="187">
        <f t="shared" si="530"/>
        <v>20000</v>
      </c>
      <c r="G517" s="187">
        <f>SUM(G518)</f>
        <v>14000</v>
      </c>
      <c r="H517" s="187">
        <f>SUM(H518)</f>
        <v>14000</v>
      </c>
      <c r="I517" s="187">
        <f t="shared" si="530"/>
        <v>14000</v>
      </c>
      <c r="J517" s="187">
        <f t="shared" si="530"/>
        <v>14000</v>
      </c>
      <c r="K517" s="187">
        <f t="shared" si="530"/>
        <v>10000</v>
      </c>
      <c r="L517" s="187">
        <f t="shared" si="530"/>
        <v>10000</v>
      </c>
      <c r="M517" s="187">
        <f t="shared" si="530"/>
        <v>14000</v>
      </c>
      <c r="N517" s="187">
        <f t="shared" si="530"/>
        <v>14000</v>
      </c>
      <c r="O517" s="187">
        <f t="shared" si="530"/>
        <v>10000</v>
      </c>
      <c r="P517" s="187">
        <f t="shared" si="530"/>
        <v>10000</v>
      </c>
      <c r="Q517" s="187">
        <f t="shared" si="530"/>
        <v>10000</v>
      </c>
    </row>
    <row r="518" spans="1:17" s="6" customFormat="1" ht="14.4" x14ac:dyDescent="0.3">
      <c r="A518" s="226" t="s">
        <v>143</v>
      </c>
      <c r="B518" s="227" t="s">
        <v>220</v>
      </c>
      <c r="C518" s="202">
        <f>SUM(C519:C520)</f>
        <v>14000</v>
      </c>
      <c r="D518" s="202">
        <f t="shared" ref="D518:N518" si="531">SUM(D519:D520)</f>
        <v>14000</v>
      </c>
      <c r="E518" s="202">
        <f t="shared" si="531"/>
        <v>20000</v>
      </c>
      <c r="F518" s="202">
        <f t="shared" si="531"/>
        <v>20000</v>
      </c>
      <c r="G518" s="202">
        <f t="shared" si="531"/>
        <v>14000</v>
      </c>
      <c r="H518" s="202">
        <f t="shared" si="531"/>
        <v>14000</v>
      </c>
      <c r="I518" s="202">
        <f t="shared" si="531"/>
        <v>14000</v>
      </c>
      <c r="J518" s="202">
        <f t="shared" si="531"/>
        <v>14000</v>
      </c>
      <c r="K518" s="202">
        <f t="shared" si="531"/>
        <v>10000</v>
      </c>
      <c r="L518" s="202">
        <f t="shared" si="531"/>
        <v>10000</v>
      </c>
      <c r="M518" s="202">
        <f t="shared" si="531"/>
        <v>14000</v>
      </c>
      <c r="N518" s="202">
        <f t="shared" si="531"/>
        <v>14000</v>
      </c>
      <c r="O518" s="202">
        <f t="shared" ref="O518:P518" si="532">SUM(O519:O520)</f>
        <v>10000</v>
      </c>
      <c r="P518" s="202">
        <f t="shared" si="532"/>
        <v>10000</v>
      </c>
      <c r="Q518" s="202">
        <f t="shared" ref="Q518" si="533">SUM(Q519:Q520)</f>
        <v>10000</v>
      </c>
    </row>
    <row r="519" spans="1:17" s="6" customFormat="1" ht="14.4" x14ac:dyDescent="0.3">
      <c r="A519" s="189">
        <v>3111</v>
      </c>
      <c r="B519" s="190" t="s">
        <v>5</v>
      </c>
      <c r="C519" s="232"/>
      <c r="D519" s="232"/>
      <c r="E519" s="233">
        <v>20000</v>
      </c>
      <c r="F519" s="182">
        <f t="shared" ref="F519:F520" si="534">C519-D519+E519</f>
        <v>20000</v>
      </c>
      <c r="G519" s="232"/>
      <c r="H519" s="232"/>
      <c r="I519" s="232"/>
      <c r="J519" s="232"/>
      <c r="K519" s="233">
        <v>10000</v>
      </c>
      <c r="L519" s="233">
        <f>I519-J519+K519</f>
        <v>10000</v>
      </c>
      <c r="M519" s="232"/>
      <c r="N519" s="232"/>
      <c r="O519" s="233">
        <v>10000</v>
      </c>
      <c r="P519" s="233">
        <v>10000</v>
      </c>
      <c r="Q519" s="233">
        <v>10000</v>
      </c>
    </row>
    <row r="520" spans="1:17" customFormat="1" ht="14.4" hidden="1" x14ac:dyDescent="0.3">
      <c r="A520" s="189">
        <v>3113</v>
      </c>
      <c r="B520" s="190" t="s">
        <v>288</v>
      </c>
      <c r="C520" s="182">
        <v>14000</v>
      </c>
      <c r="D520" s="182">
        <v>14000</v>
      </c>
      <c r="E520" s="182"/>
      <c r="F520" s="182">
        <f t="shared" si="534"/>
        <v>0</v>
      </c>
      <c r="G520" s="182">
        <v>14000</v>
      </c>
      <c r="H520" s="182">
        <v>14000</v>
      </c>
      <c r="I520" s="182">
        <v>14000</v>
      </c>
      <c r="J520" s="220">
        <v>14000</v>
      </c>
      <c r="K520" s="220"/>
      <c r="L520" s="220">
        <f>I520-J520+K520</f>
        <v>0</v>
      </c>
      <c r="M520" s="182">
        <v>14000</v>
      </c>
      <c r="N520" s="182">
        <v>14000</v>
      </c>
      <c r="O520" s="182">
        <v>0</v>
      </c>
      <c r="P520" s="182">
        <v>0</v>
      </c>
      <c r="Q520" s="182">
        <v>0</v>
      </c>
    </row>
    <row r="521" spans="1:17" customFormat="1" ht="14.4" x14ac:dyDescent="0.3">
      <c r="A521" s="185" t="s">
        <v>317</v>
      </c>
      <c r="B521" s="185" t="s">
        <v>318</v>
      </c>
      <c r="C521" s="218">
        <f>SUM(C522,C524,C527)</f>
        <v>56000</v>
      </c>
      <c r="D521" s="218">
        <f t="shared" ref="D521:F521" si="535">SUM(D522,D524,D527)</f>
        <v>48000</v>
      </c>
      <c r="E521" s="218">
        <f t="shared" si="535"/>
        <v>0</v>
      </c>
      <c r="F521" s="218">
        <f t="shared" si="535"/>
        <v>8000</v>
      </c>
      <c r="G521" s="218">
        <f>SUM(G522,G524,G527)</f>
        <v>56000</v>
      </c>
      <c r="H521" s="218">
        <f>SUM(H522,H524,H527)</f>
        <v>56000</v>
      </c>
      <c r="I521" s="218">
        <f>SUM(I522,I524,I527,I529)</f>
        <v>56000</v>
      </c>
      <c r="J521" s="218">
        <f t="shared" ref="J521:K521" si="536">SUM(J522,J524,J527,J529)</f>
        <v>42000</v>
      </c>
      <c r="K521" s="218">
        <f t="shared" si="536"/>
        <v>1000</v>
      </c>
      <c r="L521" s="218">
        <f>SUM(L522,L524,L527,L529)</f>
        <v>15000</v>
      </c>
      <c r="M521" s="218">
        <f t="shared" ref="M521:Q521" si="537">SUM(M522,M524,M527,M529)</f>
        <v>56000</v>
      </c>
      <c r="N521" s="218">
        <f t="shared" si="537"/>
        <v>56000</v>
      </c>
      <c r="O521" s="218">
        <f t="shared" si="537"/>
        <v>15000</v>
      </c>
      <c r="P521" s="218">
        <f t="shared" si="537"/>
        <v>15000</v>
      </c>
      <c r="Q521" s="218">
        <f t="shared" si="537"/>
        <v>15000</v>
      </c>
    </row>
    <row r="522" spans="1:17" s="6" customFormat="1" ht="14.4" x14ac:dyDescent="0.3">
      <c r="A522" s="188" t="s">
        <v>149</v>
      </c>
      <c r="B522" s="192" t="s">
        <v>12</v>
      </c>
      <c r="C522" s="179">
        <f t="shared" ref="C522:Q522" si="538">SUM(C523)</f>
        <v>14000</v>
      </c>
      <c r="D522" s="179">
        <f t="shared" si="538"/>
        <v>12000</v>
      </c>
      <c r="E522" s="179">
        <f t="shared" si="538"/>
        <v>0</v>
      </c>
      <c r="F522" s="179">
        <f t="shared" si="538"/>
        <v>2000</v>
      </c>
      <c r="G522" s="179">
        <f t="shared" si="538"/>
        <v>14000</v>
      </c>
      <c r="H522" s="179">
        <f t="shared" si="538"/>
        <v>14000</v>
      </c>
      <c r="I522" s="179">
        <f t="shared" si="538"/>
        <v>14000</v>
      </c>
      <c r="J522" s="179">
        <f t="shared" si="538"/>
        <v>7000</v>
      </c>
      <c r="K522" s="179">
        <f t="shared" si="538"/>
        <v>0</v>
      </c>
      <c r="L522" s="179">
        <f t="shared" si="538"/>
        <v>7000</v>
      </c>
      <c r="M522" s="179">
        <f t="shared" si="538"/>
        <v>14000</v>
      </c>
      <c r="N522" s="179">
        <f t="shared" si="538"/>
        <v>14000</v>
      </c>
      <c r="O522" s="179">
        <f t="shared" si="538"/>
        <v>7000</v>
      </c>
      <c r="P522" s="179">
        <f t="shared" si="538"/>
        <v>7000</v>
      </c>
      <c r="Q522" s="179">
        <f t="shared" si="538"/>
        <v>7000</v>
      </c>
    </row>
    <row r="523" spans="1:17" customFormat="1" ht="14.4" x14ac:dyDescent="0.3">
      <c r="A523" s="189" t="s">
        <v>150</v>
      </c>
      <c r="B523" s="190" t="s">
        <v>13</v>
      </c>
      <c r="C523" s="182">
        <v>14000</v>
      </c>
      <c r="D523" s="182">
        <v>12000</v>
      </c>
      <c r="E523" s="182"/>
      <c r="F523" s="182">
        <f t="shared" ref="F523:F528" si="539">C523-D523+E523</f>
        <v>2000</v>
      </c>
      <c r="G523" s="182">
        <v>14000</v>
      </c>
      <c r="H523" s="182">
        <v>14000</v>
      </c>
      <c r="I523" s="182">
        <v>14000</v>
      </c>
      <c r="J523" s="220">
        <v>7000</v>
      </c>
      <c r="K523" s="220"/>
      <c r="L523" s="220">
        <f>I523-J523+K523</f>
        <v>7000</v>
      </c>
      <c r="M523" s="182">
        <v>14000</v>
      </c>
      <c r="N523" s="182">
        <v>14000</v>
      </c>
      <c r="O523" s="182">
        <v>7000</v>
      </c>
      <c r="P523" s="182">
        <v>7000</v>
      </c>
      <c r="Q523" s="182">
        <v>7000</v>
      </c>
    </row>
    <row r="524" spans="1:17" s="6" customFormat="1" ht="14.4" x14ac:dyDescent="0.3">
      <c r="A524" s="188" t="s">
        <v>153</v>
      </c>
      <c r="B524" s="192" t="s">
        <v>16</v>
      </c>
      <c r="C524" s="179">
        <f t="shared" ref="C524:F524" si="540">SUM(C525,C526)</f>
        <v>14000</v>
      </c>
      <c r="D524" s="179">
        <f t="shared" si="540"/>
        <v>9000</v>
      </c>
      <c r="E524" s="179">
        <f t="shared" si="540"/>
        <v>0</v>
      </c>
      <c r="F524" s="179">
        <f t="shared" si="540"/>
        <v>5000</v>
      </c>
      <c r="G524" s="179">
        <f t="shared" ref="G524:H524" si="541">SUM(G525,G526)</f>
        <v>14000</v>
      </c>
      <c r="H524" s="179">
        <f t="shared" si="541"/>
        <v>14000</v>
      </c>
      <c r="I524" s="179">
        <f t="shared" ref="I524:N524" si="542">SUM(I525,I526)</f>
        <v>14000</v>
      </c>
      <c r="J524" s="179">
        <f t="shared" si="542"/>
        <v>10000</v>
      </c>
      <c r="K524" s="179">
        <f t="shared" si="542"/>
        <v>0</v>
      </c>
      <c r="L524" s="179">
        <f t="shared" si="542"/>
        <v>4000</v>
      </c>
      <c r="M524" s="179">
        <f t="shared" si="542"/>
        <v>14000</v>
      </c>
      <c r="N524" s="179">
        <f t="shared" si="542"/>
        <v>14000</v>
      </c>
      <c r="O524" s="179">
        <f t="shared" ref="O524:P524" si="543">SUM(O525,O526)</f>
        <v>4000</v>
      </c>
      <c r="P524" s="179">
        <f t="shared" si="543"/>
        <v>4000</v>
      </c>
      <c r="Q524" s="179">
        <f t="shared" ref="Q524" si="544">SUM(Q525,Q526)</f>
        <v>4000</v>
      </c>
    </row>
    <row r="525" spans="1:17" s="6" customFormat="1" ht="14.4" x14ac:dyDescent="0.3">
      <c r="A525" s="189">
        <v>3221</v>
      </c>
      <c r="B525" s="190" t="s">
        <v>17</v>
      </c>
      <c r="C525" s="182">
        <v>7000</v>
      </c>
      <c r="D525" s="182">
        <v>2000</v>
      </c>
      <c r="E525" s="182"/>
      <c r="F525" s="182">
        <f t="shared" si="539"/>
        <v>5000</v>
      </c>
      <c r="G525" s="182">
        <v>7000</v>
      </c>
      <c r="H525" s="182">
        <v>7000</v>
      </c>
      <c r="I525" s="182">
        <v>7000</v>
      </c>
      <c r="J525" s="220">
        <v>5000</v>
      </c>
      <c r="K525" s="220"/>
      <c r="L525" s="220">
        <f>I525-J525+K525</f>
        <v>2000</v>
      </c>
      <c r="M525" s="182">
        <v>7000</v>
      </c>
      <c r="N525" s="182">
        <v>7000</v>
      </c>
      <c r="O525" s="182">
        <v>2000</v>
      </c>
      <c r="P525" s="182">
        <v>2000</v>
      </c>
      <c r="Q525" s="182">
        <v>2000</v>
      </c>
    </row>
    <row r="526" spans="1:17" customFormat="1" ht="14.4" x14ac:dyDescent="0.3">
      <c r="A526" s="189">
        <v>3223</v>
      </c>
      <c r="B526" s="190" t="s">
        <v>19</v>
      </c>
      <c r="C526" s="182">
        <v>7000</v>
      </c>
      <c r="D526" s="182">
        <v>7000</v>
      </c>
      <c r="E526" s="182"/>
      <c r="F526" s="182">
        <f t="shared" si="539"/>
        <v>0</v>
      </c>
      <c r="G526" s="182">
        <v>7000</v>
      </c>
      <c r="H526" s="182">
        <v>7000</v>
      </c>
      <c r="I526" s="182">
        <v>7000</v>
      </c>
      <c r="J526" s="220">
        <v>5000</v>
      </c>
      <c r="K526" s="220"/>
      <c r="L526" s="220">
        <f>I526-J526+K526</f>
        <v>2000</v>
      </c>
      <c r="M526" s="182">
        <v>7000</v>
      </c>
      <c r="N526" s="182">
        <v>7000</v>
      </c>
      <c r="O526" s="182">
        <v>2000</v>
      </c>
      <c r="P526" s="182">
        <v>2000</v>
      </c>
      <c r="Q526" s="182">
        <v>2000</v>
      </c>
    </row>
    <row r="527" spans="1:17" s="6" customFormat="1" ht="14.4" x14ac:dyDescent="0.3">
      <c r="A527" s="188" t="s">
        <v>159</v>
      </c>
      <c r="B527" s="192" t="s">
        <v>123</v>
      </c>
      <c r="C527" s="179">
        <f t="shared" ref="C527:Q527" si="545">SUM(C528)</f>
        <v>28000</v>
      </c>
      <c r="D527" s="179">
        <f t="shared" si="545"/>
        <v>27000</v>
      </c>
      <c r="E527" s="179">
        <f t="shared" si="545"/>
        <v>0</v>
      </c>
      <c r="F527" s="179">
        <f t="shared" si="545"/>
        <v>1000</v>
      </c>
      <c r="G527" s="179">
        <f t="shared" si="545"/>
        <v>28000</v>
      </c>
      <c r="H527" s="179">
        <f t="shared" si="545"/>
        <v>28000</v>
      </c>
      <c r="I527" s="179">
        <f t="shared" si="545"/>
        <v>28000</v>
      </c>
      <c r="J527" s="179">
        <f t="shared" si="545"/>
        <v>25000</v>
      </c>
      <c r="K527" s="179">
        <f t="shared" si="545"/>
        <v>0</v>
      </c>
      <c r="L527" s="179">
        <f t="shared" si="545"/>
        <v>3000</v>
      </c>
      <c r="M527" s="179">
        <f t="shared" si="545"/>
        <v>28000</v>
      </c>
      <c r="N527" s="179">
        <f t="shared" si="545"/>
        <v>28000</v>
      </c>
      <c r="O527" s="179">
        <f t="shared" si="545"/>
        <v>3000</v>
      </c>
      <c r="P527" s="179">
        <f t="shared" si="545"/>
        <v>3000</v>
      </c>
      <c r="Q527" s="179">
        <f t="shared" si="545"/>
        <v>3000</v>
      </c>
    </row>
    <row r="528" spans="1:17" customFormat="1" ht="14.4" x14ac:dyDescent="0.3">
      <c r="A528" s="189" t="s">
        <v>162</v>
      </c>
      <c r="B528" s="190" t="s">
        <v>26</v>
      </c>
      <c r="C528" s="182">
        <v>28000</v>
      </c>
      <c r="D528" s="182">
        <v>27000</v>
      </c>
      <c r="E528" s="182"/>
      <c r="F528" s="182">
        <f t="shared" si="539"/>
        <v>1000</v>
      </c>
      <c r="G528" s="182">
        <v>28000</v>
      </c>
      <c r="H528" s="182">
        <v>28000</v>
      </c>
      <c r="I528" s="182">
        <v>28000</v>
      </c>
      <c r="J528" s="220">
        <v>25000</v>
      </c>
      <c r="K528" s="220"/>
      <c r="L528" s="220">
        <f>I528-J528+K528</f>
        <v>3000</v>
      </c>
      <c r="M528" s="182">
        <v>28000</v>
      </c>
      <c r="N528" s="182">
        <v>28000</v>
      </c>
      <c r="O528" s="182">
        <v>3000</v>
      </c>
      <c r="P528" s="182">
        <v>3000</v>
      </c>
      <c r="Q528" s="182">
        <v>3000</v>
      </c>
    </row>
    <row r="529" spans="1:17" customFormat="1" ht="15.6" customHeight="1" x14ac:dyDescent="0.3">
      <c r="A529" s="188" t="s">
        <v>170</v>
      </c>
      <c r="B529" s="192" t="s">
        <v>33</v>
      </c>
      <c r="C529" s="199">
        <f t="shared" ref="C529:D529" si="546">SUM(C530)</f>
        <v>0</v>
      </c>
      <c r="D529" s="199">
        <f t="shared" si="546"/>
        <v>0</v>
      </c>
      <c r="E529" s="199"/>
      <c r="F529" s="199"/>
      <c r="G529" s="199">
        <f t="shared" ref="G529:H529" si="547">SUM(G530)</f>
        <v>0</v>
      </c>
      <c r="H529" s="199">
        <f t="shared" si="547"/>
        <v>0</v>
      </c>
      <c r="I529" s="199">
        <f>SUM(I530)</f>
        <v>0</v>
      </c>
      <c r="J529" s="199">
        <f t="shared" ref="J529:Q529" si="548">SUM(J530)</f>
        <v>0</v>
      </c>
      <c r="K529" s="199">
        <f t="shared" si="548"/>
        <v>1000</v>
      </c>
      <c r="L529" s="199">
        <f t="shared" si="548"/>
        <v>1000</v>
      </c>
      <c r="M529" s="199">
        <f t="shared" si="548"/>
        <v>0</v>
      </c>
      <c r="N529" s="199">
        <f t="shared" si="548"/>
        <v>0</v>
      </c>
      <c r="O529" s="199">
        <f t="shared" si="548"/>
        <v>1000</v>
      </c>
      <c r="P529" s="199">
        <f t="shared" si="548"/>
        <v>1000</v>
      </c>
      <c r="Q529" s="199">
        <f t="shared" si="548"/>
        <v>1000</v>
      </c>
    </row>
    <row r="530" spans="1:17" customFormat="1" ht="14.55" customHeight="1" x14ac:dyDescent="0.3">
      <c r="A530" s="180">
        <v>3292</v>
      </c>
      <c r="B530" s="181" t="s">
        <v>35</v>
      </c>
      <c r="C530" s="182"/>
      <c r="D530" s="182"/>
      <c r="E530" s="182"/>
      <c r="F530" s="182"/>
      <c r="G530" s="182"/>
      <c r="H530" s="182"/>
      <c r="I530" s="182"/>
      <c r="J530" s="220"/>
      <c r="K530" s="220">
        <v>1000</v>
      </c>
      <c r="L530" s="220">
        <f>I530-J530+K530</f>
        <v>1000</v>
      </c>
      <c r="M530" s="182"/>
      <c r="N530" s="182"/>
      <c r="O530" s="182">
        <v>1000</v>
      </c>
      <c r="P530" s="182">
        <v>1000</v>
      </c>
      <c r="Q530" s="182">
        <v>1000</v>
      </c>
    </row>
    <row r="531" spans="1:17" customFormat="1" ht="18" customHeight="1" x14ac:dyDescent="0.3">
      <c r="A531" s="721" t="s">
        <v>113</v>
      </c>
      <c r="B531" s="721"/>
      <c r="C531" s="173">
        <f>SUM(C532,C536,C559,C565)</f>
        <v>89000</v>
      </c>
      <c r="D531" s="173">
        <f t="shared" ref="D531:F531" si="549">SUM(D532,D536,D559,D565)</f>
        <v>38500</v>
      </c>
      <c r="E531" s="173">
        <f t="shared" si="549"/>
        <v>10500</v>
      </c>
      <c r="F531" s="173">
        <f t="shared" si="549"/>
        <v>61000</v>
      </c>
      <c r="G531" s="173">
        <f>SUM(G532,G536,G559,G565)</f>
        <v>89000</v>
      </c>
      <c r="H531" s="173">
        <f>SUM(H532,H536,H559,H565)</f>
        <v>89000</v>
      </c>
      <c r="I531" s="173">
        <f t="shared" ref="I531:N531" si="550">SUM(I532,I536,I559,I565)</f>
        <v>89000</v>
      </c>
      <c r="J531" s="173">
        <f t="shared" si="550"/>
        <v>24000</v>
      </c>
      <c r="K531" s="173">
        <f t="shared" si="550"/>
        <v>59000</v>
      </c>
      <c r="L531" s="173">
        <f t="shared" si="550"/>
        <v>124000</v>
      </c>
      <c r="M531" s="173">
        <f t="shared" si="550"/>
        <v>89000</v>
      </c>
      <c r="N531" s="173">
        <f t="shared" si="550"/>
        <v>89000</v>
      </c>
      <c r="O531" s="173">
        <f t="shared" ref="O531:P531" si="551">SUM(O532,O536,O559,O565)</f>
        <v>195000</v>
      </c>
      <c r="P531" s="173">
        <f t="shared" si="551"/>
        <v>124000</v>
      </c>
      <c r="Q531" s="173">
        <f t="shared" ref="Q531" si="552">SUM(Q532,Q536,Q559,Q565)</f>
        <v>124000</v>
      </c>
    </row>
    <row r="532" spans="1:17" customFormat="1" ht="18" customHeight="1" x14ac:dyDescent="0.3">
      <c r="A532" s="185" t="s">
        <v>315</v>
      </c>
      <c r="B532" s="186" t="s">
        <v>316</v>
      </c>
      <c r="C532" s="187">
        <f>SUM(C533)</f>
        <v>14000</v>
      </c>
      <c r="D532" s="187">
        <f t="shared" ref="D532:Q532" si="553">SUM(D533)</f>
        <v>14000</v>
      </c>
      <c r="E532" s="187">
        <f t="shared" si="553"/>
        <v>10000</v>
      </c>
      <c r="F532" s="187">
        <f t="shared" si="553"/>
        <v>10000</v>
      </c>
      <c r="G532" s="187">
        <f>SUM(G533)</f>
        <v>14000</v>
      </c>
      <c r="H532" s="187">
        <f>SUM(H533)</f>
        <v>14000</v>
      </c>
      <c r="I532" s="187">
        <f t="shared" si="553"/>
        <v>14000</v>
      </c>
      <c r="J532" s="187">
        <f t="shared" si="553"/>
        <v>14000</v>
      </c>
      <c r="K532" s="187">
        <f t="shared" si="553"/>
        <v>5000</v>
      </c>
      <c r="L532" s="187">
        <f t="shared" si="553"/>
        <v>5000</v>
      </c>
      <c r="M532" s="187">
        <f t="shared" si="553"/>
        <v>14000</v>
      </c>
      <c r="N532" s="187">
        <f t="shared" si="553"/>
        <v>14000</v>
      </c>
      <c r="O532" s="187">
        <f t="shared" si="553"/>
        <v>5000</v>
      </c>
      <c r="P532" s="187">
        <f t="shared" si="553"/>
        <v>5000</v>
      </c>
      <c r="Q532" s="187">
        <f t="shared" si="553"/>
        <v>5000</v>
      </c>
    </row>
    <row r="533" spans="1:17" customFormat="1" ht="18" customHeight="1" x14ac:dyDescent="0.3">
      <c r="A533" s="226" t="s">
        <v>143</v>
      </c>
      <c r="B533" s="227" t="s">
        <v>220</v>
      </c>
      <c r="C533" s="202">
        <f>SUM(C534:C535)</f>
        <v>14000</v>
      </c>
      <c r="D533" s="202">
        <f t="shared" ref="D533:N533" si="554">SUM(D534:D535)</f>
        <v>14000</v>
      </c>
      <c r="E533" s="202">
        <f t="shared" si="554"/>
        <v>10000</v>
      </c>
      <c r="F533" s="202">
        <f t="shared" si="554"/>
        <v>10000</v>
      </c>
      <c r="G533" s="202">
        <f t="shared" si="554"/>
        <v>14000</v>
      </c>
      <c r="H533" s="202">
        <f t="shared" si="554"/>
        <v>14000</v>
      </c>
      <c r="I533" s="202">
        <f t="shared" si="554"/>
        <v>14000</v>
      </c>
      <c r="J533" s="202">
        <f t="shared" si="554"/>
        <v>14000</v>
      </c>
      <c r="K533" s="202">
        <f t="shared" si="554"/>
        <v>5000</v>
      </c>
      <c r="L533" s="202">
        <f t="shared" si="554"/>
        <v>5000</v>
      </c>
      <c r="M533" s="202">
        <f t="shared" si="554"/>
        <v>14000</v>
      </c>
      <c r="N533" s="202">
        <f t="shared" si="554"/>
        <v>14000</v>
      </c>
      <c r="O533" s="202">
        <f t="shared" ref="O533:P533" si="555">SUM(O534:O535)</f>
        <v>5000</v>
      </c>
      <c r="P533" s="202">
        <f t="shared" si="555"/>
        <v>5000</v>
      </c>
      <c r="Q533" s="202">
        <f t="shared" ref="Q533" si="556">SUM(Q534:Q535)</f>
        <v>5000</v>
      </c>
    </row>
    <row r="534" spans="1:17" customFormat="1" ht="18" customHeight="1" x14ac:dyDescent="0.3">
      <c r="A534" s="189">
        <v>3111</v>
      </c>
      <c r="B534" s="190" t="s">
        <v>5</v>
      </c>
      <c r="C534" s="232"/>
      <c r="D534" s="232"/>
      <c r="E534" s="233">
        <v>10000</v>
      </c>
      <c r="F534" s="182">
        <f t="shared" ref="F534:F535" si="557">C534-D534+E534</f>
        <v>10000</v>
      </c>
      <c r="G534" s="232"/>
      <c r="H534" s="232"/>
      <c r="I534" s="232"/>
      <c r="J534" s="232"/>
      <c r="K534" s="233">
        <v>5000</v>
      </c>
      <c r="L534" s="233">
        <f>I534-J534+K534</f>
        <v>5000</v>
      </c>
      <c r="M534" s="232"/>
      <c r="N534" s="232"/>
      <c r="O534" s="233">
        <v>5000</v>
      </c>
      <c r="P534" s="233">
        <v>5000</v>
      </c>
      <c r="Q534" s="233">
        <v>5000</v>
      </c>
    </row>
    <row r="535" spans="1:17" customFormat="1" ht="18" hidden="1" customHeight="1" x14ac:dyDescent="0.3">
      <c r="A535" s="189">
        <v>3113</v>
      </c>
      <c r="B535" s="190" t="s">
        <v>288</v>
      </c>
      <c r="C535" s="182">
        <v>14000</v>
      </c>
      <c r="D535" s="182">
        <v>14000</v>
      </c>
      <c r="E535" s="182"/>
      <c r="F535" s="182">
        <f t="shared" si="557"/>
        <v>0</v>
      </c>
      <c r="G535" s="182">
        <v>14000</v>
      </c>
      <c r="H535" s="182">
        <v>14000</v>
      </c>
      <c r="I535" s="182">
        <v>14000</v>
      </c>
      <c r="J535" s="220">
        <v>14000</v>
      </c>
      <c r="K535" s="220"/>
      <c r="L535" s="220">
        <f>I535-J535+K535</f>
        <v>0</v>
      </c>
      <c r="M535" s="182">
        <v>14000</v>
      </c>
      <c r="N535" s="182">
        <v>14000</v>
      </c>
      <c r="O535" s="182"/>
      <c r="P535" s="182"/>
      <c r="Q535" s="182"/>
    </row>
    <row r="536" spans="1:17" customFormat="1" ht="18" customHeight="1" x14ac:dyDescent="0.3">
      <c r="A536" s="185" t="s">
        <v>317</v>
      </c>
      <c r="B536" s="185" t="s">
        <v>318</v>
      </c>
      <c r="C536" s="218">
        <f>SUM(C537,C540,C545,C553)</f>
        <v>50500</v>
      </c>
      <c r="D536" s="218">
        <f t="shared" ref="D536:F536" si="558">SUM(D537,D540,D545,D553)</f>
        <v>24500</v>
      </c>
      <c r="E536" s="218">
        <f t="shared" si="558"/>
        <v>0</v>
      </c>
      <c r="F536" s="218">
        <f t="shared" si="558"/>
        <v>26000</v>
      </c>
      <c r="G536" s="218">
        <f>SUM(G537,G540,G545,G553)</f>
        <v>55000</v>
      </c>
      <c r="H536" s="218">
        <f>SUM(H537,H540,H545,H553)</f>
        <v>55000</v>
      </c>
      <c r="I536" s="218">
        <f t="shared" ref="I536:N536" si="559">SUM(I537,I540,I545,I553)</f>
        <v>55000</v>
      </c>
      <c r="J536" s="218">
        <f t="shared" si="559"/>
        <v>10000</v>
      </c>
      <c r="K536" s="218">
        <f t="shared" si="559"/>
        <v>54000</v>
      </c>
      <c r="L536" s="218">
        <f t="shared" si="559"/>
        <v>99000</v>
      </c>
      <c r="M536" s="218">
        <f t="shared" si="559"/>
        <v>55000</v>
      </c>
      <c r="N536" s="218">
        <f t="shared" si="559"/>
        <v>55000</v>
      </c>
      <c r="O536" s="218">
        <f t="shared" ref="O536:P536" si="560">SUM(O537,O540,O545,O553)</f>
        <v>99000</v>
      </c>
      <c r="P536" s="218">
        <f t="shared" si="560"/>
        <v>99000</v>
      </c>
      <c r="Q536" s="218">
        <f t="shared" ref="Q536" si="561">SUM(Q537,Q540,Q545,Q553)</f>
        <v>99000</v>
      </c>
    </row>
    <row r="537" spans="1:17" customFormat="1" ht="14.4" x14ac:dyDescent="0.3">
      <c r="A537" s="234">
        <v>321</v>
      </c>
      <c r="B537" s="235" t="s">
        <v>116</v>
      </c>
      <c r="C537" s="199">
        <f t="shared" ref="C537:H537" si="562">SUM(C539)</f>
        <v>1000</v>
      </c>
      <c r="D537" s="199">
        <f t="shared" si="562"/>
        <v>0</v>
      </c>
      <c r="E537" s="199">
        <f t="shared" si="562"/>
        <v>0</v>
      </c>
      <c r="F537" s="199">
        <f t="shared" si="562"/>
        <v>1000</v>
      </c>
      <c r="G537" s="199">
        <f t="shared" si="562"/>
        <v>1000</v>
      </c>
      <c r="H537" s="199">
        <f t="shared" si="562"/>
        <v>1000</v>
      </c>
      <c r="I537" s="199">
        <f>SUM(I538:I539)</f>
        <v>1000</v>
      </c>
      <c r="J537" s="199">
        <f t="shared" ref="J537:Q537" si="563">SUM(J538:J539)</f>
        <v>0</v>
      </c>
      <c r="K537" s="199">
        <f t="shared" si="563"/>
        <v>24000</v>
      </c>
      <c r="L537" s="199">
        <f t="shared" si="563"/>
        <v>25000</v>
      </c>
      <c r="M537" s="199">
        <f t="shared" si="563"/>
        <v>1000</v>
      </c>
      <c r="N537" s="199">
        <f t="shared" si="563"/>
        <v>1000</v>
      </c>
      <c r="O537" s="199">
        <f t="shared" si="563"/>
        <v>25000</v>
      </c>
      <c r="P537" s="199">
        <f t="shared" si="563"/>
        <v>25000</v>
      </c>
      <c r="Q537" s="199">
        <f t="shared" si="563"/>
        <v>25000</v>
      </c>
    </row>
    <row r="538" spans="1:17" customFormat="1" ht="14.4" x14ac:dyDescent="0.3">
      <c r="A538" s="236">
        <v>3211</v>
      </c>
      <c r="B538" s="450" t="s">
        <v>13</v>
      </c>
      <c r="C538" s="390"/>
      <c r="D538" s="390"/>
      <c r="E538" s="390"/>
      <c r="F538" s="390"/>
      <c r="G538" s="390"/>
      <c r="H538" s="390"/>
      <c r="I538" s="390"/>
      <c r="J538" s="390"/>
      <c r="K538" s="451">
        <v>20000</v>
      </c>
      <c r="L538" s="451">
        <f>I538-J538+K538</f>
        <v>20000</v>
      </c>
      <c r="M538" s="390"/>
      <c r="N538" s="390"/>
      <c r="O538" s="451">
        <v>20000</v>
      </c>
      <c r="P538" s="451">
        <v>20000</v>
      </c>
      <c r="Q538" s="451">
        <v>20000</v>
      </c>
    </row>
    <row r="539" spans="1:17" customFormat="1" ht="14.4" x14ac:dyDescent="0.3">
      <c r="A539" s="236">
        <v>3213</v>
      </c>
      <c r="B539" s="237" t="s">
        <v>15</v>
      </c>
      <c r="C539" s="182">
        <v>1000</v>
      </c>
      <c r="D539" s="182"/>
      <c r="E539" s="182"/>
      <c r="F539" s="182">
        <f t="shared" ref="F539:F556" si="564">C539-D539+E539</f>
        <v>1000</v>
      </c>
      <c r="G539" s="182">
        <v>1000</v>
      </c>
      <c r="H539" s="182">
        <v>1000</v>
      </c>
      <c r="I539" s="182">
        <v>1000</v>
      </c>
      <c r="J539" s="220"/>
      <c r="K539" s="220">
        <v>4000</v>
      </c>
      <c r="L539" s="220">
        <f>I539-J539+K539</f>
        <v>5000</v>
      </c>
      <c r="M539" s="182">
        <v>1000</v>
      </c>
      <c r="N539" s="182">
        <v>1000</v>
      </c>
      <c r="O539" s="182">
        <v>5000</v>
      </c>
      <c r="P539" s="182">
        <v>5000</v>
      </c>
      <c r="Q539" s="182">
        <v>5000</v>
      </c>
    </row>
    <row r="540" spans="1:17" customFormat="1" ht="14.4" x14ac:dyDescent="0.3">
      <c r="A540" s="188">
        <v>322</v>
      </c>
      <c r="B540" s="178" t="s">
        <v>16</v>
      </c>
      <c r="C540" s="179">
        <f t="shared" ref="C540:F540" si="565">SUM(C542:C544)</f>
        <v>4000</v>
      </c>
      <c r="D540" s="179">
        <f t="shared" si="565"/>
        <v>1000</v>
      </c>
      <c r="E540" s="179">
        <f t="shared" si="565"/>
        <v>0</v>
      </c>
      <c r="F540" s="179">
        <f t="shared" si="565"/>
        <v>3000</v>
      </c>
      <c r="G540" s="179">
        <f t="shared" ref="G540:H540" si="566">SUM(G542:G544)</f>
        <v>4000</v>
      </c>
      <c r="H540" s="179">
        <f t="shared" si="566"/>
        <v>4000</v>
      </c>
      <c r="I540" s="179">
        <f>SUM(I541:I544)</f>
        <v>4000</v>
      </c>
      <c r="J540" s="179">
        <f t="shared" ref="J540:Q540" si="567">SUM(J541:J544)</f>
        <v>0</v>
      </c>
      <c r="K540" s="179">
        <f t="shared" si="567"/>
        <v>2000</v>
      </c>
      <c r="L540" s="179">
        <f t="shared" si="567"/>
        <v>6000</v>
      </c>
      <c r="M540" s="179">
        <f t="shared" si="567"/>
        <v>4000</v>
      </c>
      <c r="N540" s="179">
        <f t="shared" si="567"/>
        <v>4000</v>
      </c>
      <c r="O540" s="179">
        <f t="shared" si="567"/>
        <v>6000</v>
      </c>
      <c r="P540" s="179">
        <f t="shared" si="567"/>
        <v>6000</v>
      </c>
      <c r="Q540" s="179">
        <f t="shared" si="567"/>
        <v>6000</v>
      </c>
    </row>
    <row r="541" spans="1:17" customFormat="1" ht="14.4" x14ac:dyDescent="0.3">
      <c r="A541" s="189">
        <v>3221</v>
      </c>
      <c r="B541" s="261" t="s">
        <v>17</v>
      </c>
      <c r="C541" s="220"/>
      <c r="D541" s="220"/>
      <c r="E541" s="220"/>
      <c r="F541" s="220"/>
      <c r="G541" s="220"/>
      <c r="H541" s="220"/>
      <c r="I541" s="220"/>
      <c r="J541" s="220"/>
      <c r="K541" s="220">
        <v>1000</v>
      </c>
      <c r="L541" s="220">
        <f>I541-J541+K541</f>
        <v>1000</v>
      </c>
      <c r="M541" s="219"/>
      <c r="N541" s="219"/>
      <c r="O541" s="220">
        <v>1000</v>
      </c>
      <c r="P541" s="220">
        <v>1000</v>
      </c>
      <c r="Q541" s="220">
        <v>1000</v>
      </c>
    </row>
    <row r="542" spans="1:17" customFormat="1" ht="14.4" x14ac:dyDescent="0.3">
      <c r="A542" s="189">
        <v>3222</v>
      </c>
      <c r="B542" s="190" t="s">
        <v>18</v>
      </c>
      <c r="C542" s="182">
        <v>1000</v>
      </c>
      <c r="D542" s="182"/>
      <c r="E542" s="182"/>
      <c r="F542" s="182">
        <f t="shared" si="564"/>
        <v>1000</v>
      </c>
      <c r="G542" s="182">
        <v>1000</v>
      </c>
      <c r="H542" s="182">
        <v>1000</v>
      </c>
      <c r="I542" s="182">
        <v>1000</v>
      </c>
      <c r="J542" s="220"/>
      <c r="K542" s="220">
        <v>1000</v>
      </c>
      <c r="L542" s="220">
        <f>I542-J542+K542</f>
        <v>2000</v>
      </c>
      <c r="M542" s="182">
        <v>1000</v>
      </c>
      <c r="N542" s="182">
        <v>1000</v>
      </c>
      <c r="O542" s="182">
        <v>2000</v>
      </c>
      <c r="P542" s="182">
        <v>2000</v>
      </c>
      <c r="Q542" s="182">
        <v>2000</v>
      </c>
    </row>
    <row r="543" spans="1:17" customFormat="1" ht="14.4" x14ac:dyDescent="0.3">
      <c r="A543" s="180">
        <v>3224</v>
      </c>
      <c r="B543" s="181" t="s">
        <v>20</v>
      </c>
      <c r="C543" s="182">
        <v>1000</v>
      </c>
      <c r="D543" s="182"/>
      <c r="E543" s="182"/>
      <c r="F543" s="182">
        <f t="shared" si="564"/>
        <v>1000</v>
      </c>
      <c r="G543" s="182">
        <v>1000</v>
      </c>
      <c r="H543" s="182">
        <v>1000</v>
      </c>
      <c r="I543" s="182">
        <v>1000</v>
      </c>
      <c r="J543" s="220"/>
      <c r="K543" s="220"/>
      <c r="L543" s="220">
        <f>I543-J543+K543</f>
        <v>1000</v>
      </c>
      <c r="M543" s="182">
        <v>1000</v>
      </c>
      <c r="N543" s="182">
        <v>1000</v>
      </c>
      <c r="O543" s="182">
        <v>1000</v>
      </c>
      <c r="P543" s="182">
        <v>1000</v>
      </c>
      <c r="Q543" s="182">
        <v>1000</v>
      </c>
    </row>
    <row r="544" spans="1:17" customFormat="1" ht="14.4" x14ac:dyDescent="0.3">
      <c r="A544" s="180">
        <v>3225</v>
      </c>
      <c r="B544" s="181" t="s">
        <v>117</v>
      </c>
      <c r="C544" s="182">
        <v>2000</v>
      </c>
      <c r="D544" s="182">
        <v>1000</v>
      </c>
      <c r="E544" s="182"/>
      <c r="F544" s="182">
        <f t="shared" si="564"/>
        <v>1000</v>
      </c>
      <c r="G544" s="182">
        <v>2000</v>
      </c>
      <c r="H544" s="182">
        <v>2000</v>
      </c>
      <c r="I544" s="182">
        <v>2000</v>
      </c>
      <c r="J544" s="220"/>
      <c r="K544" s="220"/>
      <c r="L544" s="220">
        <f>I544-J544+K544</f>
        <v>2000</v>
      </c>
      <c r="M544" s="182">
        <v>2000</v>
      </c>
      <c r="N544" s="182">
        <v>2000</v>
      </c>
      <c r="O544" s="182">
        <v>2000</v>
      </c>
      <c r="P544" s="182">
        <v>2000</v>
      </c>
      <c r="Q544" s="182">
        <v>2000</v>
      </c>
    </row>
    <row r="545" spans="1:17" customFormat="1" ht="14.4" x14ac:dyDescent="0.3">
      <c r="A545" s="177">
        <v>323</v>
      </c>
      <c r="B545" s="178" t="s">
        <v>23</v>
      </c>
      <c r="C545" s="179">
        <f t="shared" ref="C545:F545" si="568">SUM(C546:C552)</f>
        <v>37500</v>
      </c>
      <c r="D545" s="179">
        <f t="shared" si="568"/>
        <v>18500</v>
      </c>
      <c r="E545" s="179">
        <f t="shared" si="568"/>
        <v>0</v>
      </c>
      <c r="F545" s="179">
        <f t="shared" si="568"/>
        <v>19000</v>
      </c>
      <c r="G545" s="179">
        <f t="shared" ref="G545:H545" si="569">SUM(G546:G552)</f>
        <v>42000</v>
      </c>
      <c r="H545" s="179">
        <f t="shared" si="569"/>
        <v>42000</v>
      </c>
      <c r="I545" s="179">
        <f t="shared" ref="I545:N545" si="570">SUM(I546:I552)</f>
        <v>42000</v>
      </c>
      <c r="J545" s="179">
        <f t="shared" si="570"/>
        <v>10000</v>
      </c>
      <c r="K545" s="179">
        <f t="shared" si="570"/>
        <v>27000</v>
      </c>
      <c r="L545" s="179">
        <f t="shared" si="570"/>
        <v>59000</v>
      </c>
      <c r="M545" s="179">
        <f t="shared" si="570"/>
        <v>42000</v>
      </c>
      <c r="N545" s="179">
        <f t="shared" si="570"/>
        <v>42000</v>
      </c>
      <c r="O545" s="179">
        <f t="shared" ref="O545:P545" si="571">SUM(O546:O552)</f>
        <v>59000</v>
      </c>
      <c r="P545" s="179">
        <f t="shared" si="571"/>
        <v>59000</v>
      </c>
      <c r="Q545" s="179">
        <f t="shared" ref="Q545" si="572">SUM(Q546:Q552)</f>
        <v>59000</v>
      </c>
    </row>
    <row r="546" spans="1:17" customFormat="1" ht="14.4" x14ac:dyDescent="0.3">
      <c r="A546" s="189">
        <v>3231</v>
      </c>
      <c r="B546" s="190" t="s">
        <v>24</v>
      </c>
      <c r="C546" s="182">
        <v>1000</v>
      </c>
      <c r="D546" s="182"/>
      <c r="E546" s="182"/>
      <c r="F546" s="182">
        <f t="shared" si="564"/>
        <v>1000</v>
      </c>
      <c r="G546" s="182">
        <v>1000</v>
      </c>
      <c r="H546" s="182">
        <v>1000</v>
      </c>
      <c r="I546" s="182">
        <v>1000</v>
      </c>
      <c r="J546" s="220"/>
      <c r="K546" s="220"/>
      <c r="L546" s="220">
        <f t="shared" ref="L546:L552" si="573">I546-J546+K546</f>
        <v>1000</v>
      </c>
      <c r="M546" s="182">
        <v>1000</v>
      </c>
      <c r="N546" s="182">
        <v>1000</v>
      </c>
      <c r="O546" s="182">
        <v>1000</v>
      </c>
      <c r="P546" s="182">
        <v>1000</v>
      </c>
      <c r="Q546" s="182">
        <v>1000</v>
      </c>
    </row>
    <row r="547" spans="1:17" customFormat="1" ht="13.5" customHeight="1" x14ac:dyDescent="0.3">
      <c r="A547" s="189">
        <v>3232</v>
      </c>
      <c r="B547" s="190" t="s">
        <v>25</v>
      </c>
      <c r="C547" s="182">
        <v>3000</v>
      </c>
      <c r="D547" s="182">
        <v>2000</v>
      </c>
      <c r="E547" s="182"/>
      <c r="F547" s="182">
        <f t="shared" si="564"/>
        <v>1000</v>
      </c>
      <c r="G547" s="182">
        <v>3000</v>
      </c>
      <c r="H547" s="182">
        <v>3000</v>
      </c>
      <c r="I547" s="182">
        <v>3000</v>
      </c>
      <c r="J547" s="220"/>
      <c r="K547" s="220">
        <v>27000</v>
      </c>
      <c r="L547" s="220">
        <f t="shared" si="573"/>
        <v>30000</v>
      </c>
      <c r="M547" s="182">
        <v>3000</v>
      </c>
      <c r="N547" s="182">
        <v>3000</v>
      </c>
      <c r="O547" s="182">
        <v>30000</v>
      </c>
      <c r="P547" s="182">
        <v>30000</v>
      </c>
      <c r="Q547" s="182">
        <v>30000</v>
      </c>
    </row>
    <row r="548" spans="1:17" customFormat="1" ht="14.4" x14ac:dyDescent="0.3">
      <c r="A548" s="189">
        <v>3233</v>
      </c>
      <c r="B548" s="190" t="s">
        <v>26</v>
      </c>
      <c r="C548" s="182">
        <v>17000</v>
      </c>
      <c r="D548" s="182">
        <v>7000</v>
      </c>
      <c r="E548" s="182"/>
      <c r="F548" s="182">
        <f t="shared" si="564"/>
        <v>10000</v>
      </c>
      <c r="G548" s="182">
        <v>17000</v>
      </c>
      <c r="H548" s="182">
        <v>17000</v>
      </c>
      <c r="I548" s="182">
        <v>17000</v>
      </c>
      <c r="J548" s="220">
        <v>10000</v>
      </c>
      <c r="K548" s="220"/>
      <c r="L548" s="220">
        <f t="shared" si="573"/>
        <v>7000</v>
      </c>
      <c r="M548" s="182">
        <v>17000</v>
      </c>
      <c r="N548" s="182">
        <v>17000</v>
      </c>
      <c r="O548" s="182">
        <v>7000</v>
      </c>
      <c r="P548" s="182">
        <v>7000</v>
      </c>
      <c r="Q548" s="182">
        <v>7000</v>
      </c>
    </row>
    <row r="549" spans="1:17" customFormat="1" ht="14.4" x14ac:dyDescent="0.3">
      <c r="A549" s="189">
        <v>3235</v>
      </c>
      <c r="B549" s="190" t="s">
        <v>28</v>
      </c>
      <c r="C549" s="182">
        <v>1000</v>
      </c>
      <c r="D549" s="182"/>
      <c r="E549" s="182"/>
      <c r="F549" s="182">
        <f t="shared" si="564"/>
        <v>1000</v>
      </c>
      <c r="G549" s="182">
        <v>1000</v>
      </c>
      <c r="H549" s="182">
        <v>1000</v>
      </c>
      <c r="I549" s="182">
        <v>1000</v>
      </c>
      <c r="J549" s="220"/>
      <c r="K549" s="220"/>
      <c r="L549" s="220">
        <f t="shared" si="573"/>
        <v>1000</v>
      </c>
      <c r="M549" s="182">
        <v>1000</v>
      </c>
      <c r="N549" s="182">
        <v>1000</v>
      </c>
      <c r="O549" s="182">
        <v>1000</v>
      </c>
      <c r="P549" s="182">
        <v>1000</v>
      </c>
      <c r="Q549" s="182">
        <v>1000</v>
      </c>
    </row>
    <row r="550" spans="1:17" customFormat="1" ht="14.4" x14ac:dyDescent="0.3">
      <c r="A550" s="189">
        <v>3236</v>
      </c>
      <c r="B550" s="190" t="s">
        <v>29</v>
      </c>
      <c r="C550" s="182">
        <v>1000</v>
      </c>
      <c r="D550" s="182"/>
      <c r="E550" s="182"/>
      <c r="F550" s="182">
        <f t="shared" si="564"/>
        <v>1000</v>
      </c>
      <c r="G550" s="182">
        <v>1000</v>
      </c>
      <c r="H550" s="182">
        <v>1000</v>
      </c>
      <c r="I550" s="182">
        <v>1000</v>
      </c>
      <c r="J550" s="220"/>
      <c r="K550" s="220"/>
      <c r="L550" s="220">
        <f t="shared" si="573"/>
        <v>1000</v>
      </c>
      <c r="M550" s="182">
        <v>1000</v>
      </c>
      <c r="N550" s="182">
        <v>1000</v>
      </c>
      <c r="O550" s="182">
        <v>1000</v>
      </c>
      <c r="P550" s="182">
        <v>1000</v>
      </c>
      <c r="Q550" s="182">
        <v>1000</v>
      </c>
    </row>
    <row r="551" spans="1:17" customFormat="1" ht="14.4" x14ac:dyDescent="0.3">
      <c r="A551" s="189">
        <v>3237</v>
      </c>
      <c r="B551" s="190" t="s">
        <v>30</v>
      </c>
      <c r="C551" s="182">
        <v>5000</v>
      </c>
      <c r="D551" s="182">
        <v>4000</v>
      </c>
      <c r="E551" s="182"/>
      <c r="F551" s="182">
        <f t="shared" si="564"/>
        <v>1000</v>
      </c>
      <c r="G551" s="182">
        <v>5000</v>
      </c>
      <c r="H551" s="182">
        <v>5000</v>
      </c>
      <c r="I551" s="182">
        <v>5000</v>
      </c>
      <c r="J551" s="220"/>
      <c r="K551" s="220"/>
      <c r="L551" s="220">
        <f t="shared" si="573"/>
        <v>5000</v>
      </c>
      <c r="M551" s="182">
        <v>5000</v>
      </c>
      <c r="N551" s="182">
        <v>5000</v>
      </c>
      <c r="O551" s="182">
        <v>5000</v>
      </c>
      <c r="P551" s="182">
        <v>5000</v>
      </c>
      <c r="Q551" s="182">
        <v>5000</v>
      </c>
    </row>
    <row r="552" spans="1:17" customFormat="1" ht="14.4" x14ac:dyDescent="0.3">
      <c r="A552" s="189">
        <v>3239</v>
      </c>
      <c r="B552" s="190" t="s">
        <v>31</v>
      </c>
      <c r="C552" s="182">
        <v>9500</v>
      </c>
      <c r="D552" s="182">
        <v>5500</v>
      </c>
      <c r="E552" s="182"/>
      <c r="F552" s="182">
        <f t="shared" si="564"/>
        <v>4000</v>
      </c>
      <c r="G552" s="182">
        <v>14000</v>
      </c>
      <c r="H552" s="182">
        <v>14000</v>
      </c>
      <c r="I552" s="182">
        <v>14000</v>
      </c>
      <c r="J552" s="220"/>
      <c r="K552" s="220"/>
      <c r="L552" s="220">
        <f t="shared" si="573"/>
        <v>14000</v>
      </c>
      <c r="M552" s="182">
        <v>14000</v>
      </c>
      <c r="N552" s="182">
        <v>14000</v>
      </c>
      <c r="O552" s="182">
        <v>14000</v>
      </c>
      <c r="P552" s="182">
        <v>14000</v>
      </c>
      <c r="Q552" s="182">
        <v>14000</v>
      </c>
    </row>
    <row r="553" spans="1:17" customFormat="1" ht="14.4" x14ac:dyDescent="0.3">
      <c r="A553" s="188">
        <v>329</v>
      </c>
      <c r="B553" s="178" t="s">
        <v>33</v>
      </c>
      <c r="C553" s="179">
        <f>SUM(C554:C556)</f>
        <v>8000</v>
      </c>
      <c r="D553" s="179">
        <f t="shared" ref="D553:F553" si="574">SUM(D554:D556)</f>
        <v>5000</v>
      </c>
      <c r="E553" s="179">
        <f t="shared" si="574"/>
        <v>0</v>
      </c>
      <c r="F553" s="179">
        <f t="shared" si="574"/>
        <v>3000</v>
      </c>
      <c r="G553" s="179">
        <f>SUM(G554:G556)</f>
        <v>8000</v>
      </c>
      <c r="H553" s="179">
        <f>SUM(H554:H556)</f>
        <v>8000</v>
      </c>
      <c r="I553" s="179">
        <f t="shared" ref="I553:N553" si="575">SUM(I554:I556)</f>
        <v>8000</v>
      </c>
      <c r="J553" s="179">
        <f t="shared" si="575"/>
        <v>0</v>
      </c>
      <c r="K553" s="179">
        <f t="shared" si="575"/>
        <v>1000</v>
      </c>
      <c r="L553" s="179">
        <f t="shared" si="575"/>
        <v>9000</v>
      </c>
      <c r="M553" s="179">
        <f t="shared" si="575"/>
        <v>8000</v>
      </c>
      <c r="N553" s="179">
        <f t="shared" si="575"/>
        <v>8000</v>
      </c>
      <c r="O553" s="179">
        <f t="shared" ref="O553:P553" si="576">SUM(O554:O556)</f>
        <v>9000</v>
      </c>
      <c r="P553" s="179">
        <f t="shared" si="576"/>
        <v>9000</v>
      </c>
      <c r="Q553" s="179">
        <f t="shared" ref="Q553" si="577">SUM(Q554:Q556)</f>
        <v>9000</v>
      </c>
    </row>
    <row r="554" spans="1:17" customFormat="1" ht="14.4" x14ac:dyDescent="0.3">
      <c r="A554" s="189">
        <v>3293</v>
      </c>
      <c r="B554" s="190" t="s">
        <v>36</v>
      </c>
      <c r="C554" s="182">
        <v>1000</v>
      </c>
      <c r="D554" s="182"/>
      <c r="E554" s="182"/>
      <c r="F554" s="182">
        <f t="shared" si="564"/>
        <v>1000</v>
      </c>
      <c r="G554" s="182">
        <v>1000</v>
      </c>
      <c r="H554" s="182">
        <v>1000</v>
      </c>
      <c r="I554" s="182">
        <v>1000</v>
      </c>
      <c r="J554" s="220"/>
      <c r="K554" s="220"/>
      <c r="L554" s="220">
        <f>I554-J554+K554</f>
        <v>1000</v>
      </c>
      <c r="M554" s="182">
        <v>1000</v>
      </c>
      <c r="N554" s="182">
        <v>1000</v>
      </c>
      <c r="O554" s="182">
        <v>1000</v>
      </c>
      <c r="P554" s="182">
        <v>1000</v>
      </c>
      <c r="Q554" s="182">
        <v>1000</v>
      </c>
    </row>
    <row r="555" spans="1:17" customFormat="1" ht="14.4" x14ac:dyDescent="0.3">
      <c r="A555" s="441">
        <v>3292</v>
      </c>
      <c r="B555" s="442" t="s">
        <v>35</v>
      </c>
      <c r="C555" s="220"/>
      <c r="D555" s="220"/>
      <c r="E555" s="220"/>
      <c r="F555" s="220"/>
      <c r="G555" s="220"/>
      <c r="H555" s="220"/>
      <c r="I555" s="220"/>
      <c r="J555" s="220"/>
      <c r="K555" s="220">
        <v>1000</v>
      </c>
      <c r="L555" s="220">
        <f>I555-J555+K555</f>
        <v>1000</v>
      </c>
      <c r="M555" s="220"/>
      <c r="N555" s="220"/>
      <c r="O555" s="220">
        <v>1000</v>
      </c>
      <c r="P555" s="220">
        <v>1000</v>
      </c>
      <c r="Q555" s="220">
        <v>1000</v>
      </c>
    </row>
    <row r="556" spans="1:17" customFormat="1" ht="14.4" x14ac:dyDescent="0.3">
      <c r="A556" s="189">
        <v>3299</v>
      </c>
      <c r="B556" s="190" t="s">
        <v>33</v>
      </c>
      <c r="C556" s="182">
        <v>7000</v>
      </c>
      <c r="D556" s="182">
        <v>5000</v>
      </c>
      <c r="E556" s="182"/>
      <c r="F556" s="182">
        <f t="shared" si="564"/>
        <v>2000</v>
      </c>
      <c r="G556" s="182">
        <v>7000</v>
      </c>
      <c r="H556" s="182">
        <v>7000</v>
      </c>
      <c r="I556" s="182">
        <v>7000</v>
      </c>
      <c r="J556" s="220"/>
      <c r="K556" s="220"/>
      <c r="L556" s="220">
        <f>I556-J556+K556</f>
        <v>7000</v>
      </c>
      <c r="M556" s="182">
        <v>7000</v>
      </c>
      <c r="N556" s="182">
        <v>7000</v>
      </c>
      <c r="O556" s="182">
        <v>7000</v>
      </c>
      <c r="P556" s="182">
        <v>7000</v>
      </c>
      <c r="Q556" s="182">
        <v>7000</v>
      </c>
    </row>
    <row r="557" spans="1:17" customFormat="1" ht="26.4" hidden="1" x14ac:dyDescent="0.3">
      <c r="A557" s="188">
        <v>372</v>
      </c>
      <c r="B557" s="178" t="s">
        <v>44</v>
      </c>
      <c r="C557" s="179">
        <f t="shared" ref="C557:D557" si="578">SUM(C558)</f>
        <v>0</v>
      </c>
      <c r="D557" s="179">
        <f t="shared" si="578"/>
        <v>0</v>
      </c>
      <c r="E557" s="179"/>
      <c r="F557" s="179"/>
      <c r="G557" s="179">
        <f t="shared" ref="G557:H557" si="579">SUM(G558)</f>
        <v>0</v>
      </c>
      <c r="H557" s="179">
        <f t="shared" si="579"/>
        <v>0</v>
      </c>
      <c r="I557" s="179"/>
      <c r="J557" s="219"/>
      <c r="K557" s="219"/>
      <c r="L557" s="219"/>
      <c r="M557" s="179"/>
      <c r="N557" s="179"/>
      <c r="O557" s="179"/>
      <c r="P557" s="179"/>
      <c r="Q557" s="179"/>
    </row>
    <row r="558" spans="1:17" s="9" customFormat="1" ht="14.4" hidden="1" x14ac:dyDescent="0.3">
      <c r="A558" s="189">
        <v>3721</v>
      </c>
      <c r="B558" s="190" t="s">
        <v>45</v>
      </c>
      <c r="C558" s="238"/>
      <c r="D558" s="238"/>
      <c r="E558" s="238"/>
      <c r="F558" s="238"/>
      <c r="G558" s="238"/>
      <c r="H558" s="238"/>
      <c r="I558" s="238"/>
      <c r="J558" s="394"/>
      <c r="K558" s="394"/>
      <c r="L558" s="394"/>
      <c r="M558" s="238"/>
      <c r="N558" s="238"/>
      <c r="O558" s="238"/>
      <c r="P558" s="238"/>
      <c r="Q558" s="238"/>
    </row>
    <row r="559" spans="1:17" s="9" customFormat="1" ht="26.4" x14ac:dyDescent="0.3">
      <c r="A559" s="174" t="s">
        <v>323</v>
      </c>
      <c r="B559" s="186" t="s">
        <v>324</v>
      </c>
      <c r="C559" s="176">
        <f>SUM(C560)</f>
        <v>13500</v>
      </c>
      <c r="D559" s="176">
        <f t="shared" ref="D559:Q559" si="580">SUM(D560)</f>
        <v>0</v>
      </c>
      <c r="E559" s="176">
        <f t="shared" si="580"/>
        <v>500</v>
      </c>
      <c r="F559" s="176">
        <f t="shared" si="580"/>
        <v>14000</v>
      </c>
      <c r="G559" s="176">
        <f>SUM(G560)</f>
        <v>13000</v>
      </c>
      <c r="H559" s="176">
        <f>SUM(H560)</f>
        <v>13000</v>
      </c>
      <c r="I559" s="176">
        <f t="shared" si="580"/>
        <v>13000</v>
      </c>
      <c r="J559" s="176">
        <f t="shared" si="580"/>
        <v>0</v>
      </c>
      <c r="K559" s="176">
        <f t="shared" si="580"/>
        <v>0</v>
      </c>
      <c r="L559" s="176">
        <f t="shared" si="580"/>
        <v>13000</v>
      </c>
      <c r="M559" s="176">
        <f t="shared" si="580"/>
        <v>13000</v>
      </c>
      <c r="N559" s="176">
        <f t="shared" si="580"/>
        <v>13000</v>
      </c>
      <c r="O559" s="176">
        <f t="shared" si="580"/>
        <v>84000</v>
      </c>
      <c r="P559" s="176">
        <f t="shared" si="580"/>
        <v>13000</v>
      </c>
      <c r="Q559" s="176">
        <f t="shared" si="580"/>
        <v>13000</v>
      </c>
    </row>
    <row r="560" spans="1:17" customFormat="1" ht="14.4" x14ac:dyDescent="0.3">
      <c r="A560" s="188">
        <v>422</v>
      </c>
      <c r="B560" s="192" t="s">
        <v>53</v>
      </c>
      <c r="C560" s="179">
        <f t="shared" ref="C560:F560" si="581">SUM(C561:C564)</f>
        <v>13500</v>
      </c>
      <c r="D560" s="179">
        <f t="shared" si="581"/>
        <v>0</v>
      </c>
      <c r="E560" s="179">
        <f t="shared" si="581"/>
        <v>500</v>
      </c>
      <c r="F560" s="179">
        <f t="shared" si="581"/>
        <v>14000</v>
      </c>
      <c r="G560" s="179">
        <f t="shared" ref="G560:H560" si="582">SUM(G561:G564)</f>
        <v>13000</v>
      </c>
      <c r="H560" s="179">
        <f t="shared" si="582"/>
        <v>13000</v>
      </c>
      <c r="I560" s="179">
        <f t="shared" ref="I560:N560" si="583">SUM(I561:I564)</f>
        <v>13000</v>
      </c>
      <c r="J560" s="179">
        <f t="shared" si="583"/>
        <v>0</v>
      </c>
      <c r="K560" s="179">
        <f t="shared" si="583"/>
        <v>0</v>
      </c>
      <c r="L560" s="179">
        <f t="shared" si="583"/>
        <v>13000</v>
      </c>
      <c r="M560" s="179">
        <f t="shared" si="583"/>
        <v>13000</v>
      </c>
      <c r="N560" s="179">
        <f t="shared" si="583"/>
        <v>13000</v>
      </c>
      <c r="O560" s="179">
        <f t="shared" ref="O560:P560" si="584">SUM(O561:O564)</f>
        <v>84000</v>
      </c>
      <c r="P560" s="179">
        <f t="shared" si="584"/>
        <v>13000</v>
      </c>
      <c r="Q560" s="179">
        <f t="shared" ref="Q560" si="585">SUM(Q561:Q564)</f>
        <v>13000</v>
      </c>
    </row>
    <row r="561" spans="1:17" customFormat="1" ht="15.6" customHeight="1" x14ac:dyDescent="0.3">
      <c r="A561" s="189">
        <v>4221</v>
      </c>
      <c r="B561" s="190" t="s">
        <v>54</v>
      </c>
      <c r="C561" s="182">
        <v>3000</v>
      </c>
      <c r="D561" s="182"/>
      <c r="E561" s="182"/>
      <c r="F561" s="182">
        <f t="shared" ref="F561:F563" si="586">C561-D561+E561</f>
        <v>3000</v>
      </c>
      <c r="G561" s="182">
        <v>3000</v>
      </c>
      <c r="H561" s="182">
        <v>3000</v>
      </c>
      <c r="I561" s="182">
        <v>3000</v>
      </c>
      <c r="J561" s="220"/>
      <c r="K561" s="220"/>
      <c r="L561" s="220">
        <f>I561-J561+K561</f>
        <v>3000</v>
      </c>
      <c r="M561" s="182">
        <v>3000</v>
      </c>
      <c r="N561" s="182">
        <v>3000</v>
      </c>
      <c r="O561" s="182">
        <v>47000</v>
      </c>
      <c r="P561" s="182">
        <v>3000</v>
      </c>
      <c r="Q561" s="182">
        <v>3000</v>
      </c>
    </row>
    <row r="562" spans="1:17" customFormat="1" ht="15" hidden="1" customHeight="1" x14ac:dyDescent="0.3">
      <c r="A562" s="189">
        <v>4222</v>
      </c>
      <c r="B562" s="190" t="s">
        <v>58</v>
      </c>
      <c r="C562" s="182">
        <v>500</v>
      </c>
      <c r="D562" s="182"/>
      <c r="E562" s="182">
        <v>500</v>
      </c>
      <c r="F562" s="182">
        <f t="shared" si="586"/>
        <v>1000</v>
      </c>
      <c r="G562" s="182"/>
      <c r="H562" s="182"/>
      <c r="I562" s="182"/>
      <c r="J562" s="220"/>
      <c r="K562" s="220"/>
      <c r="L562" s="220"/>
      <c r="M562" s="182"/>
      <c r="N562" s="182"/>
      <c r="O562" s="182"/>
      <c r="P562" s="182"/>
      <c r="Q562" s="182"/>
    </row>
    <row r="563" spans="1:17" customFormat="1" ht="14.4" x14ac:dyDescent="0.3">
      <c r="A563" s="189">
        <v>4223</v>
      </c>
      <c r="B563" s="190" t="s">
        <v>59</v>
      </c>
      <c r="C563" s="182">
        <v>10000</v>
      </c>
      <c r="D563" s="182"/>
      <c r="E563" s="182"/>
      <c r="F563" s="182">
        <f t="shared" si="586"/>
        <v>10000</v>
      </c>
      <c r="G563" s="182">
        <v>10000</v>
      </c>
      <c r="H563" s="182">
        <v>10000</v>
      </c>
      <c r="I563" s="182">
        <v>10000</v>
      </c>
      <c r="J563" s="220"/>
      <c r="K563" s="220"/>
      <c r="L563" s="220">
        <f>I563-J563+K563</f>
        <v>10000</v>
      </c>
      <c r="M563" s="182">
        <v>10000</v>
      </c>
      <c r="N563" s="182">
        <v>10000</v>
      </c>
      <c r="O563" s="182">
        <v>10000</v>
      </c>
      <c r="P563" s="182">
        <v>10000</v>
      </c>
      <c r="Q563" s="182">
        <v>10000</v>
      </c>
    </row>
    <row r="564" spans="1:17" customFormat="1" ht="14.4" x14ac:dyDescent="0.3">
      <c r="A564" s="189">
        <v>4227</v>
      </c>
      <c r="B564" s="190" t="s">
        <v>60</v>
      </c>
      <c r="C564" s="182"/>
      <c r="D564" s="182"/>
      <c r="E564" s="182"/>
      <c r="F564" s="182"/>
      <c r="G564" s="182"/>
      <c r="H564" s="182"/>
      <c r="I564" s="182"/>
      <c r="J564" s="220"/>
      <c r="K564" s="220"/>
      <c r="L564" s="220"/>
      <c r="M564" s="182"/>
      <c r="N564" s="182"/>
      <c r="O564" s="182">
        <v>27000</v>
      </c>
      <c r="P564" s="182"/>
      <c r="Q564" s="182"/>
    </row>
    <row r="565" spans="1:17" customFormat="1" ht="24" customHeight="1" x14ac:dyDescent="0.3">
      <c r="A565" s="209" t="s">
        <v>325</v>
      </c>
      <c r="B565" s="210" t="s">
        <v>326</v>
      </c>
      <c r="C565" s="176">
        <f>SUM(C566)</f>
        <v>11000</v>
      </c>
      <c r="D565" s="176">
        <f t="shared" ref="D565:Q565" si="587">SUM(D566)</f>
        <v>0</v>
      </c>
      <c r="E565" s="176">
        <f t="shared" si="587"/>
        <v>0</v>
      </c>
      <c r="F565" s="176">
        <f t="shared" si="587"/>
        <v>11000</v>
      </c>
      <c r="G565" s="176">
        <f>SUM(G566)</f>
        <v>7000</v>
      </c>
      <c r="H565" s="176">
        <f>SUM(H566)</f>
        <v>7000</v>
      </c>
      <c r="I565" s="176">
        <f t="shared" si="587"/>
        <v>7000</v>
      </c>
      <c r="J565" s="176">
        <f t="shared" si="587"/>
        <v>0</v>
      </c>
      <c r="K565" s="176">
        <f t="shared" si="587"/>
        <v>0</v>
      </c>
      <c r="L565" s="386">
        <v>7000</v>
      </c>
      <c r="M565" s="176">
        <f t="shared" si="587"/>
        <v>7000</v>
      </c>
      <c r="N565" s="176">
        <f t="shared" si="587"/>
        <v>7000</v>
      </c>
      <c r="O565" s="176">
        <f t="shared" si="587"/>
        <v>7000</v>
      </c>
      <c r="P565" s="176">
        <f t="shared" si="587"/>
        <v>7000</v>
      </c>
      <c r="Q565" s="176">
        <f t="shared" si="587"/>
        <v>7000</v>
      </c>
    </row>
    <row r="566" spans="1:17" customFormat="1" ht="14.4" x14ac:dyDescent="0.3">
      <c r="A566" s="188">
        <v>451</v>
      </c>
      <c r="B566" s="192" t="s">
        <v>55</v>
      </c>
      <c r="C566" s="179">
        <f t="shared" ref="C566:Q566" si="588">SUM(C567)</f>
        <v>11000</v>
      </c>
      <c r="D566" s="179">
        <f t="shared" si="588"/>
        <v>0</v>
      </c>
      <c r="E566" s="179">
        <f t="shared" si="588"/>
        <v>0</v>
      </c>
      <c r="F566" s="179">
        <f t="shared" si="588"/>
        <v>11000</v>
      </c>
      <c r="G566" s="179">
        <f t="shared" si="588"/>
        <v>7000</v>
      </c>
      <c r="H566" s="179">
        <f t="shared" si="588"/>
        <v>7000</v>
      </c>
      <c r="I566" s="179">
        <f t="shared" si="588"/>
        <v>7000</v>
      </c>
      <c r="J566" s="179">
        <f t="shared" si="588"/>
        <v>0</v>
      </c>
      <c r="K566" s="179">
        <f t="shared" si="588"/>
        <v>0</v>
      </c>
      <c r="L566" s="179">
        <f t="shared" si="588"/>
        <v>7000</v>
      </c>
      <c r="M566" s="179">
        <f t="shared" si="588"/>
        <v>7000</v>
      </c>
      <c r="N566" s="179">
        <f t="shared" si="588"/>
        <v>7000</v>
      </c>
      <c r="O566" s="179">
        <f t="shared" si="588"/>
        <v>7000</v>
      </c>
      <c r="P566" s="179">
        <f t="shared" si="588"/>
        <v>7000</v>
      </c>
      <c r="Q566" s="179">
        <f t="shared" si="588"/>
        <v>7000</v>
      </c>
    </row>
    <row r="567" spans="1:17" customFormat="1" ht="14.4" x14ac:dyDescent="0.3">
      <c r="A567" s="189">
        <v>4511</v>
      </c>
      <c r="B567" s="190" t="s">
        <v>55</v>
      </c>
      <c r="C567" s="182">
        <v>11000</v>
      </c>
      <c r="D567" s="182"/>
      <c r="E567" s="182"/>
      <c r="F567" s="182">
        <f t="shared" ref="F567" si="589">C567-D567+E567</f>
        <v>11000</v>
      </c>
      <c r="G567" s="182">
        <v>7000</v>
      </c>
      <c r="H567" s="182">
        <v>7000</v>
      </c>
      <c r="I567" s="182">
        <v>7000</v>
      </c>
      <c r="J567" s="220"/>
      <c r="K567" s="220"/>
      <c r="L567" s="220">
        <f>I567-J567+K567</f>
        <v>7000</v>
      </c>
      <c r="M567" s="182">
        <v>7000</v>
      </c>
      <c r="N567" s="182">
        <v>7000</v>
      </c>
      <c r="O567" s="182">
        <v>7000</v>
      </c>
      <c r="P567" s="182">
        <v>7000</v>
      </c>
      <c r="Q567" s="182">
        <v>7000</v>
      </c>
    </row>
    <row r="568" spans="1:17" customFormat="1" ht="18" hidden="1" customHeight="1" x14ac:dyDescent="0.3">
      <c r="A568" s="721" t="s">
        <v>120</v>
      </c>
      <c r="B568" s="721"/>
      <c r="C568" s="173">
        <f>SUM(C569,C574)</f>
        <v>16000</v>
      </c>
      <c r="D568" s="173">
        <f t="shared" ref="D568:F568" si="590">SUM(D569,D574)</f>
        <v>1000</v>
      </c>
      <c r="E568" s="173">
        <f t="shared" si="590"/>
        <v>0</v>
      </c>
      <c r="F568" s="173">
        <f t="shared" si="590"/>
        <v>15000</v>
      </c>
      <c r="G568" s="173">
        <f>SUM(G569,G574)</f>
        <v>7000</v>
      </c>
      <c r="H568" s="173">
        <f>SUM(H569,H574)</f>
        <v>7000</v>
      </c>
      <c r="I568" s="173">
        <f t="shared" ref="I568:N568" si="591">SUM(I569,I574)</f>
        <v>7000</v>
      </c>
      <c r="J568" s="173">
        <f t="shared" si="591"/>
        <v>0</v>
      </c>
      <c r="K568" s="173">
        <f t="shared" si="591"/>
        <v>0</v>
      </c>
      <c r="L568" s="173">
        <f t="shared" si="591"/>
        <v>7000</v>
      </c>
      <c r="M568" s="173">
        <f t="shared" si="591"/>
        <v>7000</v>
      </c>
      <c r="N568" s="173">
        <f t="shared" si="591"/>
        <v>7000</v>
      </c>
      <c r="O568" s="173">
        <f t="shared" ref="O568:P568" si="592">SUM(O569,O574)</f>
        <v>0</v>
      </c>
      <c r="P568" s="173">
        <f t="shared" si="592"/>
        <v>0</v>
      </c>
      <c r="Q568" s="173">
        <f t="shared" ref="Q568" si="593">SUM(Q569,Q574)</f>
        <v>0</v>
      </c>
    </row>
    <row r="569" spans="1:17" customFormat="1" ht="18" hidden="1" customHeight="1" x14ac:dyDescent="0.3">
      <c r="A569" s="185" t="s">
        <v>317</v>
      </c>
      <c r="B569" s="185" t="s">
        <v>318</v>
      </c>
      <c r="C569" s="218">
        <f>SUM(C570)</f>
        <v>2000</v>
      </c>
      <c r="D569" s="218">
        <f t="shared" ref="D569:Q569" si="594">SUM(D570)</f>
        <v>1000</v>
      </c>
      <c r="E569" s="218">
        <f t="shared" si="594"/>
        <v>0</v>
      </c>
      <c r="F569" s="218">
        <f t="shared" si="594"/>
        <v>1000</v>
      </c>
      <c r="G569" s="218">
        <f>SUM(G570)</f>
        <v>2000</v>
      </c>
      <c r="H569" s="218">
        <f>SUM(H570)</f>
        <v>2000</v>
      </c>
      <c r="I569" s="218">
        <f t="shared" si="594"/>
        <v>2000</v>
      </c>
      <c r="J569" s="218">
        <f t="shared" si="594"/>
        <v>0</v>
      </c>
      <c r="K569" s="218">
        <f t="shared" si="594"/>
        <v>0</v>
      </c>
      <c r="L569" s="218">
        <f t="shared" si="594"/>
        <v>2000</v>
      </c>
      <c r="M569" s="218">
        <f t="shared" si="594"/>
        <v>2000</v>
      </c>
      <c r="N569" s="218">
        <f t="shared" si="594"/>
        <v>2000</v>
      </c>
      <c r="O569" s="218">
        <f t="shared" si="594"/>
        <v>0</v>
      </c>
      <c r="P569" s="218">
        <f t="shared" si="594"/>
        <v>0</v>
      </c>
      <c r="Q569" s="218">
        <f t="shared" si="594"/>
        <v>0</v>
      </c>
    </row>
    <row r="570" spans="1:17" s="6" customFormat="1" ht="14.4" hidden="1" x14ac:dyDescent="0.3">
      <c r="A570" s="177">
        <v>322</v>
      </c>
      <c r="B570" s="178" t="s">
        <v>16</v>
      </c>
      <c r="C570" s="202">
        <f t="shared" ref="C570:Q570" si="595">SUM(C571)</f>
        <v>2000</v>
      </c>
      <c r="D570" s="202">
        <f t="shared" si="595"/>
        <v>1000</v>
      </c>
      <c r="E570" s="202">
        <f t="shared" si="595"/>
        <v>0</v>
      </c>
      <c r="F570" s="202">
        <f t="shared" si="595"/>
        <v>1000</v>
      </c>
      <c r="G570" s="202">
        <f t="shared" si="595"/>
        <v>2000</v>
      </c>
      <c r="H570" s="202">
        <f t="shared" si="595"/>
        <v>2000</v>
      </c>
      <c r="I570" s="202">
        <f t="shared" si="595"/>
        <v>2000</v>
      </c>
      <c r="J570" s="202">
        <f t="shared" si="595"/>
        <v>0</v>
      </c>
      <c r="K570" s="202">
        <f t="shared" si="595"/>
        <v>0</v>
      </c>
      <c r="L570" s="202">
        <f t="shared" si="595"/>
        <v>2000</v>
      </c>
      <c r="M570" s="202">
        <f t="shared" si="595"/>
        <v>2000</v>
      </c>
      <c r="N570" s="202">
        <f t="shared" si="595"/>
        <v>2000</v>
      </c>
      <c r="O570" s="202">
        <f t="shared" si="595"/>
        <v>0</v>
      </c>
      <c r="P570" s="202">
        <f t="shared" si="595"/>
        <v>0</v>
      </c>
      <c r="Q570" s="202">
        <f t="shared" si="595"/>
        <v>0</v>
      </c>
    </row>
    <row r="571" spans="1:17" customFormat="1" ht="13.5" hidden="1" customHeight="1" x14ac:dyDescent="0.3">
      <c r="A571" s="189">
        <v>3222</v>
      </c>
      <c r="B571" s="190" t="s">
        <v>18</v>
      </c>
      <c r="C571" s="191">
        <v>2000</v>
      </c>
      <c r="D571" s="191">
        <v>1000</v>
      </c>
      <c r="E571" s="191"/>
      <c r="F571" s="182">
        <f t="shared" ref="F571" si="596">C571-D571+E571</f>
        <v>1000</v>
      </c>
      <c r="G571" s="191">
        <v>2000</v>
      </c>
      <c r="H571" s="191">
        <v>2000</v>
      </c>
      <c r="I571" s="191">
        <v>2000</v>
      </c>
      <c r="J571" s="233"/>
      <c r="K571" s="233"/>
      <c r="L571" s="220">
        <f>I571-J571+K571</f>
        <v>2000</v>
      </c>
      <c r="M571" s="191">
        <v>2000</v>
      </c>
      <c r="N571" s="191">
        <v>2000</v>
      </c>
      <c r="O571" s="191"/>
      <c r="P571" s="191"/>
      <c r="Q571" s="191"/>
    </row>
    <row r="572" spans="1:17" customFormat="1" ht="9" hidden="1" customHeight="1" x14ac:dyDescent="0.3">
      <c r="A572" s="177">
        <v>323</v>
      </c>
      <c r="B572" s="178" t="s">
        <v>23</v>
      </c>
      <c r="C572" s="179">
        <f t="shared" ref="C572:D572" si="597">SUM(C573)</f>
        <v>0</v>
      </c>
      <c r="D572" s="179">
        <f t="shared" si="597"/>
        <v>0</v>
      </c>
      <c r="E572" s="179"/>
      <c r="F572" s="179"/>
      <c r="G572" s="179">
        <f t="shared" ref="G572:H572" si="598">SUM(G573)</f>
        <v>0</v>
      </c>
      <c r="H572" s="179">
        <f t="shared" si="598"/>
        <v>0</v>
      </c>
      <c r="I572" s="179"/>
      <c r="J572" s="219"/>
      <c r="K572" s="219"/>
      <c r="L572" s="219"/>
      <c r="M572" s="179"/>
      <c r="N572" s="179"/>
      <c r="O572" s="179"/>
      <c r="P572" s="179"/>
      <c r="Q572" s="179"/>
    </row>
    <row r="573" spans="1:17" customFormat="1" ht="9" hidden="1" customHeight="1" x14ac:dyDescent="0.3">
      <c r="A573" s="189">
        <v>3233</v>
      </c>
      <c r="B573" s="190" t="s">
        <v>26</v>
      </c>
      <c r="C573" s="182"/>
      <c r="D573" s="182"/>
      <c r="E573" s="182"/>
      <c r="F573" s="182"/>
      <c r="G573" s="182"/>
      <c r="H573" s="182"/>
      <c r="I573" s="182"/>
      <c r="J573" s="220"/>
      <c r="K573" s="220"/>
      <c r="L573" s="220"/>
      <c r="M573" s="182"/>
      <c r="N573" s="182"/>
      <c r="O573" s="182"/>
      <c r="P573" s="182"/>
      <c r="Q573" s="182"/>
    </row>
    <row r="574" spans="1:17" customFormat="1" ht="26.4" hidden="1" x14ac:dyDescent="0.3">
      <c r="A574" s="174" t="s">
        <v>323</v>
      </c>
      <c r="B574" s="186" t="s">
        <v>324</v>
      </c>
      <c r="C574" s="176">
        <f>SUM(C575)</f>
        <v>14000</v>
      </c>
      <c r="D574" s="176">
        <f t="shared" ref="D574:Q574" si="599">SUM(D575)</f>
        <v>0</v>
      </c>
      <c r="E574" s="176">
        <f t="shared" si="599"/>
        <v>0</v>
      </c>
      <c r="F574" s="176">
        <f t="shared" si="599"/>
        <v>14000</v>
      </c>
      <c r="G574" s="176">
        <f>SUM(G575)</f>
        <v>5000</v>
      </c>
      <c r="H574" s="176">
        <f>SUM(H575)</f>
        <v>5000</v>
      </c>
      <c r="I574" s="176">
        <f t="shared" si="599"/>
        <v>5000</v>
      </c>
      <c r="J574" s="176">
        <f t="shared" si="599"/>
        <v>0</v>
      </c>
      <c r="K574" s="176">
        <f t="shared" si="599"/>
        <v>0</v>
      </c>
      <c r="L574" s="176">
        <f t="shared" si="599"/>
        <v>5000</v>
      </c>
      <c r="M574" s="176">
        <f t="shared" si="599"/>
        <v>5000</v>
      </c>
      <c r="N574" s="176">
        <f t="shared" si="599"/>
        <v>5000</v>
      </c>
      <c r="O574" s="176">
        <f t="shared" si="599"/>
        <v>0</v>
      </c>
      <c r="P574" s="176">
        <f t="shared" si="599"/>
        <v>0</v>
      </c>
      <c r="Q574" s="176">
        <f t="shared" si="599"/>
        <v>0</v>
      </c>
    </row>
    <row r="575" spans="1:17" customFormat="1" ht="14.4" hidden="1" x14ac:dyDescent="0.3">
      <c r="A575" s="177">
        <v>422</v>
      </c>
      <c r="B575" s="192" t="s">
        <v>53</v>
      </c>
      <c r="C575" s="221">
        <f t="shared" ref="C575:Q575" si="600">SUM(C576)</f>
        <v>14000</v>
      </c>
      <c r="D575" s="221">
        <f t="shared" si="600"/>
        <v>0</v>
      </c>
      <c r="E575" s="221">
        <f t="shared" si="600"/>
        <v>0</v>
      </c>
      <c r="F575" s="221">
        <f t="shared" si="600"/>
        <v>14000</v>
      </c>
      <c r="G575" s="221">
        <f t="shared" si="600"/>
        <v>5000</v>
      </c>
      <c r="H575" s="221">
        <f t="shared" si="600"/>
        <v>5000</v>
      </c>
      <c r="I575" s="221">
        <f t="shared" si="600"/>
        <v>5000</v>
      </c>
      <c r="J575" s="221">
        <f t="shared" si="600"/>
        <v>0</v>
      </c>
      <c r="K575" s="221">
        <f t="shared" si="600"/>
        <v>0</v>
      </c>
      <c r="L575" s="221">
        <f t="shared" si="600"/>
        <v>5000</v>
      </c>
      <c r="M575" s="221">
        <f t="shared" si="600"/>
        <v>5000</v>
      </c>
      <c r="N575" s="221">
        <f t="shared" si="600"/>
        <v>5000</v>
      </c>
      <c r="O575" s="221">
        <f t="shared" si="600"/>
        <v>0</v>
      </c>
      <c r="P575" s="221">
        <f t="shared" si="600"/>
        <v>0</v>
      </c>
      <c r="Q575" s="221">
        <f t="shared" si="600"/>
        <v>0</v>
      </c>
    </row>
    <row r="576" spans="1:17" customFormat="1" ht="13.5" hidden="1" customHeight="1" x14ac:dyDescent="0.3">
      <c r="A576" s="180">
        <v>4221</v>
      </c>
      <c r="B576" s="190" t="s">
        <v>54</v>
      </c>
      <c r="C576" s="182">
        <v>14000</v>
      </c>
      <c r="D576" s="182"/>
      <c r="E576" s="182"/>
      <c r="F576" s="182">
        <f t="shared" ref="F576" si="601">C576-D576+E576</f>
        <v>14000</v>
      </c>
      <c r="G576" s="182">
        <v>5000</v>
      </c>
      <c r="H576" s="182">
        <v>5000</v>
      </c>
      <c r="I576" s="182">
        <v>5000</v>
      </c>
      <c r="J576" s="220"/>
      <c r="K576" s="220"/>
      <c r="L576" s="220">
        <f>I576-J576+K576</f>
        <v>5000</v>
      </c>
      <c r="M576" s="182">
        <v>5000</v>
      </c>
      <c r="N576" s="182">
        <v>5000</v>
      </c>
      <c r="O576" s="182"/>
      <c r="P576" s="182"/>
      <c r="Q576" s="182"/>
    </row>
    <row r="577" spans="1:17" customFormat="1" ht="14.4" hidden="1" x14ac:dyDescent="0.3">
      <c r="A577" s="188">
        <v>423</v>
      </c>
      <c r="B577" s="192" t="s">
        <v>61</v>
      </c>
      <c r="C577" s="179">
        <f t="shared" ref="C577:D577" si="602">SUM(C578)</f>
        <v>0</v>
      </c>
      <c r="D577" s="179">
        <f t="shared" si="602"/>
        <v>0</v>
      </c>
      <c r="E577" s="179"/>
      <c r="F577" s="179"/>
      <c r="G577" s="179"/>
      <c r="H577" s="179"/>
      <c r="I577" s="179"/>
      <c r="J577" s="219"/>
      <c r="K577" s="219"/>
      <c r="L577" s="219"/>
      <c r="M577" s="179"/>
      <c r="N577" s="179"/>
      <c r="O577" s="179"/>
      <c r="P577" s="179"/>
      <c r="Q577" s="179"/>
    </row>
    <row r="578" spans="1:17" customFormat="1" ht="14.4" hidden="1" x14ac:dyDescent="0.3">
      <c r="A578" s="189">
        <v>4231</v>
      </c>
      <c r="B578" s="190" t="s">
        <v>62</v>
      </c>
      <c r="C578" s="182"/>
      <c r="D578" s="182"/>
      <c r="E578" s="182"/>
      <c r="F578" s="182"/>
      <c r="G578" s="182"/>
      <c r="H578" s="182"/>
      <c r="I578" s="182"/>
      <c r="J578" s="220"/>
      <c r="K578" s="220"/>
      <c r="L578" s="220"/>
      <c r="M578" s="182"/>
      <c r="N578" s="182"/>
      <c r="O578" s="182"/>
      <c r="P578" s="182"/>
      <c r="Q578" s="182"/>
    </row>
    <row r="579" spans="1:17" customFormat="1" ht="26.4" hidden="1" x14ac:dyDescent="0.3">
      <c r="A579" s="170" t="s">
        <v>295</v>
      </c>
      <c r="B579" s="171" t="s">
        <v>296</v>
      </c>
      <c r="C579" s="172">
        <f t="shared" ref="C579:D579" si="603">SUM(C580)</f>
        <v>0</v>
      </c>
      <c r="D579" s="172">
        <f t="shared" si="603"/>
        <v>0</v>
      </c>
      <c r="E579" s="172"/>
      <c r="F579" s="172"/>
      <c r="G579" s="172"/>
      <c r="H579" s="172"/>
      <c r="I579" s="172"/>
      <c r="J579" s="384"/>
      <c r="K579" s="384"/>
      <c r="L579" s="384"/>
      <c r="M579" s="172"/>
      <c r="N579" s="172"/>
      <c r="O579" s="172"/>
      <c r="P579" s="172"/>
      <c r="Q579" s="172"/>
    </row>
    <row r="580" spans="1:17" customFormat="1" ht="17.25" hidden="1" customHeight="1" x14ac:dyDescent="0.3">
      <c r="A580" s="721" t="s">
        <v>297</v>
      </c>
      <c r="B580" s="721"/>
      <c r="C580" s="184">
        <f t="shared" ref="C580:D580" si="604">SUM(C581,C583,C588,C592,C594,C597,C599)</f>
        <v>0</v>
      </c>
      <c r="D580" s="184">
        <f t="shared" si="604"/>
        <v>0</v>
      </c>
      <c r="E580" s="184"/>
      <c r="F580" s="184"/>
      <c r="G580" s="184"/>
      <c r="H580" s="184"/>
      <c r="I580" s="184"/>
      <c r="J580" s="387"/>
      <c r="K580" s="387"/>
      <c r="L580" s="387"/>
      <c r="M580" s="184"/>
      <c r="N580" s="184"/>
      <c r="O580" s="184"/>
      <c r="P580" s="184"/>
      <c r="Q580" s="184"/>
    </row>
    <row r="581" spans="1:17" customFormat="1" ht="14.4" hidden="1" x14ac:dyDescent="0.3">
      <c r="A581" s="188" t="s">
        <v>149</v>
      </c>
      <c r="B581" s="192" t="s">
        <v>12</v>
      </c>
      <c r="C581" s="179">
        <f t="shared" ref="C581:D581" si="605">SUM(C582:C582)</f>
        <v>0</v>
      </c>
      <c r="D581" s="179">
        <f t="shared" si="605"/>
        <v>0</v>
      </c>
      <c r="E581" s="179"/>
      <c r="F581" s="179"/>
      <c r="G581" s="179"/>
      <c r="H581" s="179"/>
      <c r="I581" s="179"/>
      <c r="J581" s="219"/>
      <c r="K581" s="219"/>
      <c r="L581" s="219"/>
      <c r="M581" s="179"/>
      <c r="N581" s="179"/>
      <c r="O581" s="179"/>
      <c r="P581" s="179"/>
      <c r="Q581" s="179"/>
    </row>
    <row r="582" spans="1:17" customFormat="1" ht="14.4" hidden="1" x14ac:dyDescent="0.3">
      <c r="A582" s="189" t="s">
        <v>150</v>
      </c>
      <c r="B582" s="190" t="s">
        <v>13</v>
      </c>
      <c r="C582" s="182"/>
      <c r="D582" s="182"/>
      <c r="E582" s="182"/>
      <c r="F582" s="182"/>
      <c r="G582" s="182"/>
      <c r="H582" s="182"/>
      <c r="I582" s="182"/>
      <c r="J582" s="220"/>
      <c r="K582" s="220"/>
      <c r="L582" s="220"/>
      <c r="M582" s="182"/>
      <c r="N582" s="182"/>
      <c r="O582" s="182"/>
      <c r="P582" s="182"/>
      <c r="Q582" s="182"/>
    </row>
    <row r="583" spans="1:17" customFormat="1" ht="14.4" hidden="1" x14ac:dyDescent="0.3">
      <c r="A583" s="188" t="s">
        <v>153</v>
      </c>
      <c r="B583" s="192" t="s">
        <v>16</v>
      </c>
      <c r="C583" s="179">
        <f t="shared" ref="C583:D583" si="606">SUM(C584:C587)</f>
        <v>0</v>
      </c>
      <c r="D583" s="179">
        <f t="shared" si="606"/>
        <v>0</v>
      </c>
      <c r="E583" s="179"/>
      <c r="F583" s="179"/>
      <c r="G583" s="179"/>
      <c r="H583" s="179"/>
      <c r="I583" s="179"/>
      <c r="J583" s="219"/>
      <c r="K583" s="219"/>
      <c r="L583" s="219"/>
      <c r="M583" s="179"/>
      <c r="N583" s="179"/>
      <c r="O583" s="179"/>
      <c r="P583" s="179"/>
      <c r="Q583" s="179"/>
    </row>
    <row r="584" spans="1:17" customFormat="1" ht="13.5" hidden="1" customHeight="1" x14ac:dyDescent="0.3">
      <c r="A584" s="189">
        <v>3222</v>
      </c>
      <c r="B584" s="190" t="s">
        <v>18</v>
      </c>
      <c r="C584" s="191"/>
      <c r="D584" s="191"/>
      <c r="E584" s="191"/>
      <c r="F584" s="191"/>
      <c r="G584" s="191"/>
      <c r="H584" s="191"/>
      <c r="I584" s="191"/>
      <c r="J584" s="233"/>
      <c r="K584" s="233"/>
      <c r="L584" s="233"/>
      <c r="M584" s="191"/>
      <c r="N584" s="191"/>
      <c r="O584" s="191"/>
      <c r="P584" s="191"/>
      <c r="Q584" s="191"/>
    </row>
    <row r="585" spans="1:17" customFormat="1" ht="14.4" hidden="1" x14ac:dyDescent="0.3">
      <c r="A585" s="189" t="s">
        <v>156</v>
      </c>
      <c r="B585" s="190" t="s">
        <v>19</v>
      </c>
      <c r="C585" s="182"/>
      <c r="D585" s="182"/>
      <c r="E585" s="182"/>
      <c r="F585" s="182"/>
      <c r="G585" s="182"/>
      <c r="H585" s="182"/>
      <c r="I585" s="182"/>
      <c r="J585" s="220"/>
      <c r="K585" s="220"/>
      <c r="L585" s="220"/>
      <c r="M585" s="182"/>
      <c r="N585" s="182"/>
      <c r="O585" s="182"/>
      <c r="P585" s="182"/>
      <c r="Q585" s="182"/>
    </row>
    <row r="586" spans="1:17" customFormat="1" ht="14.4" hidden="1" x14ac:dyDescent="0.3">
      <c r="A586" s="180">
        <v>3225</v>
      </c>
      <c r="B586" s="181" t="s">
        <v>117</v>
      </c>
      <c r="C586" s="182"/>
      <c r="D586" s="182"/>
      <c r="E586" s="182"/>
      <c r="F586" s="182"/>
      <c r="G586" s="182"/>
      <c r="H586" s="182"/>
      <c r="I586" s="182"/>
      <c r="J586" s="220"/>
      <c r="K586" s="220"/>
      <c r="L586" s="220"/>
      <c r="M586" s="182"/>
      <c r="N586" s="182"/>
      <c r="O586" s="182"/>
      <c r="P586" s="182"/>
      <c r="Q586" s="182"/>
    </row>
    <row r="587" spans="1:17" customFormat="1" ht="14.4" hidden="1" x14ac:dyDescent="0.3">
      <c r="A587" s="189">
        <v>3227</v>
      </c>
      <c r="B587" s="190" t="s">
        <v>22</v>
      </c>
      <c r="C587" s="182"/>
      <c r="D587" s="182"/>
      <c r="E587" s="182"/>
      <c r="F587" s="182"/>
      <c r="G587" s="182"/>
      <c r="H587" s="182"/>
      <c r="I587" s="182"/>
      <c r="J587" s="220"/>
      <c r="K587" s="220"/>
      <c r="L587" s="220"/>
      <c r="M587" s="182"/>
      <c r="N587" s="182"/>
      <c r="O587" s="182"/>
      <c r="P587" s="182"/>
      <c r="Q587" s="182"/>
    </row>
    <row r="588" spans="1:17" customFormat="1" ht="14.4" hidden="1" x14ac:dyDescent="0.3">
      <c r="A588" s="188" t="s">
        <v>159</v>
      </c>
      <c r="B588" s="192" t="s">
        <v>123</v>
      </c>
      <c r="C588" s="179">
        <f t="shared" ref="C588:D588" si="607">SUM(C589:C591)</f>
        <v>0</v>
      </c>
      <c r="D588" s="179">
        <f t="shared" si="607"/>
        <v>0</v>
      </c>
      <c r="E588" s="179"/>
      <c r="F588" s="179"/>
      <c r="G588" s="179"/>
      <c r="H588" s="179"/>
      <c r="I588" s="179"/>
      <c r="J588" s="219"/>
      <c r="K588" s="219"/>
      <c r="L588" s="219"/>
      <c r="M588" s="179"/>
      <c r="N588" s="179"/>
      <c r="O588" s="179"/>
      <c r="P588" s="179"/>
      <c r="Q588" s="179"/>
    </row>
    <row r="589" spans="1:17" customFormat="1" ht="14.4" hidden="1" x14ac:dyDescent="0.3">
      <c r="A589" s="189" t="s">
        <v>160</v>
      </c>
      <c r="B589" s="190" t="s">
        <v>24</v>
      </c>
      <c r="C589" s="182"/>
      <c r="D589" s="182"/>
      <c r="E589" s="182"/>
      <c r="F589" s="182"/>
      <c r="G589" s="182"/>
      <c r="H589" s="182"/>
      <c r="I589" s="182"/>
      <c r="J589" s="220"/>
      <c r="K589" s="220"/>
      <c r="L589" s="220"/>
      <c r="M589" s="182"/>
      <c r="N589" s="182"/>
      <c r="O589" s="182"/>
      <c r="P589" s="182"/>
      <c r="Q589" s="182"/>
    </row>
    <row r="590" spans="1:17" customFormat="1" ht="14.4" hidden="1" x14ac:dyDescent="0.3">
      <c r="A590" s="189">
        <v>3233</v>
      </c>
      <c r="B590" s="190" t="s">
        <v>26</v>
      </c>
      <c r="C590" s="182"/>
      <c r="D590" s="182"/>
      <c r="E590" s="182"/>
      <c r="F590" s="182"/>
      <c r="G590" s="182"/>
      <c r="H590" s="182"/>
      <c r="I590" s="182"/>
      <c r="J590" s="220"/>
      <c r="K590" s="220"/>
      <c r="L590" s="220"/>
      <c r="M590" s="182"/>
      <c r="N590" s="182"/>
      <c r="O590" s="182"/>
      <c r="P590" s="182"/>
      <c r="Q590" s="182"/>
    </row>
    <row r="591" spans="1:17" customFormat="1" ht="14.4" hidden="1" x14ac:dyDescent="0.3">
      <c r="A591" s="180">
        <v>3239</v>
      </c>
      <c r="B591" s="181" t="s">
        <v>31</v>
      </c>
      <c r="C591" s="182"/>
      <c r="D591" s="182"/>
      <c r="E591" s="182"/>
      <c r="F591" s="182"/>
      <c r="G591" s="182"/>
      <c r="H591" s="182"/>
      <c r="I591" s="182"/>
      <c r="J591" s="220"/>
      <c r="K591" s="220"/>
      <c r="L591" s="220"/>
      <c r="M591" s="182"/>
      <c r="N591" s="182"/>
      <c r="O591" s="182"/>
      <c r="P591" s="182"/>
      <c r="Q591" s="182"/>
    </row>
    <row r="592" spans="1:17" customFormat="1" ht="26.4" hidden="1" x14ac:dyDescent="0.3">
      <c r="A592" s="188" t="s">
        <v>168</v>
      </c>
      <c r="B592" s="192" t="s">
        <v>32</v>
      </c>
      <c r="C592" s="179">
        <f t="shared" ref="C592:D592" si="608">SUM(C593)</f>
        <v>0</v>
      </c>
      <c r="D592" s="179">
        <f t="shared" si="608"/>
        <v>0</v>
      </c>
      <c r="E592" s="179"/>
      <c r="F592" s="179"/>
      <c r="G592" s="179"/>
      <c r="H592" s="179"/>
      <c r="I592" s="179"/>
      <c r="J592" s="219"/>
      <c r="K592" s="219"/>
      <c r="L592" s="219"/>
      <c r="M592" s="179"/>
      <c r="N592" s="179"/>
      <c r="O592" s="179"/>
      <c r="P592" s="179"/>
      <c r="Q592" s="179"/>
    </row>
    <row r="593" spans="1:17" customFormat="1" ht="26.4" hidden="1" x14ac:dyDescent="0.3">
      <c r="A593" s="189" t="s">
        <v>169</v>
      </c>
      <c r="B593" s="190" t="s">
        <v>32</v>
      </c>
      <c r="C593" s="182"/>
      <c r="D593" s="182"/>
      <c r="E593" s="182"/>
      <c r="F593" s="182"/>
      <c r="G593" s="182"/>
      <c r="H593" s="182"/>
      <c r="I593" s="182"/>
      <c r="J593" s="220"/>
      <c r="K593" s="220"/>
      <c r="L593" s="220"/>
      <c r="M593" s="182"/>
      <c r="N593" s="182"/>
      <c r="O593" s="182"/>
      <c r="P593" s="182"/>
      <c r="Q593" s="182"/>
    </row>
    <row r="594" spans="1:17" customFormat="1" ht="14.4" hidden="1" x14ac:dyDescent="0.3">
      <c r="A594" s="188" t="s">
        <v>170</v>
      </c>
      <c r="B594" s="192" t="s">
        <v>33</v>
      </c>
      <c r="C594" s="179">
        <f t="shared" ref="C594:D594" si="609">SUM(C595:C596)</f>
        <v>0</v>
      </c>
      <c r="D594" s="179">
        <f t="shared" si="609"/>
        <v>0</v>
      </c>
      <c r="E594" s="179"/>
      <c r="F594" s="179"/>
      <c r="G594" s="179"/>
      <c r="H594" s="179"/>
      <c r="I594" s="179"/>
      <c r="J594" s="219"/>
      <c r="K594" s="219"/>
      <c r="L594" s="219"/>
      <c r="M594" s="179"/>
      <c r="N594" s="179"/>
      <c r="O594" s="179"/>
      <c r="P594" s="179"/>
      <c r="Q594" s="179"/>
    </row>
    <row r="595" spans="1:17" customFormat="1" ht="14.4" hidden="1" x14ac:dyDescent="0.3">
      <c r="A595" s="189" t="s">
        <v>172</v>
      </c>
      <c r="B595" s="190" t="s">
        <v>36</v>
      </c>
      <c r="C595" s="182"/>
      <c r="D595" s="182"/>
      <c r="E595" s="182"/>
      <c r="F595" s="182"/>
      <c r="G595" s="182"/>
      <c r="H595" s="182"/>
      <c r="I595" s="182"/>
      <c r="J595" s="220"/>
      <c r="K595" s="220"/>
      <c r="L595" s="220"/>
      <c r="M595" s="182"/>
      <c r="N595" s="182"/>
      <c r="O595" s="182"/>
      <c r="P595" s="182"/>
      <c r="Q595" s="182"/>
    </row>
    <row r="596" spans="1:17" customFormat="1" ht="14.4" hidden="1" x14ac:dyDescent="0.3">
      <c r="A596" s="189">
        <v>3299</v>
      </c>
      <c r="B596" s="190" t="s">
        <v>33</v>
      </c>
      <c r="C596" s="182"/>
      <c r="D596" s="182"/>
      <c r="E596" s="182"/>
      <c r="F596" s="182"/>
      <c r="G596" s="182"/>
      <c r="H596" s="182"/>
      <c r="I596" s="182"/>
      <c r="J596" s="220"/>
      <c r="K596" s="220"/>
      <c r="L596" s="220"/>
      <c r="M596" s="182"/>
      <c r="N596" s="182"/>
      <c r="O596" s="182"/>
      <c r="P596" s="182"/>
      <c r="Q596" s="182"/>
    </row>
    <row r="597" spans="1:17" customFormat="1" ht="14.4" hidden="1" x14ac:dyDescent="0.3">
      <c r="A597" s="177">
        <v>343</v>
      </c>
      <c r="B597" s="178" t="s">
        <v>40</v>
      </c>
      <c r="C597" s="179">
        <f t="shared" ref="C597:D597" si="610">SUM(C598)</f>
        <v>0</v>
      </c>
      <c r="D597" s="179">
        <f t="shared" si="610"/>
        <v>0</v>
      </c>
      <c r="E597" s="179"/>
      <c r="F597" s="179"/>
      <c r="G597" s="179"/>
      <c r="H597" s="179"/>
      <c r="I597" s="179"/>
      <c r="J597" s="219"/>
      <c r="K597" s="219"/>
      <c r="L597" s="219"/>
      <c r="M597" s="179"/>
      <c r="N597" s="179"/>
      <c r="O597" s="179"/>
      <c r="P597" s="179"/>
      <c r="Q597" s="179"/>
    </row>
    <row r="598" spans="1:17" customFormat="1" ht="14.4" hidden="1" x14ac:dyDescent="0.3">
      <c r="A598" s="180">
        <v>3434</v>
      </c>
      <c r="B598" s="181" t="s">
        <v>43</v>
      </c>
      <c r="C598" s="182"/>
      <c r="D598" s="182"/>
      <c r="E598" s="182"/>
      <c r="F598" s="182"/>
      <c r="G598" s="182"/>
      <c r="H598" s="182"/>
      <c r="I598" s="182"/>
      <c r="J598" s="220"/>
      <c r="K598" s="220"/>
      <c r="L598" s="220"/>
      <c r="M598" s="182"/>
      <c r="N598" s="182"/>
      <c r="O598" s="182"/>
      <c r="P598" s="182"/>
      <c r="Q598" s="182"/>
    </row>
    <row r="599" spans="1:17" customFormat="1" ht="14.4" hidden="1" x14ac:dyDescent="0.3">
      <c r="A599" s="188" t="s">
        <v>177</v>
      </c>
      <c r="B599" s="192" t="s">
        <v>129</v>
      </c>
      <c r="C599" s="179">
        <f t="shared" ref="C599:D599" si="611">SUM(C600,C601,C602)</f>
        <v>0</v>
      </c>
      <c r="D599" s="179">
        <f t="shared" si="611"/>
        <v>0</v>
      </c>
      <c r="E599" s="179"/>
      <c r="F599" s="179"/>
      <c r="G599" s="179"/>
      <c r="H599" s="179"/>
      <c r="I599" s="179"/>
      <c r="J599" s="219"/>
      <c r="K599" s="219"/>
      <c r="L599" s="219"/>
      <c r="M599" s="179"/>
      <c r="N599" s="179"/>
      <c r="O599" s="179"/>
      <c r="P599" s="179"/>
      <c r="Q599" s="179"/>
    </row>
    <row r="600" spans="1:17" customFormat="1" ht="14.4" hidden="1" x14ac:dyDescent="0.3">
      <c r="A600" s="189" t="s">
        <v>178</v>
      </c>
      <c r="B600" s="190" t="s">
        <v>54</v>
      </c>
      <c r="C600" s="182"/>
      <c r="D600" s="182"/>
      <c r="E600" s="182"/>
      <c r="F600" s="182"/>
      <c r="G600" s="182"/>
      <c r="H600" s="182"/>
      <c r="I600" s="182"/>
      <c r="J600" s="220"/>
      <c r="K600" s="220"/>
      <c r="L600" s="220"/>
      <c r="M600" s="182"/>
      <c r="N600" s="182"/>
      <c r="O600" s="182"/>
      <c r="P600" s="182"/>
      <c r="Q600" s="182"/>
    </row>
    <row r="601" spans="1:17" customFormat="1" ht="14.4" hidden="1" x14ac:dyDescent="0.3">
      <c r="A601" s="189" t="s">
        <v>186</v>
      </c>
      <c r="B601" s="190" t="s">
        <v>58</v>
      </c>
      <c r="C601" s="182"/>
      <c r="D601" s="182"/>
      <c r="E601" s="182"/>
      <c r="F601" s="182"/>
      <c r="G601" s="182"/>
      <c r="H601" s="182"/>
      <c r="I601" s="182"/>
      <c r="J601" s="220"/>
      <c r="K601" s="220"/>
      <c r="L601" s="220"/>
      <c r="M601" s="182"/>
      <c r="N601" s="182"/>
      <c r="O601" s="182"/>
      <c r="P601" s="182"/>
      <c r="Q601" s="182"/>
    </row>
    <row r="602" spans="1:17" customFormat="1" ht="14.4" hidden="1" x14ac:dyDescent="0.3">
      <c r="A602" s="189">
        <v>4223</v>
      </c>
      <c r="B602" s="190" t="s">
        <v>59</v>
      </c>
      <c r="C602" s="182"/>
      <c r="D602" s="182"/>
      <c r="E602" s="182"/>
      <c r="F602" s="182"/>
      <c r="G602" s="182"/>
      <c r="H602" s="182"/>
      <c r="I602" s="182"/>
      <c r="J602" s="220"/>
      <c r="K602" s="220"/>
      <c r="L602" s="220"/>
      <c r="M602" s="182"/>
      <c r="N602" s="182"/>
      <c r="O602" s="182"/>
      <c r="P602" s="182"/>
      <c r="Q602" s="182"/>
    </row>
    <row r="603" spans="1:17" customFormat="1" ht="52.8" hidden="1" x14ac:dyDescent="0.3">
      <c r="A603" s="170" t="s">
        <v>134</v>
      </c>
      <c r="B603" s="171" t="s">
        <v>229</v>
      </c>
      <c r="C603" s="172">
        <f t="shared" ref="C603:Q604" si="612">SUM(C604)</f>
        <v>1158000</v>
      </c>
      <c r="D603" s="172">
        <f t="shared" si="612"/>
        <v>0</v>
      </c>
      <c r="E603" s="172">
        <f t="shared" si="612"/>
        <v>0</v>
      </c>
      <c r="F603" s="172">
        <f t="shared" si="612"/>
        <v>1158000</v>
      </c>
      <c r="G603" s="172">
        <f t="shared" si="612"/>
        <v>4000</v>
      </c>
      <c r="H603" s="172">
        <f t="shared" si="612"/>
        <v>0</v>
      </c>
      <c r="I603" s="172">
        <f t="shared" si="612"/>
        <v>134000</v>
      </c>
      <c r="J603" s="172">
        <f t="shared" si="612"/>
        <v>0</v>
      </c>
      <c r="K603" s="172">
        <f t="shared" si="612"/>
        <v>2000</v>
      </c>
      <c r="L603" s="172">
        <f t="shared" si="612"/>
        <v>136000</v>
      </c>
      <c r="M603" s="172">
        <f t="shared" si="612"/>
        <v>0</v>
      </c>
      <c r="N603" s="172">
        <f t="shared" si="612"/>
        <v>0</v>
      </c>
      <c r="O603" s="172">
        <f t="shared" si="612"/>
        <v>0</v>
      </c>
      <c r="P603" s="172">
        <f t="shared" si="612"/>
        <v>0</v>
      </c>
      <c r="Q603" s="172">
        <f t="shared" si="612"/>
        <v>0</v>
      </c>
    </row>
    <row r="604" spans="1:17" customFormat="1" ht="18" hidden="1" customHeight="1" x14ac:dyDescent="0.3">
      <c r="A604" s="721" t="s">
        <v>252</v>
      </c>
      <c r="B604" s="721"/>
      <c r="C604" s="173">
        <f>SUM(C605)</f>
        <v>1158000</v>
      </c>
      <c r="D604" s="173">
        <f t="shared" si="612"/>
        <v>0</v>
      </c>
      <c r="E604" s="173">
        <f t="shared" ref="E604:Q604" si="613">SUM(E605)</f>
        <v>0</v>
      </c>
      <c r="F604" s="173">
        <f t="shared" si="613"/>
        <v>1158000</v>
      </c>
      <c r="G604" s="173">
        <f t="shared" si="613"/>
        <v>4000</v>
      </c>
      <c r="H604" s="173">
        <f t="shared" si="613"/>
        <v>0</v>
      </c>
      <c r="I604" s="173">
        <f t="shared" si="613"/>
        <v>134000</v>
      </c>
      <c r="J604" s="173">
        <f t="shared" si="613"/>
        <v>0</v>
      </c>
      <c r="K604" s="173">
        <f t="shared" si="613"/>
        <v>2000</v>
      </c>
      <c r="L604" s="173">
        <f t="shared" si="613"/>
        <v>136000</v>
      </c>
      <c r="M604" s="173">
        <f t="shared" si="613"/>
        <v>0</v>
      </c>
      <c r="N604" s="173">
        <f t="shared" si="613"/>
        <v>0</v>
      </c>
      <c r="O604" s="173">
        <f t="shared" si="613"/>
        <v>0</v>
      </c>
      <c r="P604" s="173">
        <f t="shared" si="613"/>
        <v>0</v>
      </c>
      <c r="Q604" s="173">
        <f t="shared" si="613"/>
        <v>0</v>
      </c>
    </row>
    <row r="605" spans="1:17" customFormat="1" ht="18" hidden="1" customHeight="1" x14ac:dyDescent="0.3">
      <c r="A605" s="185" t="s">
        <v>317</v>
      </c>
      <c r="B605" s="185" t="s">
        <v>318</v>
      </c>
      <c r="C605" s="218">
        <f>SUM(C606,C610)</f>
        <v>1158000</v>
      </c>
      <c r="D605" s="218">
        <f t="shared" ref="D605:F605" si="614">SUM(D606,D610)</f>
        <v>0</v>
      </c>
      <c r="E605" s="218">
        <f t="shared" si="614"/>
        <v>0</v>
      </c>
      <c r="F605" s="218">
        <f t="shared" si="614"/>
        <v>1158000</v>
      </c>
      <c r="G605" s="218">
        <f t="shared" ref="G605:H605" si="615">SUM(G606,G610)</f>
        <v>4000</v>
      </c>
      <c r="H605" s="218">
        <f t="shared" si="615"/>
        <v>0</v>
      </c>
      <c r="I605" s="218">
        <f t="shared" ref="I605:M605" si="616">SUM(I606,I610)</f>
        <v>134000</v>
      </c>
      <c r="J605" s="218">
        <f t="shared" si="616"/>
        <v>0</v>
      </c>
      <c r="K605" s="218">
        <f t="shared" si="616"/>
        <v>2000</v>
      </c>
      <c r="L605" s="218">
        <f t="shared" si="616"/>
        <v>136000</v>
      </c>
      <c r="M605" s="218">
        <f t="shared" si="616"/>
        <v>0</v>
      </c>
      <c r="N605" s="218">
        <f t="shared" ref="N605:O605" si="617">SUM(N606,N610)</f>
        <v>0</v>
      </c>
      <c r="O605" s="218">
        <f t="shared" si="617"/>
        <v>0</v>
      </c>
      <c r="P605" s="218">
        <f t="shared" ref="P605:Q605" si="618">SUM(P606,P610)</f>
        <v>0</v>
      </c>
      <c r="Q605" s="218">
        <f t="shared" si="618"/>
        <v>0</v>
      </c>
    </row>
    <row r="606" spans="1:17" s="6" customFormat="1" ht="14.4" hidden="1" x14ac:dyDescent="0.3">
      <c r="A606" s="188" t="s">
        <v>159</v>
      </c>
      <c r="B606" s="192" t="s">
        <v>123</v>
      </c>
      <c r="C606" s="179">
        <f t="shared" ref="C606" si="619">SUM(C607:C609)</f>
        <v>995000</v>
      </c>
      <c r="D606" s="179">
        <f t="shared" ref="D606:F606" si="620">SUM(D607:D609)</f>
        <v>0</v>
      </c>
      <c r="E606" s="179">
        <f>SUM(E607:E609)</f>
        <v>0</v>
      </c>
      <c r="F606" s="179">
        <f t="shared" si="620"/>
        <v>995000</v>
      </c>
      <c r="G606" s="179">
        <f>SUM(G607:G609)</f>
        <v>4000</v>
      </c>
      <c r="H606" s="179">
        <f>SUM(H607:H609)</f>
        <v>0</v>
      </c>
      <c r="I606" s="179">
        <f>SUM(I607:I609)</f>
        <v>134000</v>
      </c>
      <c r="J606" s="179">
        <f t="shared" ref="J606:K606" si="621">SUM(J607:J609)</f>
        <v>0</v>
      </c>
      <c r="K606" s="179">
        <f t="shared" si="621"/>
        <v>2000</v>
      </c>
      <c r="L606" s="179">
        <f t="shared" ref="L606:Q606" si="622">SUM(L607:L609)</f>
        <v>136000</v>
      </c>
      <c r="M606" s="179">
        <f t="shared" si="622"/>
        <v>0</v>
      </c>
      <c r="N606" s="179">
        <f t="shared" si="622"/>
        <v>0</v>
      </c>
      <c r="O606" s="179">
        <f t="shared" si="622"/>
        <v>0</v>
      </c>
      <c r="P606" s="179">
        <f t="shared" si="622"/>
        <v>0</v>
      </c>
      <c r="Q606" s="179">
        <f t="shared" si="622"/>
        <v>0</v>
      </c>
    </row>
    <row r="607" spans="1:17" customFormat="1" ht="14.4" hidden="1" x14ac:dyDescent="0.3">
      <c r="A607" s="189" t="s">
        <v>162</v>
      </c>
      <c r="B607" s="190" t="s">
        <v>26</v>
      </c>
      <c r="C607" s="182">
        <v>5000</v>
      </c>
      <c r="D607" s="182"/>
      <c r="E607" s="182"/>
      <c r="F607" s="182">
        <f>C607-D607+E607</f>
        <v>5000</v>
      </c>
      <c r="G607" s="182"/>
      <c r="H607" s="182"/>
      <c r="I607" s="182">
        <v>4000</v>
      </c>
      <c r="J607" s="220"/>
      <c r="K607" s="220"/>
      <c r="L607" s="220">
        <f>I607-J607+K607</f>
        <v>4000</v>
      </c>
      <c r="M607" s="182"/>
      <c r="N607" s="182"/>
      <c r="O607" s="182"/>
      <c r="P607" s="182"/>
      <c r="Q607" s="182"/>
    </row>
    <row r="608" spans="1:17" customFormat="1" ht="18.75" hidden="1" customHeight="1" x14ac:dyDescent="0.3">
      <c r="A608" s="189" t="s">
        <v>166</v>
      </c>
      <c r="B608" s="190" t="s">
        <v>30</v>
      </c>
      <c r="C608" s="182">
        <v>23000</v>
      </c>
      <c r="D608" s="182"/>
      <c r="E608" s="182"/>
      <c r="F608" s="182">
        <f>C608-D608+E608</f>
        <v>23000</v>
      </c>
      <c r="G608" s="182">
        <v>4000</v>
      </c>
      <c r="H608" s="182"/>
      <c r="I608" s="182"/>
      <c r="J608" s="220"/>
      <c r="K608" s="220">
        <v>2000</v>
      </c>
      <c r="L608" s="220">
        <f>I608-J608+K608</f>
        <v>2000</v>
      </c>
      <c r="M608" s="182"/>
      <c r="N608" s="182"/>
      <c r="O608" s="182"/>
      <c r="P608" s="182"/>
      <c r="Q608" s="182"/>
    </row>
    <row r="609" spans="1:17" customFormat="1" ht="17.55" hidden="1" customHeight="1" x14ac:dyDescent="0.3">
      <c r="A609" s="189">
        <v>3239</v>
      </c>
      <c r="B609" s="190" t="s">
        <v>31</v>
      </c>
      <c r="C609" s="182">
        <v>967000</v>
      </c>
      <c r="D609" s="182"/>
      <c r="E609" s="182"/>
      <c r="F609" s="182">
        <f>C609-D609+E609</f>
        <v>967000</v>
      </c>
      <c r="G609" s="182"/>
      <c r="H609" s="182"/>
      <c r="I609" s="191">
        <v>130000</v>
      </c>
      <c r="J609" s="233"/>
      <c r="K609" s="233"/>
      <c r="L609" s="220">
        <f>I609-J609+K609</f>
        <v>130000</v>
      </c>
      <c r="M609" s="182"/>
      <c r="N609" s="182"/>
      <c r="O609" s="182"/>
      <c r="P609" s="182"/>
      <c r="Q609" s="182"/>
    </row>
    <row r="610" spans="1:17" s="6" customFormat="1" ht="0.6" customHeight="1" x14ac:dyDescent="0.3">
      <c r="A610" s="188">
        <v>324</v>
      </c>
      <c r="B610" s="192" t="s">
        <v>32</v>
      </c>
      <c r="C610" s="179">
        <f t="shared" ref="C610:D610" si="623">SUM(C611:C613)</f>
        <v>163000</v>
      </c>
      <c r="D610" s="179">
        <f t="shared" si="623"/>
        <v>0</v>
      </c>
      <c r="E610" s="179">
        <f>SUM(E611:E613)</f>
        <v>0</v>
      </c>
      <c r="F610" s="179">
        <f>C610-D610+E610</f>
        <v>163000</v>
      </c>
      <c r="G610" s="179">
        <f>SUM(G611:G613)</f>
        <v>0</v>
      </c>
      <c r="H610" s="179">
        <f>SUM(H611:H613)</f>
        <v>0</v>
      </c>
      <c r="I610" s="179">
        <f>SUM(I611:I613)</f>
        <v>0</v>
      </c>
      <c r="J610" s="179">
        <f t="shared" ref="J610:K610" si="624">SUM(J611:J613)</f>
        <v>0</v>
      </c>
      <c r="K610" s="179">
        <f t="shared" si="624"/>
        <v>0</v>
      </c>
      <c r="L610" s="179">
        <f t="shared" ref="L610:Q610" si="625">SUM(L611:L613)</f>
        <v>0</v>
      </c>
      <c r="M610" s="179">
        <f t="shared" si="625"/>
        <v>0</v>
      </c>
      <c r="N610" s="179">
        <f t="shared" si="625"/>
        <v>0</v>
      </c>
      <c r="O610" s="179">
        <f t="shared" si="625"/>
        <v>0</v>
      </c>
      <c r="P610" s="179">
        <f t="shared" si="625"/>
        <v>0</v>
      </c>
      <c r="Q610" s="179">
        <f t="shared" si="625"/>
        <v>0</v>
      </c>
    </row>
    <row r="611" spans="1:17" customFormat="1" ht="22.05" hidden="1" customHeight="1" x14ac:dyDescent="0.3">
      <c r="A611" s="189">
        <v>3241</v>
      </c>
      <c r="B611" s="190" t="s">
        <v>32</v>
      </c>
      <c r="C611" s="182">
        <v>163000</v>
      </c>
      <c r="D611" s="182"/>
      <c r="E611" s="182"/>
      <c r="F611" s="182">
        <f>C611-D611+E611</f>
        <v>163000</v>
      </c>
      <c r="G611" s="182"/>
      <c r="H611" s="182"/>
      <c r="I611" s="182"/>
      <c r="J611" s="220"/>
      <c r="K611" s="220"/>
      <c r="L611" s="220"/>
      <c r="M611" s="182"/>
      <c r="N611" s="182"/>
      <c r="O611" s="182"/>
      <c r="P611" s="182"/>
      <c r="Q611" s="182"/>
    </row>
    <row r="612" spans="1:17" customFormat="1" ht="18.75" hidden="1" customHeight="1" x14ac:dyDescent="0.3">
      <c r="A612" s="170" t="s">
        <v>253</v>
      </c>
      <c r="B612" s="171" t="s">
        <v>254</v>
      </c>
      <c r="C612" s="172">
        <f t="shared" ref="C612:D614" si="626">SUM(C613)</f>
        <v>0</v>
      </c>
      <c r="D612" s="172">
        <f t="shared" si="626"/>
        <v>0</v>
      </c>
      <c r="E612" s="172"/>
      <c r="F612" s="172"/>
      <c r="G612" s="172"/>
      <c r="H612" s="172"/>
      <c r="I612" s="172"/>
      <c r="J612" s="384"/>
      <c r="K612" s="384"/>
      <c r="L612" s="384"/>
      <c r="M612" s="172"/>
      <c r="N612" s="172"/>
      <c r="O612" s="172"/>
      <c r="P612" s="172"/>
      <c r="Q612" s="172"/>
    </row>
    <row r="613" spans="1:17" customFormat="1" ht="18.75" hidden="1" customHeight="1" x14ac:dyDescent="0.3">
      <c r="A613" s="721" t="s">
        <v>255</v>
      </c>
      <c r="B613" s="721"/>
      <c r="C613" s="173">
        <f t="shared" si="626"/>
        <v>0</v>
      </c>
      <c r="D613" s="173">
        <f t="shared" si="626"/>
        <v>0</v>
      </c>
      <c r="E613" s="173"/>
      <c r="F613" s="173"/>
      <c r="G613" s="173"/>
      <c r="H613" s="173"/>
      <c r="I613" s="173"/>
      <c r="J613" s="385"/>
      <c r="K613" s="385"/>
      <c r="L613" s="385"/>
      <c r="M613" s="173"/>
      <c r="N613" s="173"/>
      <c r="O613" s="173"/>
      <c r="P613" s="173"/>
      <c r="Q613" s="173"/>
    </row>
    <row r="614" spans="1:17" customFormat="1" ht="11.25" hidden="1" customHeight="1" x14ac:dyDescent="0.3">
      <c r="A614" s="198" t="s">
        <v>256</v>
      </c>
      <c r="B614" s="198" t="s">
        <v>137</v>
      </c>
      <c r="C614" s="221">
        <f t="shared" si="626"/>
        <v>0</v>
      </c>
      <c r="D614" s="221">
        <f t="shared" si="626"/>
        <v>0</v>
      </c>
      <c r="E614" s="221"/>
      <c r="F614" s="221"/>
      <c r="G614" s="221"/>
      <c r="H614" s="221"/>
      <c r="I614" s="221"/>
      <c r="J614" s="296"/>
      <c r="K614" s="296"/>
      <c r="L614" s="296"/>
      <c r="M614" s="221"/>
      <c r="N614" s="221"/>
      <c r="O614" s="221"/>
      <c r="P614" s="221"/>
      <c r="Q614" s="221"/>
    </row>
    <row r="615" spans="1:17" customFormat="1" ht="20.25" hidden="1" customHeight="1" x14ac:dyDescent="0.3">
      <c r="A615" s="180" t="s">
        <v>257</v>
      </c>
      <c r="B615" s="204" t="s">
        <v>258</v>
      </c>
      <c r="C615" s="197"/>
      <c r="D615" s="197"/>
      <c r="E615" s="197"/>
      <c r="F615" s="197"/>
      <c r="G615" s="197"/>
      <c r="H615" s="197"/>
      <c r="I615" s="197"/>
      <c r="J615" s="295"/>
      <c r="K615" s="295"/>
      <c r="L615" s="295"/>
      <c r="M615" s="197"/>
      <c r="N615" s="197"/>
      <c r="O615" s="197"/>
      <c r="P615" s="197"/>
      <c r="Q615" s="197"/>
    </row>
    <row r="616" spans="1:17" customFormat="1" ht="21" hidden="1" customHeight="1" x14ac:dyDescent="0.3">
      <c r="A616" s="170" t="s">
        <v>136</v>
      </c>
      <c r="B616" s="171" t="s">
        <v>259</v>
      </c>
      <c r="C616" s="172">
        <f t="shared" ref="C616:D618" si="627">SUM(C617)</f>
        <v>0</v>
      </c>
      <c r="D616" s="172">
        <f t="shared" si="627"/>
        <v>0</v>
      </c>
      <c r="E616" s="172"/>
      <c r="F616" s="172"/>
      <c r="G616" s="172"/>
      <c r="H616" s="172"/>
      <c r="I616" s="172"/>
      <c r="J616" s="384"/>
      <c r="K616" s="384"/>
      <c r="L616" s="384"/>
      <c r="M616" s="172"/>
      <c r="N616" s="172"/>
      <c r="O616" s="172"/>
      <c r="P616" s="172"/>
      <c r="Q616" s="172"/>
    </row>
    <row r="617" spans="1:17" customFormat="1" ht="22.5" hidden="1" customHeight="1" x14ac:dyDescent="0.3">
      <c r="A617" s="721" t="s">
        <v>255</v>
      </c>
      <c r="B617" s="721"/>
      <c r="C617" s="173">
        <f t="shared" si="627"/>
        <v>0</v>
      </c>
      <c r="D617" s="173">
        <f t="shared" si="627"/>
        <v>0</v>
      </c>
      <c r="E617" s="173"/>
      <c r="F617" s="173"/>
      <c r="G617" s="173"/>
      <c r="H617" s="173"/>
      <c r="I617" s="173"/>
      <c r="J617" s="385"/>
      <c r="K617" s="385"/>
      <c r="L617" s="385"/>
      <c r="M617" s="173"/>
      <c r="N617" s="173"/>
      <c r="O617" s="173"/>
      <c r="P617" s="173"/>
      <c r="Q617" s="173"/>
    </row>
    <row r="618" spans="1:17" customFormat="1" ht="22.5" hidden="1" customHeight="1" x14ac:dyDescent="0.3">
      <c r="A618" s="198" t="s">
        <v>256</v>
      </c>
      <c r="B618" s="198" t="s">
        <v>137</v>
      </c>
      <c r="C618" s="212">
        <f t="shared" si="627"/>
        <v>0</v>
      </c>
      <c r="D618" s="212">
        <f t="shared" si="627"/>
        <v>0</v>
      </c>
      <c r="E618" s="212"/>
      <c r="F618" s="212"/>
      <c r="G618" s="212"/>
      <c r="H618" s="212"/>
      <c r="I618" s="212"/>
      <c r="J618" s="255"/>
      <c r="K618" s="255"/>
      <c r="L618" s="255"/>
      <c r="M618" s="212"/>
      <c r="N618" s="212"/>
      <c r="O618" s="212"/>
      <c r="P618" s="212"/>
      <c r="Q618" s="212"/>
    </row>
    <row r="619" spans="1:17" customFormat="1" ht="22.5" hidden="1" customHeight="1" x14ac:dyDescent="0.3">
      <c r="A619" s="180" t="s">
        <v>257</v>
      </c>
      <c r="B619" s="204" t="s">
        <v>258</v>
      </c>
      <c r="C619" s="212"/>
      <c r="D619" s="212"/>
      <c r="E619" s="212"/>
      <c r="F619" s="212"/>
      <c r="G619" s="212"/>
      <c r="H619" s="212"/>
      <c r="I619" s="212"/>
      <c r="J619" s="255"/>
      <c r="K619" s="255"/>
      <c r="L619" s="255"/>
      <c r="M619" s="212"/>
      <c r="N619" s="212"/>
      <c r="O619" s="212"/>
      <c r="P619" s="212"/>
      <c r="Q619" s="212"/>
    </row>
    <row r="620" spans="1:17" customFormat="1" ht="39.6" hidden="1" x14ac:dyDescent="0.3">
      <c r="A620" s="412" t="s">
        <v>346</v>
      </c>
      <c r="B620" s="413" t="s">
        <v>347</v>
      </c>
      <c r="C620" s="239">
        <f t="shared" ref="C620:Q623" si="628">SUM(C621)</f>
        <v>30000</v>
      </c>
      <c r="D620" s="239">
        <f t="shared" si="628"/>
        <v>30000</v>
      </c>
      <c r="E620" s="239">
        <f t="shared" si="628"/>
        <v>0</v>
      </c>
      <c r="F620" s="239">
        <f t="shared" si="628"/>
        <v>0</v>
      </c>
      <c r="G620" s="239">
        <f t="shared" si="628"/>
        <v>27000</v>
      </c>
      <c r="H620" s="239">
        <f t="shared" si="628"/>
        <v>0</v>
      </c>
      <c r="I620" s="239">
        <f t="shared" si="628"/>
        <v>0</v>
      </c>
      <c r="J620" s="239">
        <f t="shared" si="628"/>
        <v>0</v>
      </c>
      <c r="K620" s="239">
        <f t="shared" si="628"/>
        <v>0</v>
      </c>
      <c r="L620" s="239">
        <f t="shared" si="628"/>
        <v>0</v>
      </c>
      <c r="M620" s="239">
        <f t="shared" si="628"/>
        <v>0</v>
      </c>
      <c r="N620" s="239">
        <f t="shared" si="628"/>
        <v>0</v>
      </c>
      <c r="O620" s="239">
        <f t="shared" si="628"/>
        <v>0</v>
      </c>
      <c r="P620" s="239">
        <f t="shared" si="628"/>
        <v>0</v>
      </c>
      <c r="Q620" s="239">
        <f t="shared" si="628"/>
        <v>0</v>
      </c>
    </row>
    <row r="621" spans="1:17" s="6" customFormat="1" ht="14.4" hidden="1" x14ac:dyDescent="0.3">
      <c r="A621" s="721" t="s">
        <v>241</v>
      </c>
      <c r="B621" s="721"/>
      <c r="C621" s="211">
        <f t="shared" si="628"/>
        <v>30000</v>
      </c>
      <c r="D621" s="211">
        <f t="shared" si="628"/>
        <v>30000</v>
      </c>
      <c r="E621" s="211">
        <f t="shared" si="628"/>
        <v>0</v>
      </c>
      <c r="F621" s="211">
        <f t="shared" si="628"/>
        <v>0</v>
      </c>
      <c r="G621" s="211">
        <f t="shared" si="628"/>
        <v>27000</v>
      </c>
      <c r="H621" s="211">
        <f t="shared" si="628"/>
        <v>0</v>
      </c>
      <c r="I621" s="211">
        <f t="shared" si="628"/>
        <v>0</v>
      </c>
      <c r="J621" s="211">
        <f t="shared" si="628"/>
        <v>0</v>
      </c>
      <c r="K621" s="211">
        <f t="shared" si="628"/>
        <v>0</v>
      </c>
      <c r="L621" s="211">
        <f t="shared" si="628"/>
        <v>0</v>
      </c>
      <c r="M621" s="211">
        <f t="shared" si="628"/>
        <v>0</v>
      </c>
      <c r="N621" s="211">
        <f t="shared" si="628"/>
        <v>0</v>
      </c>
      <c r="O621" s="211">
        <f t="shared" si="628"/>
        <v>0</v>
      </c>
      <c r="P621" s="211">
        <f t="shared" si="628"/>
        <v>0</v>
      </c>
      <c r="Q621" s="211">
        <f t="shared" si="628"/>
        <v>0</v>
      </c>
    </row>
    <row r="622" spans="1:17" s="6" customFormat="1" ht="14.4" hidden="1" x14ac:dyDescent="0.3">
      <c r="A622" s="185" t="s">
        <v>317</v>
      </c>
      <c r="B622" s="240" t="s">
        <v>318</v>
      </c>
      <c r="C622" s="241">
        <f t="shared" si="628"/>
        <v>30000</v>
      </c>
      <c r="D622" s="241">
        <f t="shared" si="628"/>
        <v>30000</v>
      </c>
      <c r="E622" s="241">
        <f t="shared" si="628"/>
        <v>0</v>
      </c>
      <c r="F622" s="241">
        <f t="shared" si="628"/>
        <v>0</v>
      </c>
      <c r="G622" s="241">
        <f t="shared" si="628"/>
        <v>27000</v>
      </c>
      <c r="H622" s="241">
        <f t="shared" si="628"/>
        <v>0</v>
      </c>
      <c r="I622" s="241">
        <f t="shared" si="628"/>
        <v>0</v>
      </c>
      <c r="J622" s="241">
        <f t="shared" si="628"/>
        <v>0</v>
      </c>
      <c r="K622" s="241">
        <f t="shared" si="628"/>
        <v>0</v>
      </c>
      <c r="L622" s="241">
        <f t="shared" si="628"/>
        <v>0</v>
      </c>
      <c r="M622" s="241">
        <f t="shared" si="628"/>
        <v>0</v>
      </c>
      <c r="N622" s="241">
        <f t="shared" si="628"/>
        <v>0</v>
      </c>
      <c r="O622" s="241">
        <f t="shared" si="628"/>
        <v>0</v>
      </c>
      <c r="P622" s="241">
        <f t="shared" si="628"/>
        <v>0</v>
      </c>
      <c r="Q622" s="241">
        <f t="shared" si="628"/>
        <v>0</v>
      </c>
    </row>
    <row r="623" spans="1:17" s="6" customFormat="1" ht="14.4" hidden="1" x14ac:dyDescent="0.3">
      <c r="A623" s="198" t="s">
        <v>149</v>
      </c>
      <c r="B623" s="198" t="s">
        <v>12</v>
      </c>
      <c r="C623" s="179">
        <f t="shared" si="628"/>
        <v>30000</v>
      </c>
      <c r="D623" s="179">
        <f t="shared" si="628"/>
        <v>30000</v>
      </c>
      <c r="E623" s="179">
        <f t="shared" si="628"/>
        <v>0</v>
      </c>
      <c r="F623" s="179">
        <f t="shared" si="628"/>
        <v>0</v>
      </c>
      <c r="G623" s="179">
        <f t="shared" si="628"/>
        <v>27000</v>
      </c>
      <c r="H623" s="179">
        <f t="shared" si="628"/>
        <v>0</v>
      </c>
      <c r="I623" s="179">
        <f t="shared" si="628"/>
        <v>0</v>
      </c>
      <c r="J623" s="179">
        <f t="shared" si="628"/>
        <v>0</v>
      </c>
      <c r="K623" s="179">
        <f t="shared" si="628"/>
        <v>0</v>
      </c>
      <c r="L623" s="179">
        <f t="shared" si="628"/>
        <v>0</v>
      </c>
      <c r="M623" s="179">
        <f t="shared" si="628"/>
        <v>0</v>
      </c>
      <c r="N623" s="179">
        <f t="shared" si="628"/>
        <v>0</v>
      </c>
      <c r="O623" s="179">
        <f t="shared" si="628"/>
        <v>0</v>
      </c>
      <c r="P623" s="179">
        <f t="shared" si="628"/>
        <v>0</v>
      </c>
      <c r="Q623" s="179">
        <f t="shared" si="628"/>
        <v>0</v>
      </c>
    </row>
    <row r="624" spans="1:17" customFormat="1" ht="14.4" hidden="1" x14ac:dyDescent="0.3">
      <c r="A624" s="180">
        <v>3213</v>
      </c>
      <c r="B624" s="204" t="s">
        <v>15</v>
      </c>
      <c r="C624" s="212">
        <v>30000</v>
      </c>
      <c r="D624" s="212">
        <v>30000</v>
      </c>
      <c r="E624" s="212"/>
      <c r="F624" s="182">
        <f t="shared" ref="F624" si="629">C624-D624+E624</f>
        <v>0</v>
      </c>
      <c r="G624" s="212">
        <v>27000</v>
      </c>
      <c r="H624" s="212"/>
      <c r="I624" s="212">
        <v>0</v>
      </c>
      <c r="J624" s="255"/>
      <c r="K624" s="255"/>
      <c r="L624" s="255"/>
      <c r="M624" s="212">
        <v>0</v>
      </c>
      <c r="N624" s="212">
        <v>0</v>
      </c>
      <c r="O624" s="212">
        <v>0</v>
      </c>
      <c r="P624" s="212">
        <v>0</v>
      </c>
      <c r="Q624" s="212">
        <v>0</v>
      </c>
    </row>
    <row r="625" spans="1:17" customFormat="1" ht="27.75" customHeight="1" x14ac:dyDescent="0.3">
      <c r="A625" s="242" t="s">
        <v>341</v>
      </c>
      <c r="B625" s="231" t="s">
        <v>378</v>
      </c>
      <c r="C625" s="172">
        <f>SUM(C626,C630)</f>
        <v>14879000</v>
      </c>
      <c r="D625" s="172">
        <f t="shared" ref="D625:N625" si="630">SUM(D626,D630)</f>
        <v>0</v>
      </c>
      <c r="E625" s="172">
        <f t="shared" si="630"/>
        <v>0</v>
      </c>
      <c r="F625" s="172">
        <f t="shared" si="630"/>
        <v>14879000</v>
      </c>
      <c r="G625" s="172">
        <f t="shared" si="630"/>
        <v>14879000</v>
      </c>
      <c r="H625" s="172">
        <f t="shared" si="630"/>
        <v>14879000</v>
      </c>
      <c r="I625" s="172">
        <f>SUM(I630)</f>
        <v>14744000</v>
      </c>
      <c r="J625" s="172">
        <f>SUM(J630)</f>
        <v>0</v>
      </c>
      <c r="K625" s="172">
        <f>SUM(K630)</f>
        <v>8195000</v>
      </c>
      <c r="L625" s="172">
        <f t="shared" si="630"/>
        <v>22939000</v>
      </c>
      <c r="M625" s="172">
        <f t="shared" si="630"/>
        <v>26305000</v>
      </c>
      <c r="N625" s="172">
        <f t="shared" si="630"/>
        <v>4853000</v>
      </c>
      <c r="O625" s="172">
        <f t="shared" ref="O625:P625" si="631">SUM(O626,O630)</f>
        <v>26374000</v>
      </c>
      <c r="P625" s="172">
        <f t="shared" si="631"/>
        <v>4926500</v>
      </c>
      <c r="Q625" s="172">
        <f t="shared" ref="Q625" si="632">SUM(Q626,Q630)</f>
        <v>0</v>
      </c>
    </row>
    <row r="626" spans="1:17" customFormat="1" ht="15" hidden="1" customHeight="1" x14ac:dyDescent="0.3">
      <c r="A626" s="721" t="s">
        <v>232</v>
      </c>
      <c r="B626" s="721"/>
      <c r="C626" s="243">
        <f>SUM(C627)</f>
        <v>0</v>
      </c>
      <c r="D626" s="243">
        <f t="shared" ref="D626:Q627" si="633">SUM(D627)</f>
        <v>0</v>
      </c>
      <c r="E626" s="243">
        <f t="shared" si="633"/>
        <v>0</v>
      </c>
      <c r="F626" s="243">
        <f t="shared" si="633"/>
        <v>0</v>
      </c>
      <c r="G626" s="243">
        <f t="shared" si="633"/>
        <v>14879000</v>
      </c>
      <c r="H626" s="243">
        <f t="shared" si="633"/>
        <v>14879000</v>
      </c>
      <c r="I626" s="243">
        <f t="shared" si="633"/>
        <v>0</v>
      </c>
      <c r="J626" s="395"/>
      <c r="K626" s="395"/>
      <c r="L626" s="395"/>
      <c r="M626" s="243">
        <f t="shared" si="633"/>
        <v>0</v>
      </c>
      <c r="N626" s="243">
        <f t="shared" si="633"/>
        <v>0</v>
      </c>
      <c r="O626" s="243">
        <f t="shared" si="633"/>
        <v>0</v>
      </c>
      <c r="P626" s="243">
        <f t="shared" si="633"/>
        <v>0</v>
      </c>
      <c r="Q626" s="243">
        <f t="shared" si="633"/>
        <v>0</v>
      </c>
    </row>
    <row r="627" spans="1:17" customFormat="1" ht="15" hidden="1" customHeight="1" x14ac:dyDescent="0.3">
      <c r="A627" s="244" t="s">
        <v>317</v>
      </c>
      <c r="B627" s="244" t="s">
        <v>318</v>
      </c>
      <c r="C627" s="245">
        <f>SUM(C628)</f>
        <v>0</v>
      </c>
      <c r="D627" s="245">
        <f t="shared" si="633"/>
        <v>0</v>
      </c>
      <c r="E627" s="245">
        <f t="shared" si="633"/>
        <v>0</v>
      </c>
      <c r="F627" s="245">
        <f t="shared" si="633"/>
        <v>0</v>
      </c>
      <c r="G627" s="245">
        <f t="shared" si="633"/>
        <v>14879000</v>
      </c>
      <c r="H627" s="245">
        <f t="shared" si="633"/>
        <v>14879000</v>
      </c>
      <c r="I627" s="245">
        <f t="shared" si="633"/>
        <v>0</v>
      </c>
      <c r="J627" s="396"/>
      <c r="K627" s="396"/>
      <c r="L627" s="396"/>
      <c r="M627" s="245">
        <f t="shared" si="633"/>
        <v>0</v>
      </c>
      <c r="N627" s="245">
        <f t="shared" si="633"/>
        <v>0</v>
      </c>
      <c r="O627" s="245">
        <f t="shared" si="633"/>
        <v>0</v>
      </c>
      <c r="P627" s="245">
        <f t="shared" si="633"/>
        <v>0</v>
      </c>
      <c r="Q627" s="245">
        <f t="shared" si="633"/>
        <v>0</v>
      </c>
    </row>
    <row r="628" spans="1:17" s="6" customFormat="1" ht="15" hidden="1" customHeight="1" x14ac:dyDescent="0.3">
      <c r="A628" s="246" t="s">
        <v>159</v>
      </c>
      <c r="B628" s="247" t="s">
        <v>123</v>
      </c>
      <c r="C628" s="248">
        <f t="shared" ref="C628:Q628" si="634">SUM(C629)</f>
        <v>0</v>
      </c>
      <c r="D628" s="248">
        <f t="shared" si="634"/>
        <v>0</v>
      </c>
      <c r="E628" s="248">
        <f t="shared" si="634"/>
        <v>0</v>
      </c>
      <c r="F628" s="248">
        <f t="shared" si="634"/>
        <v>0</v>
      </c>
      <c r="G628" s="248">
        <f t="shared" si="634"/>
        <v>14879000</v>
      </c>
      <c r="H628" s="248">
        <f t="shared" si="634"/>
        <v>14879000</v>
      </c>
      <c r="I628" s="248">
        <f t="shared" si="634"/>
        <v>0</v>
      </c>
      <c r="J628" s="254"/>
      <c r="K628" s="254"/>
      <c r="L628" s="254"/>
      <c r="M628" s="248">
        <f t="shared" si="634"/>
        <v>0</v>
      </c>
      <c r="N628" s="248">
        <f t="shared" si="634"/>
        <v>0</v>
      </c>
      <c r="O628" s="248">
        <f t="shared" si="634"/>
        <v>0</v>
      </c>
      <c r="P628" s="248">
        <f t="shared" si="634"/>
        <v>0</v>
      </c>
      <c r="Q628" s="248">
        <f t="shared" si="634"/>
        <v>0</v>
      </c>
    </row>
    <row r="629" spans="1:17" customFormat="1" ht="15" hidden="1" customHeight="1" x14ac:dyDescent="0.3">
      <c r="A629" s="249">
        <v>3239</v>
      </c>
      <c r="B629" s="215" t="s">
        <v>31</v>
      </c>
      <c r="C629" s="212">
        <v>0</v>
      </c>
      <c r="D629" s="212"/>
      <c r="E629" s="212"/>
      <c r="F629" s="182">
        <f t="shared" ref="F629" si="635">C629-D629+E629</f>
        <v>0</v>
      </c>
      <c r="G629" s="250">
        <v>14879000</v>
      </c>
      <c r="H629" s="250">
        <v>14879000</v>
      </c>
      <c r="I629" s="212"/>
      <c r="J629" s="255"/>
      <c r="K629" s="255"/>
      <c r="L629" s="255"/>
      <c r="M629" s="212"/>
      <c r="N629" s="212"/>
      <c r="O629" s="212"/>
      <c r="P629" s="212"/>
      <c r="Q629" s="212"/>
    </row>
    <row r="630" spans="1:17" customFormat="1" ht="14.4" x14ac:dyDescent="0.3">
      <c r="A630" s="721" t="s">
        <v>379</v>
      </c>
      <c r="B630" s="721"/>
      <c r="C630" s="173">
        <f>SUM(C631,C634,C642)</f>
        <v>14879000</v>
      </c>
      <c r="D630" s="173">
        <f t="shared" ref="D630:H630" si="636">SUM(D631,D634,D642)</f>
        <v>0</v>
      </c>
      <c r="E630" s="173">
        <f t="shared" si="636"/>
        <v>0</v>
      </c>
      <c r="F630" s="173">
        <f t="shared" si="636"/>
        <v>14879000</v>
      </c>
      <c r="G630" s="173">
        <f t="shared" si="636"/>
        <v>0</v>
      </c>
      <c r="H630" s="173">
        <f t="shared" si="636"/>
        <v>0</v>
      </c>
      <c r="I630" s="173">
        <f>SUM(I631,I634,I649)</f>
        <v>14744000</v>
      </c>
      <c r="J630" s="173">
        <f>SUM(J631,J634,J649)</f>
        <v>0</v>
      </c>
      <c r="K630" s="173">
        <f>SUM(K631,K634,K649)</f>
        <v>8195000</v>
      </c>
      <c r="L630" s="173">
        <f>SUM(L631,L634,L649)</f>
        <v>22939000</v>
      </c>
      <c r="M630" s="173">
        <f>SUM(M631,M634)</f>
        <v>26305000</v>
      </c>
      <c r="N630" s="173">
        <f>SUM(N631,N634)</f>
        <v>4853000</v>
      </c>
      <c r="O630" s="173">
        <f t="shared" ref="O630:Q630" si="637">SUM(O631,O634,O649)</f>
        <v>26374000</v>
      </c>
      <c r="P630" s="173">
        <f t="shared" si="637"/>
        <v>4926500</v>
      </c>
      <c r="Q630" s="173">
        <f t="shared" si="637"/>
        <v>0</v>
      </c>
    </row>
    <row r="631" spans="1:17" customFormat="1" ht="14.4" x14ac:dyDescent="0.3">
      <c r="A631" s="244" t="s">
        <v>315</v>
      </c>
      <c r="B631" s="206" t="s">
        <v>316</v>
      </c>
      <c r="C631" s="251">
        <f>SUM(C632)</f>
        <v>0</v>
      </c>
      <c r="D631" s="251">
        <f t="shared" ref="D631:Q631" si="638">SUM(D632)</f>
        <v>0</v>
      </c>
      <c r="E631" s="251">
        <f t="shared" si="638"/>
        <v>0</v>
      </c>
      <c r="F631" s="251">
        <f t="shared" si="638"/>
        <v>0</v>
      </c>
      <c r="G631" s="251">
        <f t="shared" si="638"/>
        <v>0</v>
      </c>
      <c r="H631" s="251">
        <f t="shared" si="638"/>
        <v>0</v>
      </c>
      <c r="I631" s="251">
        <f t="shared" si="638"/>
        <v>0</v>
      </c>
      <c r="J631" s="251">
        <f t="shared" si="638"/>
        <v>0</v>
      </c>
      <c r="K631" s="251">
        <f t="shared" si="638"/>
        <v>106000</v>
      </c>
      <c r="L631" s="251">
        <f t="shared" si="638"/>
        <v>106000</v>
      </c>
      <c r="M631" s="251">
        <f t="shared" si="638"/>
        <v>0</v>
      </c>
      <c r="N631" s="251">
        <f t="shared" si="638"/>
        <v>0</v>
      </c>
      <c r="O631" s="251">
        <f t="shared" si="638"/>
        <v>47000</v>
      </c>
      <c r="P631" s="251">
        <f t="shared" si="638"/>
        <v>47000</v>
      </c>
      <c r="Q631" s="251">
        <f t="shared" si="638"/>
        <v>0</v>
      </c>
    </row>
    <row r="632" spans="1:17" customFormat="1" ht="14.4" x14ac:dyDescent="0.3">
      <c r="A632" s="198" t="s">
        <v>143</v>
      </c>
      <c r="B632" s="198" t="s">
        <v>220</v>
      </c>
      <c r="C632" s="248">
        <f t="shared" ref="C632:Q632" si="639">SUM(C633)</f>
        <v>0</v>
      </c>
      <c r="D632" s="248">
        <f t="shared" si="639"/>
        <v>0</v>
      </c>
      <c r="E632" s="248">
        <f t="shared" si="639"/>
        <v>0</v>
      </c>
      <c r="F632" s="248">
        <f t="shared" si="639"/>
        <v>0</v>
      </c>
      <c r="G632" s="248">
        <f t="shared" si="639"/>
        <v>0</v>
      </c>
      <c r="H632" s="248">
        <f t="shared" si="639"/>
        <v>0</v>
      </c>
      <c r="I632" s="248">
        <f t="shared" si="639"/>
        <v>0</v>
      </c>
      <c r="J632" s="248">
        <f t="shared" si="639"/>
        <v>0</v>
      </c>
      <c r="K632" s="248">
        <f t="shared" si="639"/>
        <v>106000</v>
      </c>
      <c r="L632" s="248">
        <f>L633</f>
        <v>106000</v>
      </c>
      <c r="M632" s="248">
        <f t="shared" si="639"/>
        <v>0</v>
      </c>
      <c r="N632" s="248">
        <f t="shared" si="639"/>
        <v>0</v>
      </c>
      <c r="O632" s="248">
        <f t="shared" si="639"/>
        <v>47000</v>
      </c>
      <c r="P632" s="248">
        <f t="shared" si="639"/>
        <v>47000</v>
      </c>
      <c r="Q632" s="248">
        <f t="shared" si="639"/>
        <v>0</v>
      </c>
    </row>
    <row r="633" spans="1:17" customFormat="1" ht="14.4" x14ac:dyDescent="0.3">
      <c r="A633" s="180" t="s">
        <v>144</v>
      </c>
      <c r="B633" s="204" t="s">
        <v>5</v>
      </c>
      <c r="C633" s="212"/>
      <c r="D633" s="212"/>
      <c r="E633" s="212"/>
      <c r="F633" s="182"/>
      <c r="G633" s="212"/>
      <c r="H633" s="212"/>
      <c r="I633" s="212"/>
      <c r="J633" s="255"/>
      <c r="K633" s="255">
        <v>106000</v>
      </c>
      <c r="L633" s="220">
        <f>I633-J633+K633</f>
        <v>106000</v>
      </c>
      <c r="M633" s="212"/>
      <c r="N633" s="212"/>
      <c r="O633" s="212">
        <v>47000</v>
      </c>
      <c r="P633" s="212">
        <v>47000</v>
      </c>
      <c r="Q633" s="212"/>
    </row>
    <row r="634" spans="1:17" customFormat="1" ht="14.4" x14ac:dyDescent="0.3">
      <c r="A634" s="185" t="s">
        <v>317</v>
      </c>
      <c r="B634" s="185" t="s">
        <v>318</v>
      </c>
      <c r="C634" s="218">
        <f>SUM(C637,C640)</f>
        <v>14879000</v>
      </c>
      <c r="D634" s="218">
        <f t="shared" ref="D634:N634" si="640">SUM(D637,D640)</f>
        <v>0</v>
      </c>
      <c r="E634" s="218">
        <f t="shared" si="640"/>
        <v>0</v>
      </c>
      <c r="F634" s="218">
        <f t="shared" si="640"/>
        <v>14879000</v>
      </c>
      <c r="G634" s="218">
        <f t="shared" si="640"/>
        <v>0</v>
      </c>
      <c r="H634" s="218">
        <f t="shared" si="640"/>
        <v>0</v>
      </c>
      <c r="I634" s="218">
        <f t="shared" si="640"/>
        <v>14744000</v>
      </c>
      <c r="J634" s="218">
        <f t="shared" si="640"/>
        <v>0</v>
      </c>
      <c r="K634" s="218">
        <f>SUM(K635,K637)</f>
        <v>8076000</v>
      </c>
      <c r="L634" s="218">
        <f>SUM(L635,L637)</f>
        <v>22820000</v>
      </c>
      <c r="M634" s="218">
        <f t="shared" si="640"/>
        <v>26305000</v>
      </c>
      <c r="N634" s="218">
        <f t="shared" si="640"/>
        <v>4853000</v>
      </c>
      <c r="O634" s="218">
        <f>SUM(O635,O637)</f>
        <v>26327000</v>
      </c>
      <c r="P634" s="218">
        <f>SUM(P635,P637)</f>
        <v>4879500</v>
      </c>
      <c r="Q634" s="218">
        <f t="shared" ref="Q634" si="641">SUM(Q637,Q640)</f>
        <v>0</v>
      </c>
    </row>
    <row r="635" spans="1:17" s="6" customFormat="1" ht="14.4" x14ac:dyDescent="0.3">
      <c r="A635" s="188" t="s">
        <v>149</v>
      </c>
      <c r="B635" s="192" t="s">
        <v>12</v>
      </c>
      <c r="C635" s="179">
        <f t="shared" ref="C635:Q635" si="642">SUM(C636)</f>
        <v>14000</v>
      </c>
      <c r="D635" s="179">
        <f t="shared" si="642"/>
        <v>12000</v>
      </c>
      <c r="E635" s="179">
        <f t="shared" si="642"/>
        <v>0</v>
      </c>
      <c r="F635" s="179">
        <f t="shared" si="642"/>
        <v>2000</v>
      </c>
      <c r="G635" s="179">
        <f t="shared" si="642"/>
        <v>14000</v>
      </c>
      <c r="H635" s="179">
        <f t="shared" si="642"/>
        <v>14000</v>
      </c>
      <c r="I635" s="179">
        <f t="shared" si="642"/>
        <v>0</v>
      </c>
      <c r="J635" s="179">
        <f t="shared" si="642"/>
        <v>0</v>
      </c>
      <c r="K635" s="179">
        <f t="shared" si="642"/>
        <v>2000</v>
      </c>
      <c r="L635" s="179">
        <f t="shared" si="642"/>
        <v>2000</v>
      </c>
      <c r="M635" s="179">
        <f t="shared" si="642"/>
        <v>0</v>
      </c>
      <c r="N635" s="179">
        <f t="shared" si="642"/>
        <v>0</v>
      </c>
      <c r="O635" s="179">
        <f t="shared" si="642"/>
        <v>500</v>
      </c>
      <c r="P635" s="179">
        <f t="shared" si="642"/>
        <v>500</v>
      </c>
      <c r="Q635" s="179">
        <f t="shared" si="642"/>
        <v>0</v>
      </c>
    </row>
    <row r="636" spans="1:17" customFormat="1" ht="14.4" x14ac:dyDescent="0.3">
      <c r="A636" s="189" t="s">
        <v>150</v>
      </c>
      <c r="B636" s="190" t="s">
        <v>13</v>
      </c>
      <c r="C636" s="182">
        <v>14000</v>
      </c>
      <c r="D636" s="182">
        <v>12000</v>
      </c>
      <c r="E636" s="182"/>
      <c r="F636" s="182">
        <f t="shared" ref="F636" si="643">C636-D636+E636</f>
        <v>2000</v>
      </c>
      <c r="G636" s="182">
        <v>14000</v>
      </c>
      <c r="H636" s="182">
        <v>14000</v>
      </c>
      <c r="I636" s="182"/>
      <c r="J636" s="220"/>
      <c r="K636" s="220">
        <v>2000</v>
      </c>
      <c r="L636" s="220">
        <f>I636-J636+K636</f>
        <v>2000</v>
      </c>
      <c r="M636" s="182"/>
      <c r="N636" s="182"/>
      <c r="O636" s="182">
        <v>500</v>
      </c>
      <c r="P636" s="182">
        <v>500</v>
      </c>
      <c r="Q636" s="182"/>
    </row>
    <row r="637" spans="1:17" s="6" customFormat="1" ht="14.4" x14ac:dyDescent="0.3">
      <c r="A637" s="246" t="s">
        <v>159</v>
      </c>
      <c r="B637" s="247" t="s">
        <v>123</v>
      </c>
      <c r="C637" s="248">
        <f>SUM(C638,C639)</f>
        <v>14879000</v>
      </c>
      <c r="D637" s="248">
        <f t="shared" ref="D637:F637" si="644">SUM(D638,D639)</f>
        <v>0</v>
      </c>
      <c r="E637" s="248">
        <f t="shared" si="644"/>
        <v>0</v>
      </c>
      <c r="F637" s="248">
        <f t="shared" si="644"/>
        <v>14879000</v>
      </c>
      <c r="G637" s="248">
        <f t="shared" ref="G637" si="645">SUM(G638,G639)</f>
        <v>0</v>
      </c>
      <c r="H637" s="248">
        <f t="shared" ref="H637" si="646">SUM(H638,H639)</f>
        <v>0</v>
      </c>
      <c r="I637" s="248">
        <f t="shared" ref="I637:L637" si="647">SUM(I638,I639)</f>
        <v>14744000</v>
      </c>
      <c r="J637" s="248">
        <f t="shared" si="647"/>
        <v>0</v>
      </c>
      <c r="K637" s="248">
        <f t="shared" si="647"/>
        <v>8074000</v>
      </c>
      <c r="L637" s="248">
        <f t="shared" si="647"/>
        <v>22818000</v>
      </c>
      <c r="M637" s="248">
        <f t="shared" ref="M637:O637" si="648">SUM(M638,M639)</f>
        <v>26305000</v>
      </c>
      <c r="N637" s="248">
        <f t="shared" ref="N637:P637" si="649">SUM(N638,N639)</f>
        <v>4853000</v>
      </c>
      <c r="O637" s="248">
        <f t="shared" si="648"/>
        <v>26326500</v>
      </c>
      <c r="P637" s="248">
        <f t="shared" si="649"/>
        <v>4879000</v>
      </c>
      <c r="Q637" s="248">
        <f t="shared" ref="Q637" si="650">SUM(Q638,Q639)</f>
        <v>0</v>
      </c>
    </row>
    <row r="638" spans="1:17" s="6" customFormat="1" ht="14.4" x14ac:dyDescent="0.3">
      <c r="A638" s="249">
        <v>3233</v>
      </c>
      <c r="B638" s="215" t="s">
        <v>26</v>
      </c>
      <c r="C638" s="248"/>
      <c r="D638" s="248"/>
      <c r="E638" s="248"/>
      <c r="F638" s="248"/>
      <c r="G638" s="248"/>
      <c r="H638" s="248"/>
      <c r="I638" s="212"/>
      <c r="J638" s="255"/>
      <c r="K638" s="255">
        <v>66000</v>
      </c>
      <c r="L638" s="220">
        <f>I638-J638+K638</f>
        <v>66000</v>
      </c>
      <c r="M638" s="212"/>
      <c r="N638" s="212"/>
      <c r="O638" s="212">
        <v>21500</v>
      </c>
      <c r="P638" s="212">
        <v>26000</v>
      </c>
      <c r="Q638" s="212"/>
    </row>
    <row r="639" spans="1:17" customFormat="1" ht="14.4" x14ac:dyDescent="0.3">
      <c r="A639" s="249">
        <v>3239</v>
      </c>
      <c r="B639" s="215" t="s">
        <v>31</v>
      </c>
      <c r="C639" s="212">
        <v>14879000</v>
      </c>
      <c r="D639" s="212"/>
      <c r="E639" s="212"/>
      <c r="F639" s="182">
        <f t="shared" ref="F639" si="651">C639-D639+E639</f>
        <v>14879000</v>
      </c>
      <c r="G639" s="212"/>
      <c r="H639" s="212"/>
      <c r="I639" s="191">
        <f>23000000-8256000</f>
        <v>14744000</v>
      </c>
      <c r="J639" s="233"/>
      <c r="K639" s="233">
        <v>8008000</v>
      </c>
      <c r="L639" s="220">
        <f>I639-J639+K639</f>
        <v>22752000</v>
      </c>
      <c r="M639" s="191">
        <v>26305000</v>
      </c>
      <c r="N639" s="191">
        <v>4853000</v>
      </c>
      <c r="O639" s="191">
        <v>26305000</v>
      </c>
      <c r="P639" s="191">
        <v>4853000</v>
      </c>
      <c r="Q639" s="191"/>
    </row>
    <row r="640" spans="1:17" customFormat="1" ht="14.4" hidden="1" x14ac:dyDescent="0.3">
      <c r="A640" s="198" t="s">
        <v>170</v>
      </c>
      <c r="B640" s="198" t="s">
        <v>33</v>
      </c>
      <c r="C640" s="248">
        <f>SUM(C641)</f>
        <v>0</v>
      </c>
      <c r="D640" s="248">
        <f t="shared" ref="D640:Q640" si="652">SUM(D641)</f>
        <v>0</v>
      </c>
      <c r="E640" s="248">
        <f t="shared" si="652"/>
        <v>0</v>
      </c>
      <c r="F640" s="248">
        <f t="shared" si="652"/>
        <v>0</v>
      </c>
      <c r="G640" s="248">
        <f t="shared" si="652"/>
        <v>0</v>
      </c>
      <c r="H640" s="248">
        <f t="shared" si="652"/>
        <v>0</v>
      </c>
      <c r="I640" s="248">
        <f t="shared" si="652"/>
        <v>0</v>
      </c>
      <c r="J640" s="254"/>
      <c r="K640" s="254"/>
      <c r="L640" s="254"/>
      <c r="M640" s="248">
        <f t="shared" si="652"/>
        <v>0</v>
      </c>
      <c r="N640" s="248">
        <f t="shared" si="652"/>
        <v>0</v>
      </c>
      <c r="O640" s="248">
        <f t="shared" si="652"/>
        <v>0</v>
      </c>
      <c r="P640" s="248">
        <f t="shared" si="652"/>
        <v>0</v>
      </c>
      <c r="Q640" s="248">
        <f t="shared" si="652"/>
        <v>0</v>
      </c>
    </row>
    <row r="641" spans="1:17" customFormat="1" ht="14.4" hidden="1" x14ac:dyDescent="0.3">
      <c r="A641" s="189" t="s">
        <v>172</v>
      </c>
      <c r="B641" s="190" t="s">
        <v>36</v>
      </c>
      <c r="C641" s="182"/>
      <c r="D641" s="182"/>
      <c r="E641" s="182"/>
      <c r="F641" s="182"/>
      <c r="G641" s="182"/>
      <c r="H641" s="182"/>
      <c r="I641" s="182"/>
      <c r="J641" s="220"/>
      <c r="K641" s="220"/>
      <c r="L641" s="220"/>
      <c r="M641" s="182"/>
      <c r="N641" s="182"/>
      <c r="O641" s="182"/>
      <c r="P641" s="182"/>
      <c r="Q641" s="182"/>
    </row>
    <row r="642" spans="1:17" customFormat="1" ht="26.4" hidden="1" x14ac:dyDescent="0.3">
      <c r="A642" s="205" t="s">
        <v>323</v>
      </c>
      <c r="B642" s="206" t="s">
        <v>324</v>
      </c>
      <c r="C642" s="252">
        <f>SUM(C643,C647)</f>
        <v>0</v>
      </c>
      <c r="D642" s="252">
        <f t="shared" ref="D642:N642" si="653">SUM(D643,D647)</f>
        <v>0</v>
      </c>
      <c r="E642" s="252">
        <f t="shared" si="653"/>
        <v>0</v>
      </c>
      <c r="F642" s="252">
        <f t="shared" si="653"/>
        <v>0</v>
      </c>
      <c r="G642" s="252">
        <f t="shared" si="653"/>
        <v>0</v>
      </c>
      <c r="H642" s="252">
        <f t="shared" si="653"/>
        <v>0</v>
      </c>
      <c r="I642" s="252">
        <f t="shared" si="653"/>
        <v>0</v>
      </c>
      <c r="J642" s="398"/>
      <c r="K642" s="398"/>
      <c r="L642" s="398"/>
      <c r="M642" s="252">
        <f t="shared" si="653"/>
        <v>0</v>
      </c>
      <c r="N642" s="252">
        <f t="shared" si="653"/>
        <v>0</v>
      </c>
      <c r="O642" s="252">
        <f t="shared" ref="O642:P642" si="654">SUM(O643,O647)</f>
        <v>0</v>
      </c>
      <c r="P642" s="252">
        <f t="shared" si="654"/>
        <v>0</v>
      </c>
      <c r="Q642" s="252">
        <f t="shared" ref="Q642" si="655">SUM(Q643,Q647)</f>
        <v>0</v>
      </c>
    </row>
    <row r="643" spans="1:17" customFormat="1" ht="14.4" hidden="1" x14ac:dyDescent="0.3">
      <c r="A643" s="198" t="s">
        <v>177</v>
      </c>
      <c r="B643" s="198" t="s">
        <v>129</v>
      </c>
      <c r="C643" s="248">
        <f t="shared" ref="C643:N643" si="656">SUM(C644:C646)</f>
        <v>0</v>
      </c>
      <c r="D643" s="248">
        <f t="shared" si="656"/>
        <v>0</v>
      </c>
      <c r="E643" s="248">
        <f t="shared" si="656"/>
        <v>0</v>
      </c>
      <c r="F643" s="248">
        <f t="shared" si="656"/>
        <v>0</v>
      </c>
      <c r="G643" s="248">
        <f t="shared" si="656"/>
        <v>0</v>
      </c>
      <c r="H643" s="248">
        <f t="shared" si="656"/>
        <v>0</v>
      </c>
      <c r="I643" s="248">
        <f t="shared" si="656"/>
        <v>0</v>
      </c>
      <c r="J643" s="254"/>
      <c r="K643" s="254"/>
      <c r="L643" s="254"/>
      <c r="M643" s="248">
        <f t="shared" si="656"/>
        <v>0</v>
      </c>
      <c r="N643" s="248">
        <f t="shared" si="656"/>
        <v>0</v>
      </c>
      <c r="O643" s="248">
        <f t="shared" ref="O643:P643" si="657">SUM(O644:O646)</f>
        <v>0</v>
      </c>
      <c r="P643" s="248">
        <f t="shared" si="657"/>
        <v>0</v>
      </c>
      <c r="Q643" s="248">
        <f t="shared" ref="Q643" si="658">SUM(Q644:Q646)</f>
        <v>0</v>
      </c>
    </row>
    <row r="644" spans="1:17" customFormat="1" ht="14.4" hidden="1" x14ac:dyDescent="0.3">
      <c r="A644" s="180">
        <v>4223</v>
      </c>
      <c r="B644" s="204" t="s">
        <v>59</v>
      </c>
      <c r="C644" s="212"/>
      <c r="D644" s="212"/>
      <c r="E644" s="212"/>
      <c r="F644" s="182"/>
      <c r="G644" s="212"/>
      <c r="H644" s="212"/>
      <c r="I644" s="212"/>
      <c r="J644" s="255"/>
      <c r="K644" s="255"/>
      <c r="L644" s="255"/>
      <c r="M644" s="212"/>
      <c r="N644" s="212"/>
      <c r="O644" s="212"/>
      <c r="P644" s="212"/>
      <c r="Q644" s="212"/>
    </row>
    <row r="645" spans="1:17" customFormat="1" ht="14.4" hidden="1" x14ac:dyDescent="0.3">
      <c r="A645" s="180">
        <v>4225</v>
      </c>
      <c r="B645" s="204" t="s">
        <v>105</v>
      </c>
      <c r="C645" s="212"/>
      <c r="D645" s="212"/>
      <c r="E645" s="212"/>
      <c r="F645" s="182">
        <f t="shared" ref="F645" si="659">C645-D645+E645</f>
        <v>0</v>
      </c>
      <c r="G645" s="212"/>
      <c r="H645" s="212"/>
      <c r="I645" s="212"/>
      <c r="J645" s="255"/>
      <c r="K645" s="255"/>
      <c r="L645" s="255"/>
      <c r="M645" s="212"/>
      <c r="N645" s="212"/>
      <c r="O645" s="212"/>
      <c r="P645" s="212"/>
      <c r="Q645" s="212"/>
    </row>
    <row r="646" spans="1:17" customFormat="1" ht="14.4" hidden="1" x14ac:dyDescent="0.3">
      <c r="A646" s="180" t="s">
        <v>180</v>
      </c>
      <c r="B646" s="204" t="s">
        <v>60</v>
      </c>
      <c r="C646" s="212"/>
      <c r="D646" s="212"/>
      <c r="E646" s="212"/>
      <c r="F646" s="182"/>
      <c r="G646" s="212"/>
      <c r="H646" s="212"/>
      <c r="I646" s="212"/>
      <c r="J646" s="255"/>
      <c r="K646" s="255"/>
      <c r="L646" s="255"/>
      <c r="M646" s="212"/>
      <c r="N646" s="212"/>
      <c r="O646" s="212"/>
      <c r="P646" s="212"/>
      <c r="Q646" s="212"/>
    </row>
    <row r="647" spans="1:17" customFormat="1" ht="14.4" hidden="1" x14ac:dyDescent="0.3">
      <c r="A647" s="198" t="s">
        <v>181</v>
      </c>
      <c r="B647" s="198" t="s">
        <v>61</v>
      </c>
      <c r="C647" s="248">
        <f>SUM(C648)</f>
        <v>0</v>
      </c>
      <c r="D647" s="248">
        <f t="shared" ref="D647:Q647" si="660">SUM(D648)</f>
        <v>0</v>
      </c>
      <c r="E647" s="248">
        <f t="shared" si="660"/>
        <v>0</v>
      </c>
      <c r="F647" s="248">
        <f t="shared" si="660"/>
        <v>0</v>
      </c>
      <c r="G647" s="248">
        <f t="shared" si="660"/>
        <v>0</v>
      </c>
      <c r="H647" s="248">
        <f t="shared" si="660"/>
        <v>0</v>
      </c>
      <c r="I647" s="248">
        <f t="shared" si="660"/>
        <v>0</v>
      </c>
      <c r="J647" s="254"/>
      <c r="K647" s="254"/>
      <c r="L647" s="254"/>
      <c r="M647" s="248">
        <f t="shared" si="660"/>
        <v>0</v>
      </c>
      <c r="N647" s="248">
        <f t="shared" si="660"/>
        <v>0</v>
      </c>
      <c r="O647" s="248">
        <f t="shared" si="660"/>
        <v>0</v>
      </c>
      <c r="P647" s="248">
        <f t="shared" si="660"/>
        <v>0</v>
      </c>
      <c r="Q647" s="248">
        <f t="shared" si="660"/>
        <v>0</v>
      </c>
    </row>
    <row r="648" spans="1:17" customFormat="1" ht="14.4" hidden="1" x14ac:dyDescent="0.3">
      <c r="A648" s="180">
        <v>4231</v>
      </c>
      <c r="B648" s="204" t="s">
        <v>62</v>
      </c>
      <c r="C648" s="212"/>
      <c r="D648" s="212"/>
      <c r="E648" s="212"/>
      <c r="F648" s="182"/>
      <c r="G648" s="212"/>
      <c r="H648" s="212"/>
      <c r="I648" s="212"/>
      <c r="J648" s="255"/>
      <c r="K648" s="255"/>
      <c r="L648" s="255"/>
      <c r="M648" s="212"/>
      <c r="N648" s="212"/>
      <c r="O648" s="212"/>
      <c r="P648" s="212"/>
      <c r="Q648" s="212"/>
    </row>
    <row r="649" spans="1:17" customFormat="1" ht="26.4" hidden="1" x14ac:dyDescent="0.3">
      <c r="A649" s="174" t="s">
        <v>323</v>
      </c>
      <c r="B649" s="186" t="s">
        <v>324</v>
      </c>
      <c r="C649" s="176">
        <f>SUM(C650)</f>
        <v>14000</v>
      </c>
      <c r="D649" s="176">
        <f t="shared" ref="D649:Q649" si="661">SUM(D650)</f>
        <v>0</v>
      </c>
      <c r="E649" s="176">
        <f t="shared" si="661"/>
        <v>0</v>
      </c>
      <c r="F649" s="176">
        <f t="shared" si="661"/>
        <v>14000</v>
      </c>
      <c r="G649" s="176">
        <f>SUM(G650)</f>
        <v>5000</v>
      </c>
      <c r="H649" s="176">
        <f>SUM(H650)</f>
        <v>5000</v>
      </c>
      <c r="I649" s="176">
        <f t="shared" si="661"/>
        <v>0</v>
      </c>
      <c r="J649" s="176">
        <f t="shared" si="661"/>
        <v>0</v>
      </c>
      <c r="K649" s="176">
        <f t="shared" si="661"/>
        <v>13000</v>
      </c>
      <c r="L649" s="176">
        <f t="shared" si="661"/>
        <v>13000</v>
      </c>
      <c r="M649" s="176">
        <f t="shared" si="661"/>
        <v>0</v>
      </c>
      <c r="N649" s="176">
        <f t="shared" si="661"/>
        <v>0</v>
      </c>
      <c r="O649" s="176">
        <f t="shared" si="661"/>
        <v>0</v>
      </c>
      <c r="P649" s="176">
        <f t="shared" si="661"/>
        <v>0</v>
      </c>
      <c r="Q649" s="176">
        <f t="shared" si="661"/>
        <v>0</v>
      </c>
    </row>
    <row r="650" spans="1:17" customFormat="1" ht="14.4" hidden="1" x14ac:dyDescent="0.3">
      <c r="A650" s="177">
        <v>422</v>
      </c>
      <c r="B650" s="192" t="s">
        <v>53</v>
      </c>
      <c r="C650" s="221">
        <f t="shared" ref="C650:Q650" si="662">SUM(C651)</f>
        <v>14000</v>
      </c>
      <c r="D650" s="221">
        <f t="shared" si="662"/>
        <v>0</v>
      </c>
      <c r="E650" s="221">
        <f t="shared" si="662"/>
        <v>0</v>
      </c>
      <c r="F650" s="221">
        <f t="shared" si="662"/>
        <v>14000</v>
      </c>
      <c r="G650" s="221">
        <f t="shared" si="662"/>
        <v>5000</v>
      </c>
      <c r="H650" s="221">
        <f t="shared" si="662"/>
        <v>5000</v>
      </c>
      <c r="I650" s="221">
        <f>SUM(I651)</f>
        <v>0</v>
      </c>
      <c r="J650" s="221">
        <f>SUM(J651)</f>
        <v>0</v>
      </c>
      <c r="K650" s="221">
        <f>SUM(K651)</f>
        <v>13000</v>
      </c>
      <c r="L650" s="221">
        <f t="shared" si="662"/>
        <v>13000</v>
      </c>
      <c r="M650" s="221">
        <f t="shared" si="662"/>
        <v>0</v>
      </c>
      <c r="N650" s="221">
        <f t="shared" si="662"/>
        <v>0</v>
      </c>
      <c r="O650" s="221">
        <f t="shared" si="662"/>
        <v>0</v>
      </c>
      <c r="P650" s="221">
        <f t="shared" si="662"/>
        <v>0</v>
      </c>
      <c r="Q650" s="221">
        <f t="shared" si="662"/>
        <v>0</v>
      </c>
    </row>
    <row r="651" spans="1:17" customFormat="1" ht="13.5" hidden="1" customHeight="1" x14ac:dyDescent="0.3">
      <c r="A651" s="180">
        <v>4221</v>
      </c>
      <c r="B651" s="190" t="s">
        <v>54</v>
      </c>
      <c r="C651" s="182">
        <v>14000</v>
      </c>
      <c r="D651" s="182"/>
      <c r="E651" s="182"/>
      <c r="F651" s="182">
        <f t="shared" ref="F651" si="663">C651-D651+E651</f>
        <v>14000</v>
      </c>
      <c r="G651" s="182">
        <v>5000</v>
      </c>
      <c r="H651" s="182">
        <v>5000</v>
      </c>
      <c r="I651" s="182"/>
      <c r="J651" s="220"/>
      <c r="K651" s="220">
        <v>13000</v>
      </c>
      <c r="L651" s="220">
        <f>I651-J651+K651</f>
        <v>13000</v>
      </c>
      <c r="M651" s="182"/>
      <c r="N651" s="182"/>
      <c r="O651" s="182"/>
      <c r="P651" s="182"/>
      <c r="Q651" s="182"/>
    </row>
    <row r="652" spans="1:17" s="6" customFormat="1" ht="34.5" hidden="1" customHeight="1" x14ac:dyDescent="0.3">
      <c r="A652" s="410" t="s">
        <v>133</v>
      </c>
      <c r="B652" s="411" t="s">
        <v>260</v>
      </c>
      <c r="C652" s="172">
        <f>SUM(C653+C681)</f>
        <v>31862600</v>
      </c>
      <c r="D652" s="172">
        <f t="shared" ref="D652:F652" si="664">SUM(D653+D681)</f>
        <v>3361300</v>
      </c>
      <c r="E652" s="172">
        <f t="shared" si="664"/>
        <v>210600</v>
      </c>
      <c r="F652" s="172">
        <f t="shared" si="664"/>
        <v>28711900</v>
      </c>
      <c r="G652" s="172">
        <f t="shared" ref="G652:H652" si="665">SUM(G653+G681)</f>
        <v>0</v>
      </c>
      <c r="H652" s="172">
        <f t="shared" si="665"/>
        <v>0</v>
      </c>
      <c r="I652" s="172">
        <f t="shared" ref="I652:M652" si="666">SUM(I653+I681)</f>
        <v>0</v>
      </c>
      <c r="J652" s="172">
        <f t="shared" si="666"/>
        <v>0</v>
      </c>
      <c r="K652" s="172">
        <f t="shared" si="666"/>
        <v>0</v>
      </c>
      <c r="L652" s="172">
        <f t="shared" si="666"/>
        <v>0</v>
      </c>
      <c r="M652" s="172">
        <f t="shared" si="666"/>
        <v>0</v>
      </c>
      <c r="N652" s="172">
        <f t="shared" ref="N652:O652" si="667">SUM(N653+N681)</f>
        <v>0</v>
      </c>
      <c r="O652" s="172">
        <f t="shared" si="667"/>
        <v>0</v>
      </c>
      <c r="P652" s="172">
        <f t="shared" ref="P652:Q652" si="668">SUM(P653+P681)</f>
        <v>0</v>
      </c>
      <c r="Q652" s="172">
        <f t="shared" si="668"/>
        <v>0</v>
      </c>
    </row>
    <row r="653" spans="1:17" customFormat="1" ht="19.5" hidden="1" customHeight="1" x14ac:dyDescent="0.3">
      <c r="A653" s="721" t="s">
        <v>232</v>
      </c>
      <c r="B653" s="721"/>
      <c r="C653" s="173">
        <f>SUM(C654,C660,C678)</f>
        <v>1296100</v>
      </c>
      <c r="D653" s="173">
        <f t="shared" ref="D653:E653" si="669">SUM(D654,D660,D678)</f>
        <v>330000</v>
      </c>
      <c r="E653" s="173">
        <f t="shared" si="669"/>
        <v>0</v>
      </c>
      <c r="F653" s="173">
        <f t="shared" ref="F653" si="670">SUM(F654,F660,F678)</f>
        <v>966100</v>
      </c>
      <c r="G653" s="173">
        <f t="shared" ref="G653:H653" si="671">SUM(G654,G660,G678)</f>
        <v>0</v>
      </c>
      <c r="H653" s="173">
        <f t="shared" si="671"/>
        <v>0</v>
      </c>
      <c r="I653" s="173">
        <f t="shared" ref="I653:M653" si="672">SUM(I654,I660,I678)</f>
        <v>0</v>
      </c>
      <c r="J653" s="173">
        <f t="shared" si="672"/>
        <v>0</v>
      </c>
      <c r="K653" s="173">
        <f t="shared" si="672"/>
        <v>0</v>
      </c>
      <c r="L653" s="173">
        <f t="shared" si="672"/>
        <v>0</v>
      </c>
      <c r="M653" s="173">
        <f t="shared" si="672"/>
        <v>0</v>
      </c>
      <c r="N653" s="173">
        <f t="shared" ref="N653:O653" si="673">SUM(N654,N660,N678)</f>
        <v>0</v>
      </c>
      <c r="O653" s="173">
        <f t="shared" si="673"/>
        <v>0</v>
      </c>
      <c r="P653" s="173">
        <f t="shared" ref="P653:Q653" si="674">SUM(P654,P660,P678)</f>
        <v>0</v>
      </c>
      <c r="Q653" s="173">
        <f t="shared" si="674"/>
        <v>0</v>
      </c>
    </row>
    <row r="654" spans="1:17" customFormat="1" ht="19.5" hidden="1" customHeight="1" x14ac:dyDescent="0.3">
      <c r="A654" s="185" t="s">
        <v>315</v>
      </c>
      <c r="B654" s="186" t="s">
        <v>316</v>
      </c>
      <c r="C654" s="187">
        <f>SUM(C655)</f>
        <v>44000</v>
      </c>
      <c r="D654" s="187">
        <f t="shared" ref="D654:Q654" si="675">SUM(D655)</f>
        <v>0</v>
      </c>
      <c r="E654" s="187">
        <f t="shared" si="675"/>
        <v>0</v>
      </c>
      <c r="F654" s="187">
        <f t="shared" si="675"/>
        <v>44000</v>
      </c>
      <c r="G654" s="187">
        <f t="shared" si="675"/>
        <v>0</v>
      </c>
      <c r="H654" s="187">
        <f t="shared" si="675"/>
        <v>0</v>
      </c>
      <c r="I654" s="187">
        <f t="shared" si="675"/>
        <v>0</v>
      </c>
      <c r="J654" s="187">
        <f t="shared" si="675"/>
        <v>0</v>
      </c>
      <c r="K654" s="187">
        <f t="shared" si="675"/>
        <v>0</v>
      </c>
      <c r="L654" s="187">
        <f t="shared" si="675"/>
        <v>0</v>
      </c>
      <c r="M654" s="187">
        <f t="shared" si="675"/>
        <v>0</v>
      </c>
      <c r="N654" s="187">
        <f t="shared" si="675"/>
        <v>0</v>
      </c>
      <c r="O654" s="187">
        <f t="shared" si="675"/>
        <v>0</v>
      </c>
      <c r="P654" s="187">
        <f t="shared" si="675"/>
        <v>0</v>
      </c>
      <c r="Q654" s="187">
        <f t="shared" si="675"/>
        <v>0</v>
      </c>
    </row>
    <row r="655" spans="1:17" s="6" customFormat="1" ht="14.4" hidden="1" x14ac:dyDescent="0.3">
      <c r="A655" s="198" t="s">
        <v>143</v>
      </c>
      <c r="B655" s="198" t="s">
        <v>220</v>
      </c>
      <c r="C655" s="248">
        <f t="shared" ref="C655:Q655" si="676">SUM(C656)</f>
        <v>44000</v>
      </c>
      <c r="D655" s="248">
        <f t="shared" si="676"/>
        <v>0</v>
      </c>
      <c r="E655" s="248">
        <f t="shared" si="676"/>
        <v>0</v>
      </c>
      <c r="F655" s="248">
        <f t="shared" si="676"/>
        <v>44000</v>
      </c>
      <c r="G655" s="248">
        <f t="shared" si="676"/>
        <v>0</v>
      </c>
      <c r="H655" s="248">
        <f t="shared" si="676"/>
        <v>0</v>
      </c>
      <c r="I655" s="248">
        <f t="shared" si="676"/>
        <v>0</v>
      </c>
      <c r="J655" s="248">
        <f t="shared" si="676"/>
        <v>0</v>
      </c>
      <c r="K655" s="248">
        <f t="shared" si="676"/>
        <v>0</v>
      </c>
      <c r="L655" s="248">
        <f t="shared" si="676"/>
        <v>0</v>
      </c>
      <c r="M655" s="248">
        <f t="shared" si="676"/>
        <v>0</v>
      </c>
      <c r="N655" s="248">
        <f t="shared" si="676"/>
        <v>0</v>
      </c>
      <c r="O655" s="248">
        <f t="shared" si="676"/>
        <v>0</v>
      </c>
      <c r="P655" s="248">
        <f t="shared" si="676"/>
        <v>0</v>
      </c>
      <c r="Q655" s="248">
        <f t="shared" si="676"/>
        <v>0</v>
      </c>
    </row>
    <row r="656" spans="1:17" customFormat="1" ht="14.4" hidden="1" x14ac:dyDescent="0.3">
      <c r="A656" s="180" t="s">
        <v>144</v>
      </c>
      <c r="B656" s="204" t="s">
        <v>5</v>
      </c>
      <c r="C656" s="212">
        <v>44000</v>
      </c>
      <c r="D656" s="212"/>
      <c r="E656" s="212"/>
      <c r="F656" s="182">
        <f t="shared" ref="F656" si="677">C656-D656+E656</f>
        <v>44000</v>
      </c>
      <c r="G656" s="212"/>
      <c r="H656" s="212"/>
      <c r="I656" s="212"/>
      <c r="J656" s="255"/>
      <c r="K656" s="255"/>
      <c r="L656" s="255"/>
      <c r="M656" s="212"/>
      <c r="N656" s="212"/>
      <c r="O656" s="212"/>
      <c r="P656" s="212"/>
      <c r="Q656" s="212"/>
    </row>
    <row r="657" spans="1:17" s="6" customFormat="1" ht="14.4" hidden="1" x14ac:dyDescent="0.3">
      <c r="A657" s="198" t="s">
        <v>146</v>
      </c>
      <c r="B657" s="198" t="s">
        <v>126</v>
      </c>
      <c r="C657" s="248">
        <f t="shared" ref="C657:D657" si="678">SUM(C658:C659)</f>
        <v>0</v>
      </c>
      <c r="D657" s="248">
        <f t="shared" si="678"/>
        <v>0</v>
      </c>
      <c r="E657" s="248"/>
      <c r="F657" s="248"/>
      <c r="G657" s="248"/>
      <c r="H657" s="248"/>
      <c r="I657" s="248"/>
      <c r="J657" s="254"/>
      <c r="K657" s="254"/>
      <c r="L657" s="254"/>
      <c r="M657" s="248"/>
      <c r="N657" s="248"/>
      <c r="O657" s="248"/>
      <c r="P657" s="248"/>
      <c r="Q657" s="248"/>
    </row>
    <row r="658" spans="1:17" customFormat="1" ht="14.4" hidden="1" x14ac:dyDescent="0.3">
      <c r="A658" s="180" t="s">
        <v>147</v>
      </c>
      <c r="B658" s="204" t="s">
        <v>127</v>
      </c>
      <c r="C658" s="212"/>
      <c r="D658" s="212"/>
      <c r="E658" s="212"/>
      <c r="F658" s="212"/>
      <c r="G658" s="212"/>
      <c r="H658" s="212"/>
      <c r="I658" s="212"/>
      <c r="J658" s="255"/>
      <c r="K658" s="255"/>
      <c r="L658" s="255"/>
      <c r="M658" s="212"/>
      <c r="N658" s="212"/>
      <c r="O658" s="212"/>
      <c r="P658" s="212"/>
      <c r="Q658" s="212"/>
    </row>
    <row r="659" spans="1:17" customFormat="1" ht="14.4" hidden="1" x14ac:dyDescent="0.3">
      <c r="A659" s="180" t="s">
        <v>148</v>
      </c>
      <c r="B659" s="204" t="s">
        <v>128</v>
      </c>
      <c r="C659" s="212"/>
      <c r="D659" s="212"/>
      <c r="E659" s="212"/>
      <c r="F659" s="212"/>
      <c r="G659" s="212"/>
      <c r="H659" s="212"/>
      <c r="I659" s="212"/>
      <c r="J659" s="255"/>
      <c r="K659" s="255"/>
      <c r="L659" s="255"/>
      <c r="M659" s="212"/>
      <c r="N659" s="212"/>
      <c r="O659" s="212"/>
      <c r="P659" s="212"/>
      <c r="Q659" s="212"/>
    </row>
    <row r="660" spans="1:17" customFormat="1" ht="14.4" hidden="1" x14ac:dyDescent="0.3">
      <c r="A660" s="185" t="s">
        <v>317</v>
      </c>
      <c r="B660" s="185" t="s">
        <v>318</v>
      </c>
      <c r="C660" s="218">
        <f>SUM(C661,C666)</f>
        <v>1133100</v>
      </c>
      <c r="D660" s="218">
        <f t="shared" ref="D660:F660" si="679">SUM(D661,D666)</f>
        <v>330000</v>
      </c>
      <c r="E660" s="218">
        <f t="shared" si="679"/>
        <v>0</v>
      </c>
      <c r="F660" s="218">
        <f t="shared" si="679"/>
        <v>803100</v>
      </c>
      <c r="G660" s="218">
        <f t="shared" ref="D660:Q661" si="680">SUM(G661)</f>
        <v>0</v>
      </c>
      <c r="H660" s="218">
        <f t="shared" si="680"/>
        <v>0</v>
      </c>
      <c r="I660" s="218">
        <f t="shared" si="680"/>
        <v>0</v>
      </c>
      <c r="J660" s="218">
        <f t="shared" si="680"/>
        <v>0</v>
      </c>
      <c r="K660" s="218">
        <f t="shared" si="680"/>
        <v>0</v>
      </c>
      <c r="L660" s="218">
        <f t="shared" si="680"/>
        <v>0</v>
      </c>
      <c r="M660" s="218">
        <f t="shared" si="680"/>
        <v>0</v>
      </c>
      <c r="N660" s="218">
        <f t="shared" si="680"/>
        <v>0</v>
      </c>
      <c r="O660" s="218">
        <f t="shared" si="680"/>
        <v>0</v>
      </c>
      <c r="P660" s="218">
        <f t="shared" si="680"/>
        <v>0</v>
      </c>
      <c r="Q660" s="218">
        <f t="shared" si="680"/>
        <v>0</v>
      </c>
    </row>
    <row r="661" spans="1:17" s="6" customFormat="1" ht="14.4" hidden="1" x14ac:dyDescent="0.3">
      <c r="A661" s="198" t="s">
        <v>149</v>
      </c>
      <c r="B661" s="198" t="s">
        <v>12</v>
      </c>
      <c r="C661" s="248">
        <f>SUM(C662)</f>
        <v>4000</v>
      </c>
      <c r="D661" s="248">
        <f t="shared" si="680"/>
        <v>0</v>
      </c>
      <c r="E661" s="248">
        <f t="shared" si="680"/>
        <v>0</v>
      </c>
      <c r="F661" s="248">
        <f t="shared" si="680"/>
        <v>4000</v>
      </c>
      <c r="G661" s="248">
        <f t="shared" ref="G661:N661" si="681">SUM(G662:G669)</f>
        <v>0</v>
      </c>
      <c r="H661" s="248">
        <f t="shared" si="681"/>
        <v>0</v>
      </c>
      <c r="I661" s="248">
        <f t="shared" si="681"/>
        <v>0</v>
      </c>
      <c r="J661" s="248">
        <f t="shared" si="681"/>
        <v>0</v>
      </c>
      <c r="K661" s="248">
        <f t="shared" si="681"/>
        <v>0</v>
      </c>
      <c r="L661" s="248">
        <f t="shared" si="681"/>
        <v>0</v>
      </c>
      <c r="M661" s="248">
        <f t="shared" si="681"/>
        <v>0</v>
      </c>
      <c r="N661" s="248">
        <f t="shared" si="681"/>
        <v>0</v>
      </c>
      <c r="O661" s="248">
        <f t="shared" ref="O661:P661" si="682">SUM(O662:O669)</f>
        <v>0</v>
      </c>
      <c r="P661" s="248">
        <f t="shared" si="682"/>
        <v>0</v>
      </c>
      <c r="Q661" s="248">
        <f t="shared" ref="Q661" si="683">SUM(Q662:Q669)</f>
        <v>0</v>
      </c>
    </row>
    <row r="662" spans="1:17" customFormat="1" ht="14.4" hidden="1" x14ac:dyDescent="0.3">
      <c r="A662" s="180" t="s">
        <v>150</v>
      </c>
      <c r="B662" s="204" t="s">
        <v>13</v>
      </c>
      <c r="C662" s="212">
        <v>4000</v>
      </c>
      <c r="D662" s="212"/>
      <c r="E662" s="212"/>
      <c r="F662" s="182">
        <f t="shared" ref="F662:F669" si="684">C662-D662+E662</f>
        <v>4000</v>
      </c>
      <c r="G662" s="212"/>
      <c r="H662" s="212"/>
      <c r="I662" s="212"/>
      <c r="J662" s="255"/>
      <c r="K662" s="255"/>
      <c r="L662" s="255"/>
      <c r="M662" s="212"/>
      <c r="N662" s="212"/>
      <c r="O662" s="212"/>
      <c r="P662" s="212"/>
      <c r="Q662" s="212"/>
    </row>
    <row r="663" spans="1:17" customFormat="1" ht="14.4" hidden="1" x14ac:dyDescent="0.3">
      <c r="A663" s="180" t="s">
        <v>151</v>
      </c>
      <c r="B663" s="204" t="s">
        <v>14</v>
      </c>
      <c r="C663" s="212"/>
      <c r="D663" s="212"/>
      <c r="E663" s="212"/>
      <c r="F663" s="182">
        <f t="shared" si="684"/>
        <v>0</v>
      </c>
      <c r="G663" s="212"/>
      <c r="H663" s="212"/>
      <c r="I663" s="212"/>
      <c r="J663" s="255"/>
      <c r="K663" s="255"/>
      <c r="L663" s="255"/>
      <c r="M663" s="212"/>
      <c r="N663" s="212"/>
      <c r="O663" s="212"/>
      <c r="P663" s="212"/>
      <c r="Q663" s="212"/>
    </row>
    <row r="664" spans="1:17" s="6" customFormat="1" ht="14.4" hidden="1" x14ac:dyDescent="0.3">
      <c r="A664" s="198" t="s">
        <v>153</v>
      </c>
      <c r="B664" s="198" t="s">
        <v>16</v>
      </c>
      <c r="C664" s="248">
        <f t="shared" ref="C664:D664" si="685">SUM(C665)</f>
        <v>0</v>
      </c>
      <c r="D664" s="248">
        <f t="shared" si="685"/>
        <v>0</v>
      </c>
      <c r="E664" s="248"/>
      <c r="F664" s="182">
        <f t="shared" si="684"/>
        <v>0</v>
      </c>
      <c r="G664" s="248"/>
      <c r="H664" s="248"/>
      <c r="I664" s="248"/>
      <c r="J664" s="254"/>
      <c r="K664" s="254"/>
      <c r="L664" s="254"/>
      <c r="M664" s="248"/>
      <c r="N664" s="248"/>
      <c r="O664" s="248"/>
      <c r="P664" s="248"/>
      <c r="Q664" s="248"/>
    </row>
    <row r="665" spans="1:17" customFormat="1" ht="14.4" hidden="1" x14ac:dyDescent="0.3">
      <c r="A665" s="180" t="s">
        <v>156</v>
      </c>
      <c r="B665" s="204" t="s">
        <v>19</v>
      </c>
      <c r="C665" s="212"/>
      <c r="D665" s="212"/>
      <c r="E665" s="212"/>
      <c r="F665" s="182">
        <f t="shared" si="684"/>
        <v>0</v>
      </c>
      <c r="G665" s="212"/>
      <c r="H665" s="212"/>
      <c r="I665" s="212"/>
      <c r="J665" s="255"/>
      <c r="K665" s="255"/>
      <c r="L665" s="255"/>
      <c r="M665" s="212"/>
      <c r="N665" s="212"/>
      <c r="O665" s="212"/>
      <c r="P665" s="212"/>
      <c r="Q665" s="212"/>
    </row>
    <row r="666" spans="1:17" s="6" customFormat="1" ht="14.4" hidden="1" x14ac:dyDescent="0.3">
      <c r="A666" s="198" t="s">
        <v>159</v>
      </c>
      <c r="B666" s="198" t="s">
        <v>123</v>
      </c>
      <c r="C666" s="248">
        <f t="shared" ref="C666:D666" si="686">SUM(C667:C669)</f>
        <v>1129100</v>
      </c>
      <c r="D666" s="248">
        <f t="shared" si="686"/>
        <v>330000</v>
      </c>
      <c r="E666" s="248"/>
      <c r="F666" s="182">
        <f t="shared" si="684"/>
        <v>799100</v>
      </c>
      <c r="G666" s="248"/>
      <c r="H666" s="248"/>
      <c r="I666" s="248">
        <f>SUM(I669)</f>
        <v>0</v>
      </c>
      <c r="J666" s="248">
        <f t="shared" ref="J666:Q666" si="687">SUM(J669)</f>
        <v>0</v>
      </c>
      <c r="K666" s="248">
        <f t="shared" si="687"/>
        <v>0</v>
      </c>
      <c r="L666" s="248">
        <f t="shared" si="687"/>
        <v>0</v>
      </c>
      <c r="M666" s="248">
        <f t="shared" si="687"/>
        <v>0</v>
      </c>
      <c r="N666" s="248">
        <f t="shared" si="687"/>
        <v>0</v>
      </c>
      <c r="O666" s="248">
        <f t="shared" si="687"/>
        <v>0</v>
      </c>
      <c r="P666" s="248">
        <f t="shared" si="687"/>
        <v>0</v>
      </c>
      <c r="Q666" s="248">
        <f t="shared" si="687"/>
        <v>0</v>
      </c>
    </row>
    <row r="667" spans="1:17" s="6" customFormat="1" ht="14.4" hidden="1" x14ac:dyDescent="0.3">
      <c r="A667" s="189" t="s">
        <v>162</v>
      </c>
      <c r="B667" s="190" t="s">
        <v>26</v>
      </c>
      <c r="C667" s="212"/>
      <c r="D667" s="212"/>
      <c r="E667" s="212"/>
      <c r="F667" s="182">
        <f t="shared" si="684"/>
        <v>0</v>
      </c>
      <c r="G667" s="212"/>
      <c r="H667" s="212"/>
      <c r="I667" s="212"/>
      <c r="J667" s="255"/>
      <c r="K667" s="255"/>
      <c r="L667" s="255"/>
      <c r="M667" s="212"/>
      <c r="N667" s="212"/>
      <c r="O667" s="212"/>
      <c r="P667" s="212"/>
      <c r="Q667" s="212"/>
    </row>
    <row r="668" spans="1:17" customFormat="1" ht="14.4" hidden="1" x14ac:dyDescent="0.3">
      <c r="A668" s="200" t="s">
        <v>166</v>
      </c>
      <c r="B668" s="253" t="s">
        <v>30</v>
      </c>
      <c r="C668" s="214"/>
      <c r="D668" s="214"/>
      <c r="E668" s="214"/>
      <c r="F668" s="182">
        <f t="shared" si="684"/>
        <v>0</v>
      </c>
      <c r="G668" s="214"/>
      <c r="H668" s="214"/>
      <c r="I668" s="214"/>
      <c r="J668" s="392"/>
      <c r="K668" s="392"/>
      <c r="L668" s="392"/>
      <c r="M668" s="214"/>
      <c r="N668" s="214"/>
      <c r="O668" s="214"/>
      <c r="P668" s="214"/>
      <c r="Q668" s="214"/>
    </row>
    <row r="669" spans="1:17" customFormat="1" ht="14.4" hidden="1" x14ac:dyDescent="0.3">
      <c r="A669" s="180" t="s">
        <v>167</v>
      </c>
      <c r="B669" s="204" t="s">
        <v>31</v>
      </c>
      <c r="C669" s="212">
        <v>1129100</v>
      </c>
      <c r="D669" s="212">
        <v>330000</v>
      </c>
      <c r="E669" s="212"/>
      <c r="F669" s="182">
        <f t="shared" si="684"/>
        <v>799100</v>
      </c>
      <c r="G669" s="212"/>
      <c r="H669" s="212"/>
      <c r="I669" s="212"/>
      <c r="J669" s="255"/>
      <c r="K669" s="255"/>
      <c r="L669" s="255"/>
      <c r="M669" s="212"/>
      <c r="N669" s="212"/>
      <c r="O669" s="212"/>
      <c r="P669" s="212"/>
      <c r="Q669" s="212"/>
    </row>
    <row r="670" spans="1:17" s="6" customFormat="1" ht="14.4" hidden="1" x14ac:dyDescent="0.3">
      <c r="A670" s="198" t="s">
        <v>170</v>
      </c>
      <c r="B670" s="198" t="s">
        <v>33</v>
      </c>
      <c r="C670" s="248">
        <f t="shared" ref="C670:D670" si="688">SUM(C671:C672)</f>
        <v>0</v>
      </c>
      <c r="D670" s="248">
        <f t="shared" si="688"/>
        <v>0</v>
      </c>
      <c r="E670" s="248"/>
      <c r="F670" s="248"/>
      <c r="G670" s="248"/>
      <c r="H670" s="248"/>
      <c r="I670" s="248"/>
      <c r="J670" s="254"/>
      <c r="K670" s="254"/>
      <c r="L670" s="254"/>
      <c r="M670" s="248"/>
      <c r="N670" s="248"/>
      <c r="O670" s="248"/>
      <c r="P670" s="248"/>
      <c r="Q670" s="248"/>
    </row>
    <row r="671" spans="1:17" customFormat="1" ht="14.4" hidden="1" x14ac:dyDescent="0.3">
      <c r="A671" s="189" t="s">
        <v>172</v>
      </c>
      <c r="B671" s="190" t="s">
        <v>36</v>
      </c>
      <c r="C671" s="182"/>
      <c r="D671" s="182"/>
      <c r="E671" s="182"/>
      <c r="F671" s="182"/>
      <c r="G671" s="182"/>
      <c r="H671" s="182"/>
      <c r="I671" s="182"/>
      <c r="J671" s="220"/>
      <c r="K671" s="220"/>
      <c r="L671" s="220"/>
      <c r="M671" s="182"/>
      <c r="N671" s="182"/>
      <c r="O671" s="182"/>
      <c r="P671" s="182"/>
      <c r="Q671" s="182"/>
    </row>
    <row r="672" spans="1:17" customFormat="1" ht="14.4" hidden="1" x14ac:dyDescent="0.3">
      <c r="A672" s="180" t="s">
        <v>173</v>
      </c>
      <c r="B672" s="204" t="s">
        <v>33</v>
      </c>
      <c r="C672" s="212"/>
      <c r="D672" s="212"/>
      <c r="E672" s="212"/>
      <c r="F672" s="212"/>
      <c r="G672" s="212"/>
      <c r="H672" s="212"/>
      <c r="I672" s="212"/>
      <c r="J672" s="255"/>
      <c r="K672" s="255"/>
      <c r="L672" s="255"/>
      <c r="M672" s="212"/>
      <c r="N672" s="212"/>
      <c r="O672" s="212"/>
      <c r="P672" s="212"/>
      <c r="Q672" s="212"/>
    </row>
    <row r="673" spans="1:17" s="6" customFormat="1" ht="14.4" hidden="1" x14ac:dyDescent="0.3">
      <c r="A673" s="198" t="s">
        <v>176</v>
      </c>
      <c r="B673" s="198" t="s">
        <v>67</v>
      </c>
      <c r="C673" s="248">
        <f t="shared" ref="C673:D673" si="689">SUM(C674)</f>
        <v>0</v>
      </c>
      <c r="D673" s="248">
        <f t="shared" si="689"/>
        <v>0</v>
      </c>
      <c r="E673" s="248"/>
      <c r="F673" s="248"/>
      <c r="G673" s="248"/>
      <c r="H673" s="248"/>
      <c r="I673" s="248"/>
      <c r="J673" s="254"/>
      <c r="K673" s="254"/>
      <c r="L673" s="254"/>
      <c r="M673" s="248"/>
      <c r="N673" s="248"/>
      <c r="O673" s="248"/>
      <c r="P673" s="248"/>
      <c r="Q673" s="248"/>
    </row>
    <row r="674" spans="1:17" customFormat="1" ht="14.4" hidden="1" x14ac:dyDescent="0.3">
      <c r="A674" s="180" t="s">
        <v>190</v>
      </c>
      <c r="B674" s="204" t="s">
        <v>68</v>
      </c>
      <c r="C674" s="212"/>
      <c r="D674" s="212"/>
      <c r="E674" s="212"/>
      <c r="F674" s="212"/>
      <c r="G674" s="212"/>
      <c r="H674" s="212"/>
      <c r="I674" s="212"/>
      <c r="J674" s="255"/>
      <c r="K674" s="255"/>
      <c r="L674" s="255"/>
      <c r="M674" s="212"/>
      <c r="N674" s="212"/>
      <c r="O674" s="212"/>
      <c r="P674" s="212"/>
      <c r="Q674" s="212"/>
    </row>
    <row r="675" spans="1:17" s="6" customFormat="1" ht="14.4" hidden="1" x14ac:dyDescent="0.3">
      <c r="A675" s="198" t="s">
        <v>177</v>
      </c>
      <c r="B675" s="198" t="s">
        <v>129</v>
      </c>
      <c r="C675" s="248">
        <f t="shared" ref="C675:D675" si="690">SUM(C676:C677)</f>
        <v>0</v>
      </c>
      <c r="D675" s="248">
        <f t="shared" si="690"/>
        <v>0</v>
      </c>
      <c r="E675" s="248"/>
      <c r="F675" s="248"/>
      <c r="G675" s="248"/>
      <c r="H675" s="248"/>
      <c r="I675" s="248"/>
      <c r="J675" s="254"/>
      <c r="K675" s="254"/>
      <c r="L675" s="254"/>
      <c r="M675" s="248"/>
      <c r="N675" s="248"/>
      <c r="O675" s="248"/>
      <c r="P675" s="248"/>
      <c r="Q675" s="248"/>
    </row>
    <row r="676" spans="1:17" customFormat="1" ht="27.75" hidden="1" customHeight="1" x14ac:dyDescent="0.3">
      <c r="A676" s="180" t="s">
        <v>178</v>
      </c>
      <c r="B676" s="204" t="s">
        <v>54</v>
      </c>
      <c r="C676" s="212"/>
      <c r="D676" s="212"/>
      <c r="E676" s="212"/>
      <c r="F676" s="212"/>
      <c r="G676" s="212"/>
      <c r="H676" s="212"/>
      <c r="I676" s="212"/>
      <c r="J676" s="255"/>
      <c r="K676" s="255"/>
      <c r="L676" s="255"/>
      <c r="M676" s="212"/>
      <c r="N676" s="212"/>
      <c r="O676" s="212"/>
      <c r="P676" s="212"/>
      <c r="Q676" s="212"/>
    </row>
    <row r="677" spans="1:17" customFormat="1" ht="12" hidden="1" customHeight="1" x14ac:dyDescent="0.3">
      <c r="A677" s="180" t="s">
        <v>180</v>
      </c>
      <c r="B677" s="204" t="s">
        <v>60</v>
      </c>
      <c r="C677" s="212"/>
      <c r="D677" s="212"/>
      <c r="E677" s="212"/>
      <c r="F677" s="212"/>
      <c r="G677" s="212"/>
      <c r="H677" s="212"/>
      <c r="I677" s="212"/>
      <c r="J677" s="255"/>
      <c r="K677" s="255"/>
      <c r="L677" s="255"/>
      <c r="M677" s="212"/>
      <c r="N677" s="212"/>
      <c r="O677" s="212"/>
      <c r="P677" s="212"/>
      <c r="Q677" s="212"/>
    </row>
    <row r="678" spans="1:17" customFormat="1" ht="26.4" hidden="1" x14ac:dyDescent="0.3">
      <c r="A678" s="174" t="s">
        <v>323</v>
      </c>
      <c r="B678" s="186" t="s">
        <v>324</v>
      </c>
      <c r="C678" s="176">
        <f>SUM(C679)</f>
        <v>119000</v>
      </c>
      <c r="D678" s="176">
        <f t="shared" ref="D678:Q678" si="691">SUM(D679)</f>
        <v>0</v>
      </c>
      <c r="E678" s="176">
        <f t="shared" si="691"/>
        <v>0</v>
      </c>
      <c r="F678" s="176">
        <f t="shared" si="691"/>
        <v>119000</v>
      </c>
      <c r="G678" s="176">
        <f t="shared" si="691"/>
        <v>0</v>
      </c>
      <c r="H678" s="176">
        <f t="shared" si="691"/>
        <v>0</v>
      </c>
      <c r="I678" s="176">
        <f t="shared" si="691"/>
        <v>0</v>
      </c>
      <c r="J678" s="176">
        <f t="shared" si="691"/>
        <v>0</v>
      </c>
      <c r="K678" s="176">
        <f t="shared" si="691"/>
        <v>0</v>
      </c>
      <c r="L678" s="176">
        <f t="shared" si="691"/>
        <v>0</v>
      </c>
      <c r="M678" s="176">
        <f t="shared" si="691"/>
        <v>0</v>
      </c>
      <c r="N678" s="176">
        <f t="shared" si="691"/>
        <v>0</v>
      </c>
      <c r="O678" s="176">
        <f t="shared" si="691"/>
        <v>0</v>
      </c>
      <c r="P678" s="176">
        <f t="shared" si="691"/>
        <v>0</v>
      </c>
      <c r="Q678" s="176">
        <f t="shared" si="691"/>
        <v>0</v>
      </c>
    </row>
    <row r="679" spans="1:17" s="6" customFormat="1" ht="14.4" hidden="1" x14ac:dyDescent="0.3">
      <c r="A679" s="198" t="s">
        <v>181</v>
      </c>
      <c r="B679" s="198" t="s">
        <v>61</v>
      </c>
      <c r="C679" s="248">
        <f t="shared" ref="C679:Q679" si="692">SUM(C680)</f>
        <v>119000</v>
      </c>
      <c r="D679" s="248">
        <f t="shared" si="692"/>
        <v>0</v>
      </c>
      <c r="E679" s="248">
        <f t="shared" si="692"/>
        <v>0</v>
      </c>
      <c r="F679" s="248">
        <f t="shared" si="692"/>
        <v>119000</v>
      </c>
      <c r="G679" s="248">
        <f t="shared" si="692"/>
        <v>0</v>
      </c>
      <c r="H679" s="248">
        <f t="shared" si="692"/>
        <v>0</v>
      </c>
      <c r="I679" s="248">
        <f t="shared" si="692"/>
        <v>0</v>
      </c>
      <c r="J679" s="248">
        <f t="shared" si="692"/>
        <v>0</v>
      </c>
      <c r="K679" s="248">
        <f t="shared" si="692"/>
        <v>0</v>
      </c>
      <c r="L679" s="248">
        <f t="shared" si="692"/>
        <v>0</v>
      </c>
      <c r="M679" s="248">
        <f t="shared" si="692"/>
        <v>0</v>
      </c>
      <c r="N679" s="248">
        <f t="shared" si="692"/>
        <v>0</v>
      </c>
      <c r="O679" s="248">
        <f t="shared" si="692"/>
        <v>0</v>
      </c>
      <c r="P679" s="248">
        <f t="shared" si="692"/>
        <v>0</v>
      </c>
      <c r="Q679" s="248">
        <f t="shared" si="692"/>
        <v>0</v>
      </c>
    </row>
    <row r="680" spans="1:17" customFormat="1" ht="14.4" hidden="1" x14ac:dyDescent="0.3">
      <c r="A680" s="180">
        <v>4231</v>
      </c>
      <c r="B680" s="204" t="s">
        <v>62</v>
      </c>
      <c r="C680" s="212">
        <v>119000</v>
      </c>
      <c r="D680" s="212"/>
      <c r="E680" s="212"/>
      <c r="F680" s="182">
        <f t="shared" ref="F680" si="693">C680-D680+E680</f>
        <v>119000</v>
      </c>
      <c r="G680" s="212"/>
      <c r="H680" s="212"/>
      <c r="I680" s="212"/>
      <c r="J680" s="255"/>
      <c r="K680" s="255"/>
      <c r="L680" s="255"/>
      <c r="M680" s="212"/>
      <c r="N680" s="212"/>
      <c r="O680" s="212"/>
      <c r="P680" s="212"/>
      <c r="Q680" s="212"/>
    </row>
    <row r="681" spans="1:17" customFormat="1" ht="18" hidden="1" customHeight="1" x14ac:dyDescent="0.3">
      <c r="A681" s="721" t="s">
        <v>241</v>
      </c>
      <c r="B681" s="721"/>
      <c r="C681" s="173">
        <f>SUM(C682,C688,C711)</f>
        <v>30566500</v>
      </c>
      <c r="D681" s="173">
        <f t="shared" ref="D681:F681" si="694">SUM(D682,D688,D711)</f>
        <v>3031300</v>
      </c>
      <c r="E681" s="173">
        <f t="shared" si="694"/>
        <v>210600</v>
      </c>
      <c r="F681" s="173">
        <f t="shared" si="694"/>
        <v>27745800</v>
      </c>
      <c r="G681" s="173">
        <f t="shared" ref="G681:H681" si="695">SUM(G682,G688,G711)</f>
        <v>0</v>
      </c>
      <c r="H681" s="173">
        <f t="shared" si="695"/>
        <v>0</v>
      </c>
      <c r="I681" s="173">
        <f t="shared" ref="I681:M681" si="696">SUM(I682,I688,I711)</f>
        <v>0</v>
      </c>
      <c r="J681" s="173">
        <f t="shared" si="696"/>
        <v>0</v>
      </c>
      <c r="K681" s="173">
        <f t="shared" si="696"/>
        <v>0</v>
      </c>
      <c r="L681" s="173">
        <f t="shared" si="696"/>
        <v>0</v>
      </c>
      <c r="M681" s="173">
        <f t="shared" si="696"/>
        <v>0</v>
      </c>
      <c r="N681" s="173">
        <f t="shared" ref="N681:O681" si="697">SUM(N682,N688,N711)</f>
        <v>0</v>
      </c>
      <c r="O681" s="173">
        <f t="shared" si="697"/>
        <v>0</v>
      </c>
      <c r="P681" s="173">
        <f t="shared" ref="P681:Q681" si="698">SUM(P682,P688,P711)</f>
        <v>0</v>
      </c>
      <c r="Q681" s="173">
        <f t="shared" si="698"/>
        <v>0</v>
      </c>
    </row>
    <row r="682" spans="1:17" customFormat="1" ht="18" hidden="1" customHeight="1" x14ac:dyDescent="0.3">
      <c r="A682" s="185" t="s">
        <v>315</v>
      </c>
      <c r="B682" s="186" t="s">
        <v>316</v>
      </c>
      <c r="C682" s="187">
        <f>SUM(C683)</f>
        <v>6800</v>
      </c>
      <c r="D682" s="187">
        <f t="shared" ref="D682:Q682" si="699">SUM(D683)</f>
        <v>0</v>
      </c>
      <c r="E682" s="187">
        <f t="shared" si="699"/>
        <v>0</v>
      </c>
      <c r="F682" s="187">
        <f>SUM(F683)</f>
        <v>6800</v>
      </c>
      <c r="G682" s="187">
        <f t="shared" si="699"/>
        <v>0</v>
      </c>
      <c r="H682" s="187">
        <f t="shared" si="699"/>
        <v>0</v>
      </c>
      <c r="I682" s="187">
        <f t="shared" si="699"/>
        <v>0</v>
      </c>
      <c r="J682" s="187">
        <f t="shared" si="699"/>
        <v>0</v>
      </c>
      <c r="K682" s="187">
        <f t="shared" si="699"/>
        <v>0</v>
      </c>
      <c r="L682" s="187">
        <f t="shared" si="699"/>
        <v>0</v>
      </c>
      <c r="M682" s="187">
        <f t="shared" si="699"/>
        <v>0</v>
      </c>
      <c r="N682" s="187">
        <f t="shared" si="699"/>
        <v>0</v>
      </c>
      <c r="O682" s="187">
        <f t="shared" si="699"/>
        <v>0</v>
      </c>
      <c r="P682" s="187">
        <f t="shared" si="699"/>
        <v>0</v>
      </c>
      <c r="Q682" s="187">
        <f t="shared" si="699"/>
        <v>0</v>
      </c>
    </row>
    <row r="683" spans="1:17" s="6" customFormat="1" ht="14.4" hidden="1" x14ac:dyDescent="0.3">
      <c r="A683" s="198" t="s">
        <v>143</v>
      </c>
      <c r="B683" s="198" t="s">
        <v>220</v>
      </c>
      <c r="C683" s="248">
        <f t="shared" ref="C683:F683" si="700">SUM(C684,C686)</f>
        <v>6800</v>
      </c>
      <c r="D683" s="248">
        <f t="shared" si="700"/>
        <v>0</v>
      </c>
      <c r="E683" s="248">
        <f t="shared" si="700"/>
        <v>0</v>
      </c>
      <c r="F683" s="248">
        <f t="shared" si="700"/>
        <v>6800</v>
      </c>
      <c r="G683" s="248">
        <f t="shared" ref="G683:H683" si="701">SUM(G684,G686)</f>
        <v>0</v>
      </c>
      <c r="H683" s="248">
        <f t="shared" si="701"/>
        <v>0</v>
      </c>
      <c r="I683" s="248">
        <f t="shared" ref="I683:M683" si="702">SUM(I684,I686)</f>
        <v>0</v>
      </c>
      <c r="J683" s="248">
        <f t="shared" si="702"/>
        <v>0</v>
      </c>
      <c r="K683" s="248">
        <f t="shared" si="702"/>
        <v>0</v>
      </c>
      <c r="L683" s="248">
        <f t="shared" si="702"/>
        <v>0</v>
      </c>
      <c r="M683" s="248">
        <f t="shared" si="702"/>
        <v>0</v>
      </c>
      <c r="N683" s="248">
        <f t="shared" ref="N683:O683" si="703">SUM(N684,N686)</f>
        <v>0</v>
      </c>
      <c r="O683" s="248">
        <f t="shared" si="703"/>
        <v>0</v>
      </c>
      <c r="P683" s="248">
        <f t="shared" ref="P683:Q683" si="704">SUM(P684,P686)</f>
        <v>0</v>
      </c>
      <c r="Q683" s="248">
        <f t="shared" si="704"/>
        <v>0</v>
      </c>
    </row>
    <row r="684" spans="1:17" customFormat="1" ht="14.25" hidden="1" customHeight="1" x14ac:dyDescent="0.3">
      <c r="A684" s="180" t="s">
        <v>144</v>
      </c>
      <c r="B684" s="204" t="s">
        <v>5</v>
      </c>
      <c r="C684" s="212">
        <v>6800</v>
      </c>
      <c r="D684" s="212"/>
      <c r="E684" s="212"/>
      <c r="F684" s="182">
        <f t="shared" ref="F684" si="705">C684-D684+E684</f>
        <v>6800</v>
      </c>
      <c r="G684" s="212"/>
      <c r="H684" s="212"/>
      <c r="I684" s="212"/>
      <c r="J684" s="255"/>
      <c r="K684" s="255"/>
      <c r="L684" s="255"/>
      <c r="M684" s="212"/>
      <c r="N684" s="212"/>
      <c r="O684" s="212"/>
      <c r="P684" s="212"/>
      <c r="Q684" s="212"/>
    </row>
    <row r="685" spans="1:17" s="6" customFormat="1" ht="14.4" hidden="1" x14ac:dyDescent="0.3">
      <c r="A685" s="198" t="s">
        <v>146</v>
      </c>
      <c r="B685" s="198" t="s">
        <v>126</v>
      </c>
      <c r="C685" s="248"/>
      <c r="D685" s="248"/>
      <c r="E685" s="248"/>
      <c r="F685" s="248"/>
      <c r="G685" s="248"/>
      <c r="H685" s="248"/>
      <c r="I685" s="248"/>
      <c r="J685" s="254"/>
      <c r="K685" s="254"/>
      <c r="L685" s="254"/>
      <c r="M685" s="248"/>
      <c r="N685" s="248"/>
      <c r="O685" s="248"/>
      <c r="P685" s="248"/>
      <c r="Q685" s="248"/>
    </row>
    <row r="686" spans="1:17" customFormat="1" ht="15" hidden="1" customHeight="1" x14ac:dyDescent="0.3">
      <c r="A686" s="180" t="s">
        <v>147</v>
      </c>
      <c r="B686" s="204" t="s">
        <v>127</v>
      </c>
      <c r="C686" s="212"/>
      <c r="D686" s="212"/>
      <c r="E686" s="212"/>
      <c r="F686" s="212"/>
      <c r="G686" s="212"/>
      <c r="H686" s="212"/>
      <c r="I686" s="212"/>
      <c r="J686" s="255"/>
      <c r="K686" s="255"/>
      <c r="L686" s="255"/>
      <c r="M686" s="212"/>
      <c r="N686" s="212"/>
      <c r="O686" s="212"/>
      <c r="P686" s="212"/>
      <c r="Q686" s="212"/>
    </row>
    <row r="687" spans="1:17" customFormat="1" ht="0.75" hidden="1" customHeight="1" x14ac:dyDescent="0.3">
      <c r="A687" s="180" t="s">
        <v>148</v>
      </c>
      <c r="B687" s="204" t="s">
        <v>128</v>
      </c>
      <c r="C687" s="212"/>
      <c r="D687" s="212"/>
      <c r="E687" s="212"/>
      <c r="F687" s="212"/>
      <c r="G687" s="212"/>
      <c r="H687" s="212"/>
      <c r="I687" s="212"/>
      <c r="J687" s="255"/>
      <c r="K687" s="255"/>
      <c r="L687" s="255"/>
      <c r="M687" s="212"/>
      <c r="N687" s="212"/>
      <c r="O687" s="212"/>
      <c r="P687" s="212"/>
      <c r="Q687" s="212"/>
    </row>
    <row r="688" spans="1:17" customFormat="1" ht="17.25" hidden="1" customHeight="1" x14ac:dyDescent="0.3">
      <c r="A688" s="185" t="s">
        <v>317</v>
      </c>
      <c r="B688" s="185" t="s">
        <v>318</v>
      </c>
      <c r="C688" s="218">
        <f>SUM(C689,C693,C698,C704,C706)</f>
        <v>1895000</v>
      </c>
      <c r="D688" s="218">
        <f t="shared" ref="D688" si="706">SUM(D689,D693,D698,D704,D706)</f>
        <v>1243800</v>
      </c>
      <c r="E688" s="218">
        <f t="shared" ref="E688:N688" si="707">SUM(E689,E693,E698,E704,E706)</f>
        <v>85800</v>
      </c>
      <c r="F688" s="218">
        <f t="shared" si="707"/>
        <v>737000</v>
      </c>
      <c r="G688" s="218">
        <f t="shared" si="707"/>
        <v>0</v>
      </c>
      <c r="H688" s="218">
        <f t="shared" si="707"/>
        <v>0</v>
      </c>
      <c r="I688" s="218">
        <f t="shared" si="707"/>
        <v>0</v>
      </c>
      <c r="J688" s="218">
        <f t="shared" si="707"/>
        <v>0</v>
      </c>
      <c r="K688" s="218">
        <f t="shared" si="707"/>
        <v>0</v>
      </c>
      <c r="L688" s="218">
        <f t="shared" si="707"/>
        <v>0</v>
      </c>
      <c r="M688" s="218">
        <f t="shared" si="707"/>
        <v>0</v>
      </c>
      <c r="N688" s="218">
        <f t="shared" si="707"/>
        <v>0</v>
      </c>
      <c r="O688" s="218">
        <f t="shared" ref="O688:P688" si="708">SUM(O689,O693,O698,O704,O706)</f>
        <v>0</v>
      </c>
      <c r="P688" s="218">
        <f t="shared" si="708"/>
        <v>0</v>
      </c>
      <c r="Q688" s="218">
        <f t="shared" ref="Q688" si="709">SUM(Q689,Q693,Q698,Q704,Q706)</f>
        <v>0</v>
      </c>
    </row>
    <row r="689" spans="1:17" s="6" customFormat="1" ht="14.4" hidden="1" x14ac:dyDescent="0.3">
      <c r="A689" s="198" t="s">
        <v>149</v>
      </c>
      <c r="B689" s="198" t="s">
        <v>12</v>
      </c>
      <c r="C689" s="248">
        <f>C690+C692</f>
        <v>9300</v>
      </c>
      <c r="D689" s="248">
        <f>SUM(D690:D692)</f>
        <v>5100</v>
      </c>
      <c r="E689" s="248">
        <f>SUM(E690:E692)</f>
        <v>35800</v>
      </c>
      <c r="F689" s="248">
        <f>F690+F692</f>
        <v>40000</v>
      </c>
      <c r="G689" s="248">
        <f>SUM(G690:G692)</f>
        <v>0</v>
      </c>
      <c r="H689" s="248">
        <f>SUM(H690:H692)</f>
        <v>0</v>
      </c>
      <c r="I689" s="248">
        <f>SUM(I690:I692)</f>
        <v>0</v>
      </c>
      <c r="J689" s="248">
        <f t="shared" ref="J689:K689" si="710">SUM(J690:J692)</f>
        <v>0</v>
      </c>
      <c r="K689" s="248">
        <f t="shared" si="710"/>
        <v>0</v>
      </c>
      <c r="L689" s="248">
        <f t="shared" ref="L689:Q689" si="711">SUM(L690:L692)</f>
        <v>0</v>
      </c>
      <c r="M689" s="248">
        <f t="shared" si="711"/>
        <v>0</v>
      </c>
      <c r="N689" s="248">
        <f t="shared" si="711"/>
        <v>0</v>
      </c>
      <c r="O689" s="248">
        <f t="shared" si="711"/>
        <v>0</v>
      </c>
      <c r="P689" s="248">
        <f t="shared" si="711"/>
        <v>0</v>
      </c>
      <c r="Q689" s="248">
        <f t="shared" si="711"/>
        <v>0</v>
      </c>
    </row>
    <row r="690" spans="1:17" customFormat="1" ht="14.25" hidden="1" customHeight="1" x14ac:dyDescent="0.3">
      <c r="A690" s="180" t="s">
        <v>150</v>
      </c>
      <c r="B690" s="204" t="s">
        <v>13</v>
      </c>
      <c r="C690" s="212">
        <v>5100</v>
      </c>
      <c r="D690" s="212">
        <v>5100</v>
      </c>
      <c r="E690" s="212"/>
      <c r="F690" s="182">
        <f t="shared" ref="F690:F692" si="712">C690-D690+E690</f>
        <v>0</v>
      </c>
      <c r="G690" s="212"/>
      <c r="H690" s="212"/>
      <c r="I690" s="212"/>
      <c r="J690" s="255"/>
      <c r="K690" s="255"/>
      <c r="L690" s="255"/>
      <c r="M690" s="212"/>
      <c r="N690" s="212"/>
      <c r="O690" s="212"/>
      <c r="P690" s="212"/>
      <c r="Q690" s="212"/>
    </row>
    <row r="691" spans="1:17" customFormat="1" ht="14.4" hidden="1" x14ac:dyDescent="0.3">
      <c r="A691" s="180">
        <v>3212</v>
      </c>
      <c r="B691" s="204" t="s">
        <v>14</v>
      </c>
      <c r="C691" s="212">
        <v>2000</v>
      </c>
      <c r="D691" s="212"/>
      <c r="E691" s="212"/>
      <c r="F691" s="182">
        <f t="shared" si="712"/>
        <v>2000</v>
      </c>
      <c r="G691" s="212"/>
      <c r="H691" s="212"/>
      <c r="I691" s="212"/>
      <c r="J691" s="255"/>
      <c r="K691" s="255"/>
      <c r="L691" s="255"/>
      <c r="M691" s="212"/>
      <c r="N691" s="212"/>
      <c r="O691" s="212"/>
      <c r="P691" s="212"/>
      <c r="Q691" s="212"/>
    </row>
    <row r="692" spans="1:17" customFormat="1" ht="18" hidden="1" customHeight="1" x14ac:dyDescent="0.3">
      <c r="A692" s="180">
        <v>3213</v>
      </c>
      <c r="B692" s="204" t="s">
        <v>15</v>
      </c>
      <c r="C692" s="212">
        <v>4200</v>
      </c>
      <c r="D692" s="212"/>
      <c r="E692" s="212">
        <v>35800</v>
      </c>
      <c r="F692" s="182">
        <f t="shared" si="712"/>
        <v>40000</v>
      </c>
      <c r="G692" s="212"/>
      <c r="H692" s="212"/>
      <c r="I692" s="212"/>
      <c r="J692" s="255"/>
      <c r="K692" s="255"/>
      <c r="L692" s="255"/>
      <c r="M692" s="212"/>
      <c r="N692" s="212"/>
      <c r="O692" s="212"/>
      <c r="P692" s="212"/>
      <c r="Q692" s="212"/>
    </row>
    <row r="693" spans="1:17" s="6" customFormat="1" ht="14.4" hidden="1" x14ac:dyDescent="0.3">
      <c r="A693" s="198" t="s">
        <v>153</v>
      </c>
      <c r="B693" s="198" t="s">
        <v>16</v>
      </c>
      <c r="C693" s="248">
        <f>SUM(C694:C697)</f>
        <v>757800</v>
      </c>
      <c r="D693" s="248">
        <f t="shared" ref="D693:F693" si="713">SUM(D694:D697)</f>
        <v>402800</v>
      </c>
      <c r="E693" s="248">
        <f t="shared" si="713"/>
        <v>50000</v>
      </c>
      <c r="F693" s="248">
        <f t="shared" si="713"/>
        <v>405000</v>
      </c>
      <c r="G693" s="248">
        <f t="shared" ref="G693:H693" si="714">SUM(G695:G697)</f>
        <v>0</v>
      </c>
      <c r="H693" s="248">
        <f t="shared" si="714"/>
        <v>0</v>
      </c>
      <c r="I693" s="248">
        <f t="shared" ref="I693:M693" si="715">SUM(I695:I697)</f>
        <v>0</v>
      </c>
      <c r="J693" s="248">
        <f t="shared" si="715"/>
        <v>0</v>
      </c>
      <c r="K693" s="248">
        <f t="shared" si="715"/>
        <v>0</v>
      </c>
      <c r="L693" s="248">
        <f t="shared" si="715"/>
        <v>0</v>
      </c>
      <c r="M693" s="248">
        <f t="shared" si="715"/>
        <v>0</v>
      </c>
      <c r="N693" s="248">
        <f t="shared" ref="N693:O693" si="716">SUM(N695:N697)</f>
        <v>0</v>
      </c>
      <c r="O693" s="248">
        <f t="shared" si="716"/>
        <v>0</v>
      </c>
      <c r="P693" s="248">
        <f t="shared" ref="P693:Q693" si="717">SUM(P695:P697)</f>
        <v>0</v>
      </c>
      <c r="Q693" s="248">
        <f t="shared" si="717"/>
        <v>0</v>
      </c>
    </row>
    <row r="694" spans="1:17" s="6" customFormat="1" ht="14.4" hidden="1" x14ac:dyDescent="0.3">
      <c r="A694" s="189">
        <v>3222</v>
      </c>
      <c r="B694" s="190" t="s">
        <v>18</v>
      </c>
      <c r="C694" s="254"/>
      <c r="D694" s="254"/>
      <c r="E694" s="255">
        <v>50000</v>
      </c>
      <c r="F694" s="182">
        <f t="shared" ref="F694:F707" si="718">C694-D694+E694</f>
        <v>50000</v>
      </c>
      <c r="G694" s="254"/>
      <c r="H694" s="254"/>
      <c r="I694" s="254"/>
      <c r="J694" s="254"/>
      <c r="K694" s="254"/>
      <c r="L694" s="254"/>
      <c r="M694" s="254"/>
      <c r="N694" s="254"/>
      <c r="O694" s="254"/>
      <c r="P694" s="254"/>
      <c r="Q694" s="254"/>
    </row>
    <row r="695" spans="1:17" customFormat="1" ht="14.4" hidden="1" x14ac:dyDescent="0.3">
      <c r="A695" s="180" t="s">
        <v>156</v>
      </c>
      <c r="B695" s="204" t="s">
        <v>19</v>
      </c>
      <c r="C695" s="212">
        <v>2800</v>
      </c>
      <c r="D695" s="212">
        <v>2800</v>
      </c>
      <c r="E695" s="212"/>
      <c r="F695" s="182">
        <f t="shared" si="718"/>
        <v>0</v>
      </c>
      <c r="G695" s="212"/>
      <c r="H695" s="212"/>
      <c r="I695" s="212"/>
      <c r="J695" s="255"/>
      <c r="K695" s="255"/>
      <c r="L695" s="255"/>
      <c r="M695" s="212"/>
      <c r="N695" s="212"/>
      <c r="O695" s="212"/>
      <c r="P695" s="212"/>
      <c r="Q695" s="212"/>
    </row>
    <row r="696" spans="1:17" s="10" customFormat="1" ht="14.4" hidden="1" x14ac:dyDescent="0.3">
      <c r="A696" s="200">
        <v>3225</v>
      </c>
      <c r="B696" s="253" t="s">
        <v>304</v>
      </c>
      <c r="C696" s="214">
        <v>473000</v>
      </c>
      <c r="D696" s="214">
        <v>400000</v>
      </c>
      <c r="E696" s="214"/>
      <c r="F696" s="182">
        <f t="shared" si="718"/>
        <v>73000</v>
      </c>
      <c r="G696" s="214"/>
      <c r="H696" s="214"/>
      <c r="I696" s="214"/>
      <c r="J696" s="392"/>
      <c r="K696" s="392"/>
      <c r="L696" s="392"/>
      <c r="M696" s="214"/>
      <c r="N696" s="214"/>
      <c r="O696" s="214"/>
      <c r="P696" s="214"/>
      <c r="Q696" s="214"/>
    </row>
    <row r="697" spans="1:17" customFormat="1" ht="14.4" hidden="1" x14ac:dyDescent="0.3">
      <c r="A697" s="180">
        <v>3227</v>
      </c>
      <c r="B697" s="204" t="s">
        <v>22</v>
      </c>
      <c r="C697" s="212">
        <v>282000</v>
      </c>
      <c r="D697" s="212"/>
      <c r="E697" s="212"/>
      <c r="F697" s="182">
        <f t="shared" si="718"/>
        <v>282000</v>
      </c>
      <c r="G697" s="212"/>
      <c r="H697" s="212"/>
      <c r="I697" s="212"/>
      <c r="J697" s="255"/>
      <c r="K697" s="255"/>
      <c r="L697" s="255"/>
      <c r="M697" s="212"/>
      <c r="N697" s="212"/>
      <c r="O697" s="212"/>
      <c r="P697" s="212"/>
      <c r="Q697" s="212"/>
    </row>
    <row r="698" spans="1:17" s="6" customFormat="1" ht="14.4" hidden="1" x14ac:dyDescent="0.3">
      <c r="A698" s="198" t="s">
        <v>159</v>
      </c>
      <c r="B698" s="198" t="s">
        <v>123</v>
      </c>
      <c r="C698" s="248">
        <f t="shared" ref="C698:F698" si="719">SUM(C699:C703)</f>
        <v>1012700</v>
      </c>
      <c r="D698" s="248">
        <f t="shared" si="719"/>
        <v>733700</v>
      </c>
      <c r="E698" s="248">
        <f t="shared" si="719"/>
        <v>0</v>
      </c>
      <c r="F698" s="248">
        <f t="shared" si="719"/>
        <v>279000</v>
      </c>
      <c r="G698" s="248">
        <f t="shared" ref="G698:H698" si="720">SUM(G699:G703)</f>
        <v>0</v>
      </c>
      <c r="H698" s="248">
        <f t="shared" si="720"/>
        <v>0</v>
      </c>
      <c r="I698" s="248">
        <f t="shared" ref="I698:M698" si="721">SUM(I699:I703)</f>
        <v>0</v>
      </c>
      <c r="J698" s="248">
        <f t="shared" si="721"/>
        <v>0</v>
      </c>
      <c r="K698" s="248">
        <f t="shared" si="721"/>
        <v>0</v>
      </c>
      <c r="L698" s="248">
        <f t="shared" si="721"/>
        <v>0</v>
      </c>
      <c r="M698" s="248">
        <f t="shared" si="721"/>
        <v>0</v>
      </c>
      <c r="N698" s="248">
        <f t="shared" ref="N698:O698" si="722">SUM(N699:N703)</f>
        <v>0</v>
      </c>
      <c r="O698" s="248">
        <f t="shared" si="722"/>
        <v>0</v>
      </c>
      <c r="P698" s="248">
        <f t="shared" ref="P698:Q698" si="723">SUM(P699:P703)</f>
        <v>0</v>
      </c>
      <c r="Q698" s="248">
        <f t="shared" si="723"/>
        <v>0</v>
      </c>
    </row>
    <row r="699" spans="1:17" s="6" customFormat="1" ht="14.4" hidden="1" x14ac:dyDescent="0.3">
      <c r="A699" s="189" t="s">
        <v>162</v>
      </c>
      <c r="B699" s="190" t="s">
        <v>26</v>
      </c>
      <c r="C699" s="212">
        <v>378000</v>
      </c>
      <c r="D699" s="212">
        <v>128000</v>
      </c>
      <c r="E699" s="212"/>
      <c r="F699" s="182">
        <f t="shared" si="718"/>
        <v>250000</v>
      </c>
      <c r="G699" s="212"/>
      <c r="H699" s="212"/>
      <c r="I699" s="212"/>
      <c r="J699" s="255"/>
      <c r="K699" s="255"/>
      <c r="L699" s="255"/>
      <c r="M699" s="212"/>
      <c r="N699" s="212"/>
      <c r="O699" s="212"/>
      <c r="P699" s="212"/>
      <c r="Q699" s="212"/>
    </row>
    <row r="700" spans="1:17" s="6" customFormat="1" ht="14.4" hidden="1" x14ac:dyDescent="0.3">
      <c r="A700" s="189">
        <v>3235</v>
      </c>
      <c r="B700" s="190" t="s">
        <v>28</v>
      </c>
      <c r="C700" s="212">
        <v>2000</v>
      </c>
      <c r="D700" s="212">
        <v>2000</v>
      </c>
      <c r="E700" s="212"/>
      <c r="F700" s="182">
        <f t="shared" si="718"/>
        <v>0</v>
      </c>
      <c r="G700" s="212"/>
      <c r="H700" s="212"/>
      <c r="I700" s="212"/>
      <c r="J700" s="255"/>
      <c r="K700" s="255"/>
      <c r="L700" s="255"/>
      <c r="M700" s="212"/>
      <c r="N700" s="212"/>
      <c r="O700" s="212"/>
      <c r="P700" s="212"/>
      <c r="Q700" s="212"/>
    </row>
    <row r="701" spans="1:17" customFormat="1" ht="14.4" hidden="1" x14ac:dyDescent="0.3">
      <c r="A701" s="180" t="s">
        <v>166</v>
      </c>
      <c r="B701" s="204" t="s">
        <v>30</v>
      </c>
      <c r="C701" s="212">
        <v>459000</v>
      </c>
      <c r="D701" s="212">
        <v>450000</v>
      </c>
      <c r="E701" s="212"/>
      <c r="F701" s="182">
        <f t="shared" si="718"/>
        <v>9000</v>
      </c>
      <c r="G701" s="212"/>
      <c r="H701" s="212"/>
      <c r="I701" s="212"/>
      <c r="J701" s="255"/>
      <c r="K701" s="255"/>
      <c r="L701" s="255"/>
      <c r="M701" s="212"/>
      <c r="N701" s="212"/>
      <c r="O701" s="212"/>
      <c r="P701" s="212"/>
      <c r="Q701" s="212"/>
    </row>
    <row r="702" spans="1:17" customFormat="1" ht="14.4" hidden="1" x14ac:dyDescent="0.3">
      <c r="A702" s="180">
        <v>3238</v>
      </c>
      <c r="B702" s="204" t="s">
        <v>70</v>
      </c>
      <c r="C702" s="212">
        <v>0</v>
      </c>
      <c r="D702" s="212"/>
      <c r="E702" s="212"/>
      <c r="F702" s="182">
        <f t="shared" si="718"/>
        <v>0</v>
      </c>
      <c r="G702" s="212"/>
      <c r="H702" s="212"/>
      <c r="I702" s="212"/>
      <c r="J702" s="255"/>
      <c r="K702" s="255"/>
      <c r="L702" s="255"/>
      <c r="M702" s="212"/>
      <c r="N702" s="212"/>
      <c r="O702" s="212"/>
      <c r="P702" s="212"/>
      <c r="Q702" s="212"/>
    </row>
    <row r="703" spans="1:17" customFormat="1" ht="14.4" hidden="1" x14ac:dyDescent="0.3">
      <c r="A703" s="180" t="s">
        <v>167</v>
      </c>
      <c r="B703" s="204" t="s">
        <v>31</v>
      </c>
      <c r="C703" s="212">
        <v>173700</v>
      </c>
      <c r="D703" s="212">
        <v>153700</v>
      </c>
      <c r="E703" s="212"/>
      <c r="F703" s="182">
        <f t="shared" si="718"/>
        <v>20000</v>
      </c>
      <c r="G703" s="212"/>
      <c r="H703" s="212"/>
      <c r="I703" s="212"/>
      <c r="J703" s="255"/>
      <c r="K703" s="255"/>
      <c r="L703" s="255"/>
      <c r="M703" s="212"/>
      <c r="N703" s="212"/>
      <c r="O703" s="212"/>
      <c r="P703" s="212"/>
      <c r="Q703" s="212"/>
    </row>
    <row r="704" spans="1:17" s="6" customFormat="1" ht="26.4" hidden="1" x14ac:dyDescent="0.3">
      <c r="A704" s="188">
        <v>324</v>
      </c>
      <c r="B704" s="192" t="s">
        <v>32</v>
      </c>
      <c r="C704" s="179">
        <f t="shared" ref="C704:Q704" si="724">SUM(C705)</f>
        <v>113100</v>
      </c>
      <c r="D704" s="179">
        <f t="shared" si="724"/>
        <v>100100</v>
      </c>
      <c r="E704" s="179">
        <f t="shared" si="724"/>
        <v>0</v>
      </c>
      <c r="F704" s="179">
        <f t="shared" si="724"/>
        <v>13000</v>
      </c>
      <c r="G704" s="179">
        <f t="shared" si="724"/>
        <v>0</v>
      </c>
      <c r="H704" s="179">
        <f t="shared" si="724"/>
        <v>0</v>
      </c>
      <c r="I704" s="179">
        <f t="shared" si="724"/>
        <v>0</v>
      </c>
      <c r="J704" s="179">
        <f t="shared" si="724"/>
        <v>0</v>
      </c>
      <c r="K704" s="179">
        <f t="shared" si="724"/>
        <v>0</v>
      </c>
      <c r="L704" s="179">
        <f t="shared" si="724"/>
        <v>0</v>
      </c>
      <c r="M704" s="179">
        <f t="shared" si="724"/>
        <v>0</v>
      </c>
      <c r="N704" s="179">
        <f t="shared" si="724"/>
        <v>0</v>
      </c>
      <c r="O704" s="179">
        <f t="shared" si="724"/>
        <v>0</v>
      </c>
      <c r="P704" s="179">
        <f t="shared" si="724"/>
        <v>0</v>
      </c>
      <c r="Q704" s="179">
        <f t="shared" si="724"/>
        <v>0</v>
      </c>
    </row>
    <row r="705" spans="1:17" customFormat="1" ht="26.4" hidden="1" x14ac:dyDescent="0.3">
      <c r="A705" s="189">
        <v>3241</v>
      </c>
      <c r="B705" s="190" t="s">
        <v>32</v>
      </c>
      <c r="C705" s="182">
        <v>113100</v>
      </c>
      <c r="D705" s="182">
        <v>100100</v>
      </c>
      <c r="E705" s="182"/>
      <c r="F705" s="182">
        <f t="shared" si="718"/>
        <v>13000</v>
      </c>
      <c r="G705" s="182"/>
      <c r="H705" s="182"/>
      <c r="I705" s="182"/>
      <c r="J705" s="220"/>
      <c r="K705" s="220"/>
      <c r="L705" s="220"/>
      <c r="M705" s="182"/>
      <c r="N705" s="182"/>
      <c r="O705" s="182"/>
      <c r="P705" s="182"/>
      <c r="Q705" s="182"/>
    </row>
    <row r="706" spans="1:17" s="6" customFormat="1" ht="14.4" hidden="1" x14ac:dyDescent="0.3">
      <c r="A706" s="198" t="s">
        <v>170</v>
      </c>
      <c r="B706" s="198" t="s">
        <v>33</v>
      </c>
      <c r="C706" s="248">
        <f t="shared" ref="C706:F706" si="725">SUM(C707:C708)</f>
        <v>2100</v>
      </c>
      <c r="D706" s="248">
        <f t="shared" si="725"/>
        <v>2100</v>
      </c>
      <c r="E706" s="248">
        <f t="shared" si="725"/>
        <v>0</v>
      </c>
      <c r="F706" s="248">
        <f t="shared" si="725"/>
        <v>0</v>
      </c>
      <c r="G706" s="248">
        <f t="shared" ref="G706:H706" si="726">SUM(G707:G708)</f>
        <v>0</v>
      </c>
      <c r="H706" s="248">
        <f t="shared" si="726"/>
        <v>0</v>
      </c>
      <c r="I706" s="248">
        <f t="shared" ref="I706:M706" si="727">SUM(I707:I708)</f>
        <v>0</v>
      </c>
      <c r="J706" s="248">
        <f t="shared" si="727"/>
        <v>0</v>
      </c>
      <c r="K706" s="248">
        <f t="shared" si="727"/>
        <v>0</v>
      </c>
      <c r="L706" s="248">
        <f t="shared" si="727"/>
        <v>0</v>
      </c>
      <c r="M706" s="248">
        <f t="shared" si="727"/>
        <v>0</v>
      </c>
      <c r="N706" s="248">
        <f t="shared" ref="N706:O706" si="728">SUM(N707:N708)</f>
        <v>0</v>
      </c>
      <c r="O706" s="248">
        <f t="shared" si="728"/>
        <v>0</v>
      </c>
      <c r="P706" s="248">
        <f t="shared" ref="P706:Q706" si="729">SUM(P707:P708)</f>
        <v>0</v>
      </c>
      <c r="Q706" s="248">
        <f t="shared" si="729"/>
        <v>0</v>
      </c>
    </row>
    <row r="707" spans="1:17" customFormat="1" ht="14.4" hidden="1" x14ac:dyDescent="0.3">
      <c r="A707" s="189" t="s">
        <v>172</v>
      </c>
      <c r="B707" s="190" t="s">
        <v>36</v>
      </c>
      <c r="C707" s="182">
        <v>2100</v>
      </c>
      <c r="D707" s="182">
        <v>2100</v>
      </c>
      <c r="E707" s="182"/>
      <c r="F707" s="182">
        <f t="shared" si="718"/>
        <v>0</v>
      </c>
      <c r="G707" s="182"/>
      <c r="H707" s="182"/>
      <c r="I707" s="182"/>
      <c r="J707" s="220"/>
      <c r="K707" s="220"/>
      <c r="L707" s="220"/>
      <c r="M707" s="182"/>
      <c r="N707" s="182"/>
      <c r="O707" s="182"/>
      <c r="P707" s="182"/>
      <c r="Q707" s="182"/>
    </row>
    <row r="708" spans="1:17" customFormat="1" ht="14.4" hidden="1" x14ac:dyDescent="0.3">
      <c r="A708" s="200" t="s">
        <v>173</v>
      </c>
      <c r="B708" s="253" t="s">
        <v>33</v>
      </c>
      <c r="C708" s="214"/>
      <c r="D708" s="214"/>
      <c r="E708" s="214"/>
      <c r="F708" s="214"/>
      <c r="G708" s="214"/>
      <c r="H708" s="214"/>
      <c r="I708" s="214"/>
      <c r="J708" s="392"/>
      <c r="K708" s="392"/>
      <c r="L708" s="392"/>
      <c r="M708" s="214"/>
      <c r="N708" s="214"/>
      <c r="O708" s="214"/>
      <c r="P708" s="214"/>
      <c r="Q708" s="214"/>
    </row>
    <row r="709" spans="1:17" s="6" customFormat="1" ht="14.4" hidden="1" x14ac:dyDescent="0.3">
      <c r="A709" s="198" t="s">
        <v>176</v>
      </c>
      <c r="B709" s="198" t="s">
        <v>67</v>
      </c>
      <c r="C709" s="248">
        <f t="shared" ref="C709:D709" si="730">SUM(C710)</f>
        <v>0</v>
      </c>
      <c r="D709" s="248">
        <f t="shared" si="730"/>
        <v>0</v>
      </c>
      <c r="E709" s="248"/>
      <c r="F709" s="248"/>
      <c r="G709" s="248"/>
      <c r="H709" s="248"/>
      <c r="I709" s="248"/>
      <c r="J709" s="254"/>
      <c r="K709" s="254"/>
      <c r="L709" s="254"/>
      <c r="M709" s="248"/>
      <c r="N709" s="248"/>
      <c r="O709" s="248"/>
      <c r="P709" s="248"/>
      <c r="Q709" s="248"/>
    </row>
    <row r="710" spans="1:17" customFormat="1" ht="14.4" hidden="1" x14ac:dyDescent="0.3">
      <c r="A710" s="180" t="s">
        <v>190</v>
      </c>
      <c r="B710" s="204" t="s">
        <v>68</v>
      </c>
      <c r="C710" s="212"/>
      <c r="D710" s="212"/>
      <c r="E710" s="212"/>
      <c r="F710" s="212"/>
      <c r="G710" s="212"/>
      <c r="H710" s="212"/>
      <c r="I710" s="212"/>
      <c r="J710" s="255"/>
      <c r="K710" s="255"/>
      <c r="L710" s="255"/>
      <c r="M710" s="212"/>
      <c r="N710" s="212"/>
      <c r="O710" s="212"/>
      <c r="P710" s="212"/>
      <c r="Q710" s="212"/>
    </row>
    <row r="711" spans="1:17" customFormat="1" ht="26.4" hidden="1" x14ac:dyDescent="0.3">
      <c r="A711" s="174" t="s">
        <v>323</v>
      </c>
      <c r="B711" s="186" t="s">
        <v>324</v>
      </c>
      <c r="C711" s="176">
        <f>SUM(C712,C716)</f>
        <v>28664700</v>
      </c>
      <c r="D711" s="176">
        <f t="shared" ref="D711" si="731">SUM(D712,D716)</f>
        <v>1787500</v>
      </c>
      <c r="E711" s="176">
        <f t="shared" ref="E711:N711" si="732">SUM(E712,E716)</f>
        <v>124800</v>
      </c>
      <c r="F711" s="176">
        <f t="shared" si="732"/>
        <v>27002000</v>
      </c>
      <c r="G711" s="176">
        <f t="shared" si="732"/>
        <v>0</v>
      </c>
      <c r="H711" s="176">
        <f t="shared" si="732"/>
        <v>0</v>
      </c>
      <c r="I711" s="176">
        <f t="shared" si="732"/>
        <v>0</v>
      </c>
      <c r="J711" s="176">
        <f t="shared" si="732"/>
        <v>0</v>
      </c>
      <c r="K711" s="176">
        <f t="shared" si="732"/>
        <v>0</v>
      </c>
      <c r="L711" s="176">
        <f t="shared" si="732"/>
        <v>0</v>
      </c>
      <c r="M711" s="176">
        <f t="shared" si="732"/>
        <v>0</v>
      </c>
      <c r="N711" s="176">
        <f t="shared" si="732"/>
        <v>0</v>
      </c>
      <c r="O711" s="176">
        <f t="shared" ref="O711:P711" si="733">SUM(O712,O716)</f>
        <v>0</v>
      </c>
      <c r="P711" s="176">
        <f t="shared" si="733"/>
        <v>0</v>
      </c>
      <c r="Q711" s="176">
        <f t="shared" ref="Q711" si="734">SUM(Q712,Q716)</f>
        <v>0</v>
      </c>
    </row>
    <row r="712" spans="1:17" s="6" customFormat="1" ht="14.25" hidden="1" customHeight="1" x14ac:dyDescent="0.3">
      <c r="A712" s="198" t="s">
        <v>177</v>
      </c>
      <c r="B712" s="198" t="s">
        <v>129</v>
      </c>
      <c r="C712" s="248">
        <f t="shared" ref="C712:F712" si="735">SUM(C713:C715)</f>
        <v>725800</v>
      </c>
      <c r="D712" s="248">
        <f t="shared" si="735"/>
        <v>515600</v>
      </c>
      <c r="E712" s="248">
        <f t="shared" si="735"/>
        <v>124800</v>
      </c>
      <c r="F712" s="248">
        <f t="shared" si="735"/>
        <v>335000</v>
      </c>
      <c r="G712" s="248">
        <f t="shared" ref="G712:H712" si="736">SUM(G713:G715)</f>
        <v>0</v>
      </c>
      <c r="H712" s="248">
        <f t="shared" si="736"/>
        <v>0</v>
      </c>
      <c r="I712" s="248">
        <f t="shared" ref="I712:M712" si="737">SUM(I713:I715)</f>
        <v>0</v>
      </c>
      <c r="J712" s="248">
        <f t="shared" si="737"/>
        <v>0</v>
      </c>
      <c r="K712" s="248">
        <f t="shared" si="737"/>
        <v>0</v>
      </c>
      <c r="L712" s="248">
        <f t="shared" si="737"/>
        <v>0</v>
      </c>
      <c r="M712" s="248">
        <f t="shared" si="737"/>
        <v>0</v>
      </c>
      <c r="N712" s="248">
        <f t="shared" ref="N712:O712" si="738">SUM(N713:N715)</f>
        <v>0</v>
      </c>
      <c r="O712" s="248">
        <f t="shared" si="738"/>
        <v>0</v>
      </c>
      <c r="P712" s="248">
        <f t="shared" ref="P712:Q712" si="739">SUM(P713:P715)</f>
        <v>0</v>
      </c>
      <c r="Q712" s="248">
        <f t="shared" si="739"/>
        <v>0</v>
      </c>
    </row>
    <row r="713" spans="1:17" customFormat="1" ht="13.5" hidden="1" customHeight="1" x14ac:dyDescent="0.3">
      <c r="A713" s="180">
        <v>4223</v>
      </c>
      <c r="B713" s="204" t="s">
        <v>59</v>
      </c>
      <c r="C713" s="212">
        <v>35200</v>
      </c>
      <c r="D713" s="212"/>
      <c r="E713" s="212">
        <v>124800</v>
      </c>
      <c r="F713" s="182">
        <f t="shared" ref="F713:F719" si="740">C713-D713+E713</f>
        <v>160000</v>
      </c>
      <c r="G713" s="212"/>
      <c r="H713" s="212"/>
      <c r="I713" s="212"/>
      <c r="J713" s="255"/>
      <c r="K713" s="255"/>
      <c r="L713" s="255"/>
      <c r="M713" s="212"/>
      <c r="N713" s="212"/>
      <c r="O713" s="212"/>
      <c r="P713" s="212"/>
      <c r="Q713" s="212"/>
    </row>
    <row r="714" spans="1:17" customFormat="1" ht="12.75" hidden="1" customHeight="1" x14ac:dyDescent="0.3">
      <c r="A714" s="180">
        <v>4225</v>
      </c>
      <c r="B714" s="204" t="s">
        <v>105</v>
      </c>
      <c r="C714" s="212"/>
      <c r="D714" s="212"/>
      <c r="E714" s="212"/>
      <c r="F714" s="182">
        <f t="shared" si="740"/>
        <v>0</v>
      </c>
      <c r="G714" s="212"/>
      <c r="H714" s="212"/>
      <c r="I714" s="212"/>
      <c r="J714" s="255"/>
      <c r="K714" s="255"/>
      <c r="L714" s="255"/>
      <c r="M714" s="212"/>
      <c r="N714" s="212"/>
      <c r="O714" s="212"/>
      <c r="P714" s="212"/>
      <c r="Q714" s="212"/>
    </row>
    <row r="715" spans="1:17" customFormat="1" ht="14.4" hidden="1" x14ac:dyDescent="0.3">
      <c r="A715" s="180" t="s">
        <v>180</v>
      </c>
      <c r="B715" s="204" t="s">
        <v>60</v>
      </c>
      <c r="C715" s="212">
        <v>690600</v>
      </c>
      <c r="D715" s="212">
        <v>515600</v>
      </c>
      <c r="E715" s="212"/>
      <c r="F715" s="182">
        <f t="shared" si="740"/>
        <v>175000</v>
      </c>
      <c r="G715" s="212"/>
      <c r="H715" s="212"/>
      <c r="I715" s="212"/>
      <c r="J715" s="255"/>
      <c r="K715" s="255"/>
      <c r="L715" s="255"/>
      <c r="M715" s="212"/>
      <c r="N715" s="212"/>
      <c r="O715" s="212"/>
      <c r="P715" s="212"/>
      <c r="Q715" s="212"/>
    </row>
    <row r="716" spans="1:17" s="6" customFormat="1" ht="14.4" hidden="1" x14ac:dyDescent="0.3">
      <c r="A716" s="198" t="s">
        <v>181</v>
      </c>
      <c r="B716" s="198" t="s">
        <v>61</v>
      </c>
      <c r="C716" s="248">
        <f t="shared" ref="C716:E716" si="741">SUM(C717:C719)</f>
        <v>27938900</v>
      </c>
      <c r="D716" s="248">
        <f t="shared" si="741"/>
        <v>1271900</v>
      </c>
      <c r="E716" s="248">
        <f t="shared" si="741"/>
        <v>0</v>
      </c>
      <c r="F716" s="248">
        <f>SUM(F717:F719)</f>
        <v>26667000</v>
      </c>
      <c r="G716" s="248">
        <f t="shared" ref="G716:H716" si="742">SUM(G717:G719)</f>
        <v>0</v>
      </c>
      <c r="H716" s="248">
        <f t="shared" si="742"/>
        <v>0</v>
      </c>
      <c r="I716" s="248">
        <f t="shared" ref="I716:M716" si="743">SUM(I717:I719)</f>
        <v>0</v>
      </c>
      <c r="J716" s="248">
        <f t="shared" si="743"/>
        <v>0</v>
      </c>
      <c r="K716" s="248">
        <f t="shared" si="743"/>
        <v>0</v>
      </c>
      <c r="L716" s="248">
        <f t="shared" si="743"/>
        <v>0</v>
      </c>
      <c r="M716" s="248">
        <f t="shared" si="743"/>
        <v>0</v>
      </c>
      <c r="N716" s="248">
        <f t="shared" ref="N716:O716" si="744">SUM(N717:N719)</f>
        <v>0</v>
      </c>
      <c r="O716" s="248">
        <f t="shared" si="744"/>
        <v>0</v>
      </c>
      <c r="P716" s="248">
        <f t="shared" ref="P716:Q716" si="745">SUM(P717:P719)</f>
        <v>0</v>
      </c>
      <c r="Q716" s="248">
        <f t="shared" si="745"/>
        <v>0</v>
      </c>
    </row>
    <row r="717" spans="1:17" customFormat="1" ht="14.4" hidden="1" x14ac:dyDescent="0.3">
      <c r="A717" s="180">
        <v>4231</v>
      </c>
      <c r="B717" s="204" t="s">
        <v>62</v>
      </c>
      <c r="C717" s="212">
        <v>4711900</v>
      </c>
      <c r="D717" s="212">
        <v>1178900</v>
      </c>
      <c r="E717" s="212"/>
      <c r="F717" s="182">
        <f t="shared" si="740"/>
        <v>3533000</v>
      </c>
      <c r="G717" s="212"/>
      <c r="H717" s="212"/>
      <c r="I717" s="212"/>
      <c r="J717" s="255"/>
      <c r="K717" s="255"/>
      <c r="L717" s="255"/>
      <c r="M717" s="212"/>
      <c r="N717" s="212"/>
      <c r="O717" s="212"/>
      <c r="P717" s="212"/>
      <c r="Q717" s="212"/>
    </row>
    <row r="718" spans="1:17" customFormat="1" ht="14.4" hidden="1" x14ac:dyDescent="0.3">
      <c r="A718" s="180">
        <v>4233</v>
      </c>
      <c r="B718" s="204" t="s">
        <v>227</v>
      </c>
      <c r="C718" s="212">
        <v>664000</v>
      </c>
      <c r="D718" s="212">
        <v>93000</v>
      </c>
      <c r="E718" s="212"/>
      <c r="F718" s="182">
        <f t="shared" si="740"/>
        <v>571000</v>
      </c>
      <c r="G718" s="212"/>
      <c r="H718" s="212"/>
      <c r="I718" s="212"/>
      <c r="J718" s="255"/>
      <c r="K718" s="255"/>
      <c r="L718" s="255"/>
      <c r="M718" s="212"/>
      <c r="N718" s="212"/>
      <c r="O718" s="212"/>
      <c r="P718" s="212"/>
      <c r="Q718" s="212"/>
    </row>
    <row r="719" spans="1:17" customFormat="1" ht="14.4" hidden="1" x14ac:dyDescent="0.3">
      <c r="A719" s="180">
        <v>4234</v>
      </c>
      <c r="B719" s="204" t="s">
        <v>279</v>
      </c>
      <c r="C719" s="212">
        <v>22563000</v>
      </c>
      <c r="D719" s="212"/>
      <c r="E719" s="212"/>
      <c r="F719" s="182">
        <f t="shared" si="740"/>
        <v>22563000</v>
      </c>
      <c r="G719" s="212"/>
      <c r="H719" s="212"/>
      <c r="I719" s="212"/>
      <c r="J719" s="255"/>
      <c r="K719" s="255"/>
      <c r="L719" s="255"/>
      <c r="M719" s="212"/>
      <c r="N719" s="212"/>
      <c r="O719" s="212"/>
      <c r="P719" s="212"/>
      <c r="Q719" s="212"/>
    </row>
    <row r="720" spans="1:17" customFormat="1" ht="26.4" hidden="1" x14ac:dyDescent="0.3">
      <c r="A720" s="414" t="s">
        <v>284</v>
      </c>
      <c r="B720" s="413" t="s">
        <v>285</v>
      </c>
      <c r="C720" s="256">
        <f t="shared" ref="C720:Q722" si="746">SUM(C721)</f>
        <v>138000</v>
      </c>
      <c r="D720" s="256">
        <f t="shared" si="746"/>
        <v>39000</v>
      </c>
      <c r="E720" s="256">
        <f t="shared" si="746"/>
        <v>0</v>
      </c>
      <c r="F720" s="256">
        <f t="shared" si="746"/>
        <v>99000</v>
      </c>
      <c r="G720" s="256">
        <f t="shared" si="746"/>
        <v>0</v>
      </c>
      <c r="H720" s="256">
        <f t="shared" si="746"/>
        <v>0</v>
      </c>
      <c r="I720" s="256">
        <f t="shared" si="746"/>
        <v>0</v>
      </c>
      <c r="J720" s="256">
        <f t="shared" si="746"/>
        <v>0</v>
      </c>
      <c r="K720" s="256">
        <f t="shared" si="746"/>
        <v>0</v>
      </c>
      <c r="L720" s="256">
        <f t="shared" si="746"/>
        <v>0</v>
      </c>
      <c r="M720" s="256">
        <f t="shared" si="746"/>
        <v>0</v>
      </c>
      <c r="N720" s="256">
        <f t="shared" si="746"/>
        <v>0</v>
      </c>
      <c r="O720" s="256">
        <f t="shared" si="746"/>
        <v>0</v>
      </c>
      <c r="P720" s="256">
        <f t="shared" si="746"/>
        <v>0</v>
      </c>
      <c r="Q720" s="256">
        <f t="shared" si="746"/>
        <v>0</v>
      </c>
    </row>
    <row r="721" spans="1:17" customFormat="1" ht="14.4" hidden="1" x14ac:dyDescent="0.3">
      <c r="A721" s="721" t="s">
        <v>241</v>
      </c>
      <c r="B721" s="721"/>
      <c r="C721" s="173">
        <f>SUM(C722)</f>
        <v>138000</v>
      </c>
      <c r="D721" s="173">
        <f t="shared" si="746"/>
        <v>39000</v>
      </c>
      <c r="E721" s="173">
        <f t="shared" si="746"/>
        <v>0</v>
      </c>
      <c r="F721" s="173">
        <f t="shared" si="746"/>
        <v>99000</v>
      </c>
      <c r="G721" s="173">
        <f t="shared" si="746"/>
        <v>0</v>
      </c>
      <c r="H721" s="173">
        <f t="shared" si="746"/>
        <v>0</v>
      </c>
      <c r="I721" s="173">
        <f t="shared" si="746"/>
        <v>0</v>
      </c>
      <c r="J721" s="173">
        <f t="shared" si="746"/>
        <v>0</v>
      </c>
      <c r="K721" s="173">
        <f t="shared" si="746"/>
        <v>0</v>
      </c>
      <c r="L721" s="173">
        <f t="shared" si="746"/>
        <v>0</v>
      </c>
      <c r="M721" s="173">
        <f t="shared" si="746"/>
        <v>0</v>
      </c>
      <c r="N721" s="173">
        <f t="shared" si="746"/>
        <v>0</v>
      </c>
      <c r="O721" s="173">
        <f t="shared" si="746"/>
        <v>0</v>
      </c>
      <c r="P721" s="173">
        <f t="shared" si="746"/>
        <v>0</v>
      </c>
      <c r="Q721" s="173">
        <f t="shared" si="746"/>
        <v>0</v>
      </c>
    </row>
    <row r="722" spans="1:17" customFormat="1" ht="14.4" hidden="1" x14ac:dyDescent="0.3">
      <c r="A722" s="185" t="s">
        <v>317</v>
      </c>
      <c r="B722" s="185" t="s">
        <v>318</v>
      </c>
      <c r="C722" s="218">
        <f>SUM(C723)</f>
        <v>138000</v>
      </c>
      <c r="D722" s="218">
        <f t="shared" si="746"/>
        <v>39000</v>
      </c>
      <c r="E722" s="218">
        <f t="shared" si="746"/>
        <v>0</v>
      </c>
      <c r="F722" s="218">
        <f t="shared" si="746"/>
        <v>99000</v>
      </c>
      <c r="G722" s="218">
        <f t="shared" si="746"/>
        <v>0</v>
      </c>
      <c r="H722" s="218">
        <f t="shared" si="746"/>
        <v>0</v>
      </c>
      <c r="I722" s="218">
        <f t="shared" si="746"/>
        <v>0</v>
      </c>
      <c r="J722" s="218">
        <f t="shared" si="746"/>
        <v>0</v>
      </c>
      <c r="K722" s="218">
        <f t="shared" si="746"/>
        <v>0</v>
      </c>
      <c r="L722" s="218">
        <f t="shared" si="746"/>
        <v>0</v>
      </c>
      <c r="M722" s="218">
        <f t="shared" si="746"/>
        <v>0</v>
      </c>
      <c r="N722" s="218">
        <f t="shared" si="746"/>
        <v>0</v>
      </c>
      <c r="O722" s="218">
        <f t="shared" si="746"/>
        <v>0</v>
      </c>
      <c r="P722" s="218">
        <f t="shared" si="746"/>
        <v>0</v>
      </c>
      <c r="Q722" s="218">
        <f t="shared" si="746"/>
        <v>0</v>
      </c>
    </row>
    <row r="723" spans="1:17" customFormat="1" ht="14.4" hidden="1" x14ac:dyDescent="0.3">
      <c r="A723" s="246" t="s">
        <v>159</v>
      </c>
      <c r="B723" s="247" t="s">
        <v>123</v>
      </c>
      <c r="C723" s="248">
        <f t="shared" ref="C723:F723" si="747">SUM(C724:C727)</f>
        <v>138000</v>
      </c>
      <c r="D723" s="248">
        <f t="shared" si="747"/>
        <v>39000</v>
      </c>
      <c r="E723" s="248">
        <f t="shared" si="747"/>
        <v>0</v>
      </c>
      <c r="F723" s="248">
        <f t="shared" si="747"/>
        <v>99000</v>
      </c>
      <c r="G723" s="248">
        <f t="shared" ref="G723:H723" si="748">SUM(G724:G727)</f>
        <v>0</v>
      </c>
      <c r="H723" s="248">
        <f t="shared" si="748"/>
        <v>0</v>
      </c>
      <c r="I723" s="248">
        <f t="shared" ref="I723:M723" si="749">SUM(I724:I727)</f>
        <v>0</v>
      </c>
      <c r="J723" s="248">
        <f t="shared" si="749"/>
        <v>0</v>
      </c>
      <c r="K723" s="248">
        <f t="shared" si="749"/>
        <v>0</v>
      </c>
      <c r="L723" s="248">
        <f t="shared" si="749"/>
        <v>0</v>
      </c>
      <c r="M723" s="248">
        <f t="shared" si="749"/>
        <v>0</v>
      </c>
      <c r="N723" s="248">
        <f t="shared" ref="N723:O723" si="750">SUM(N724:N727)</f>
        <v>0</v>
      </c>
      <c r="O723" s="248">
        <f t="shared" si="750"/>
        <v>0</v>
      </c>
      <c r="P723" s="248">
        <f t="shared" ref="P723:Q723" si="751">SUM(P724:P727)</f>
        <v>0</v>
      </c>
      <c r="Q723" s="248">
        <f t="shared" si="751"/>
        <v>0</v>
      </c>
    </row>
    <row r="724" spans="1:17" customFormat="1" ht="14.25" hidden="1" customHeight="1" x14ac:dyDescent="0.3">
      <c r="A724" s="249" t="s">
        <v>162</v>
      </c>
      <c r="B724" s="215" t="s">
        <v>26</v>
      </c>
      <c r="C724" s="212">
        <v>106000</v>
      </c>
      <c r="D724" s="212">
        <v>7000</v>
      </c>
      <c r="E724" s="212"/>
      <c r="F724" s="182">
        <f t="shared" ref="F724:F727" si="752">C724-D724+E724</f>
        <v>99000</v>
      </c>
      <c r="G724" s="212"/>
      <c r="H724" s="212"/>
      <c r="I724" s="212"/>
      <c r="J724" s="255"/>
      <c r="K724" s="255"/>
      <c r="L724" s="255"/>
      <c r="M724" s="212"/>
      <c r="N724" s="212"/>
      <c r="O724" s="212"/>
      <c r="P724" s="212"/>
      <c r="Q724" s="212"/>
    </row>
    <row r="725" spans="1:17" customFormat="1" ht="14.4" hidden="1" x14ac:dyDescent="0.3">
      <c r="A725" s="249" t="s">
        <v>166</v>
      </c>
      <c r="B725" s="215" t="s">
        <v>30</v>
      </c>
      <c r="C725" s="212">
        <v>27000</v>
      </c>
      <c r="D725" s="212">
        <v>27000</v>
      </c>
      <c r="E725" s="212"/>
      <c r="F725" s="182">
        <f t="shared" si="752"/>
        <v>0</v>
      </c>
      <c r="G725" s="212"/>
      <c r="H725" s="212"/>
      <c r="I725" s="212"/>
      <c r="J725" s="255"/>
      <c r="K725" s="255"/>
      <c r="L725" s="255"/>
      <c r="M725" s="212"/>
      <c r="N725" s="212"/>
      <c r="O725" s="212"/>
      <c r="P725" s="212"/>
      <c r="Q725" s="212"/>
    </row>
    <row r="726" spans="1:17" customFormat="1" ht="14.4" hidden="1" x14ac:dyDescent="0.3">
      <c r="A726" s="249">
        <v>3238</v>
      </c>
      <c r="B726" s="215" t="s">
        <v>70</v>
      </c>
      <c r="C726" s="212"/>
      <c r="D726" s="212"/>
      <c r="E726" s="212"/>
      <c r="F726" s="182">
        <f t="shared" si="752"/>
        <v>0</v>
      </c>
      <c r="G726" s="212"/>
      <c r="H726" s="212"/>
      <c r="I726" s="212"/>
      <c r="J726" s="255"/>
      <c r="K726" s="255"/>
      <c r="L726" s="255"/>
      <c r="M726" s="212"/>
      <c r="N726" s="212"/>
      <c r="O726" s="212"/>
      <c r="P726" s="212"/>
      <c r="Q726" s="212"/>
    </row>
    <row r="727" spans="1:17" customFormat="1" ht="14.4" hidden="1" x14ac:dyDescent="0.3">
      <c r="A727" s="249">
        <v>3239</v>
      </c>
      <c r="B727" s="215" t="s">
        <v>31</v>
      </c>
      <c r="C727" s="212">
        <v>5000</v>
      </c>
      <c r="D727" s="212">
        <v>5000</v>
      </c>
      <c r="E727" s="212"/>
      <c r="F727" s="182">
        <f t="shared" si="752"/>
        <v>0</v>
      </c>
      <c r="G727" s="212"/>
      <c r="H727" s="212"/>
      <c r="I727" s="212"/>
      <c r="J727" s="255"/>
      <c r="K727" s="255"/>
      <c r="L727" s="255"/>
      <c r="M727" s="212"/>
      <c r="N727" s="212"/>
      <c r="O727" s="212"/>
      <c r="P727" s="212"/>
      <c r="Q727" s="212"/>
    </row>
    <row r="728" spans="1:17" customFormat="1" ht="14.4" hidden="1" x14ac:dyDescent="0.3">
      <c r="A728" s="246" t="s">
        <v>177</v>
      </c>
      <c r="B728" s="247" t="s">
        <v>129</v>
      </c>
      <c r="C728" s="248">
        <f t="shared" ref="C728:D728" si="753">SUM(C729:C731)</f>
        <v>0</v>
      </c>
      <c r="D728" s="248">
        <f t="shared" si="753"/>
        <v>0</v>
      </c>
      <c r="E728" s="248"/>
      <c r="F728" s="248"/>
      <c r="G728" s="248"/>
      <c r="H728" s="248"/>
      <c r="I728" s="248"/>
      <c r="J728" s="254"/>
      <c r="K728" s="254"/>
      <c r="L728" s="254"/>
      <c r="M728" s="248"/>
      <c r="N728" s="248"/>
      <c r="O728" s="248"/>
      <c r="P728" s="248"/>
      <c r="Q728" s="248"/>
    </row>
    <row r="729" spans="1:17" customFormat="1" ht="14.4" hidden="1" x14ac:dyDescent="0.3">
      <c r="A729" s="249">
        <v>4222</v>
      </c>
      <c r="B729" s="215" t="s">
        <v>58</v>
      </c>
      <c r="C729" s="212"/>
      <c r="D729" s="212"/>
      <c r="E729" s="212"/>
      <c r="F729" s="212"/>
      <c r="G729" s="212"/>
      <c r="H729" s="212"/>
      <c r="I729" s="212"/>
      <c r="J729" s="255"/>
      <c r="K729" s="255"/>
      <c r="L729" s="255"/>
      <c r="M729" s="212"/>
      <c r="N729" s="212"/>
      <c r="O729" s="212"/>
      <c r="P729" s="212"/>
      <c r="Q729" s="212"/>
    </row>
    <row r="730" spans="1:17" customFormat="1" ht="14.4" hidden="1" x14ac:dyDescent="0.3">
      <c r="A730" s="249">
        <v>4227</v>
      </c>
      <c r="B730" s="215" t="s">
        <v>60</v>
      </c>
      <c r="C730" s="212"/>
      <c r="D730" s="212"/>
      <c r="E730" s="212"/>
      <c r="F730" s="212"/>
      <c r="G730" s="212"/>
      <c r="H730" s="212"/>
      <c r="I730" s="212"/>
      <c r="J730" s="255"/>
      <c r="K730" s="255"/>
      <c r="L730" s="255"/>
      <c r="M730" s="212"/>
      <c r="N730" s="212"/>
      <c r="O730" s="212"/>
      <c r="P730" s="212"/>
      <c r="Q730" s="212"/>
    </row>
    <row r="731" spans="1:17" customFormat="1" ht="14.4" hidden="1" x14ac:dyDescent="0.3">
      <c r="A731" s="249">
        <v>4262</v>
      </c>
      <c r="B731" s="190" t="s">
        <v>74</v>
      </c>
      <c r="C731" s="212"/>
      <c r="D731" s="212"/>
      <c r="E731" s="212"/>
      <c r="F731" s="212"/>
      <c r="G731" s="212"/>
      <c r="H731" s="212"/>
      <c r="I731" s="212"/>
      <c r="J731" s="255"/>
      <c r="K731" s="255"/>
      <c r="L731" s="255"/>
      <c r="M731" s="212"/>
      <c r="N731" s="212"/>
      <c r="O731" s="212"/>
      <c r="P731" s="212"/>
      <c r="Q731" s="212"/>
    </row>
    <row r="732" spans="1:17" customFormat="1" ht="39.6" hidden="1" x14ac:dyDescent="0.3">
      <c r="A732" s="414" t="s">
        <v>342</v>
      </c>
      <c r="B732" s="413" t="s">
        <v>343</v>
      </c>
      <c r="C732" s="257">
        <f t="shared" ref="C732:Q735" si="754">SUM(C733)</f>
        <v>30000</v>
      </c>
      <c r="D732" s="257">
        <f t="shared" si="754"/>
        <v>30000</v>
      </c>
      <c r="E732" s="257">
        <f t="shared" si="754"/>
        <v>0</v>
      </c>
      <c r="F732" s="257">
        <f t="shared" si="754"/>
        <v>0</v>
      </c>
      <c r="G732" s="257">
        <f t="shared" si="754"/>
        <v>27000</v>
      </c>
      <c r="H732" s="257">
        <f t="shared" si="754"/>
        <v>0</v>
      </c>
      <c r="I732" s="257">
        <f t="shared" si="754"/>
        <v>0</v>
      </c>
      <c r="J732" s="257">
        <f t="shared" si="754"/>
        <v>0</v>
      </c>
      <c r="K732" s="257">
        <f t="shared" si="754"/>
        <v>0</v>
      </c>
      <c r="L732" s="257">
        <f t="shared" si="754"/>
        <v>0</v>
      </c>
      <c r="M732" s="257">
        <f t="shared" si="754"/>
        <v>0</v>
      </c>
      <c r="N732" s="257">
        <f t="shared" si="754"/>
        <v>0</v>
      </c>
      <c r="O732" s="257">
        <f t="shared" si="754"/>
        <v>0</v>
      </c>
      <c r="P732" s="257">
        <f t="shared" si="754"/>
        <v>0</v>
      </c>
      <c r="Q732" s="257">
        <f t="shared" si="754"/>
        <v>0</v>
      </c>
    </row>
    <row r="733" spans="1:17" customFormat="1" ht="14.4" hidden="1" x14ac:dyDescent="0.3">
      <c r="A733" s="721" t="s">
        <v>241</v>
      </c>
      <c r="B733" s="721"/>
      <c r="C733" s="258">
        <f t="shared" si="754"/>
        <v>30000</v>
      </c>
      <c r="D733" s="258">
        <f t="shared" si="754"/>
        <v>30000</v>
      </c>
      <c r="E733" s="258">
        <f t="shared" si="754"/>
        <v>0</v>
      </c>
      <c r="F733" s="258">
        <f t="shared" si="754"/>
        <v>0</v>
      </c>
      <c r="G733" s="258">
        <f t="shared" si="754"/>
        <v>27000</v>
      </c>
      <c r="H733" s="258">
        <f t="shared" si="754"/>
        <v>0</v>
      </c>
      <c r="I733" s="258">
        <f t="shared" si="754"/>
        <v>0</v>
      </c>
      <c r="J733" s="258">
        <f t="shared" si="754"/>
        <v>0</v>
      </c>
      <c r="K733" s="258">
        <f t="shared" si="754"/>
        <v>0</v>
      </c>
      <c r="L733" s="258">
        <f t="shared" si="754"/>
        <v>0</v>
      </c>
      <c r="M733" s="258">
        <f t="shared" si="754"/>
        <v>0</v>
      </c>
      <c r="N733" s="258">
        <f t="shared" si="754"/>
        <v>0</v>
      </c>
      <c r="O733" s="258">
        <f t="shared" si="754"/>
        <v>0</v>
      </c>
      <c r="P733" s="258">
        <f t="shared" si="754"/>
        <v>0</v>
      </c>
      <c r="Q733" s="258">
        <f t="shared" si="754"/>
        <v>0</v>
      </c>
    </row>
    <row r="734" spans="1:17" customFormat="1" ht="14.4" hidden="1" x14ac:dyDescent="0.3">
      <c r="A734" s="185" t="s">
        <v>317</v>
      </c>
      <c r="B734" s="185" t="s">
        <v>318</v>
      </c>
      <c r="C734" s="218">
        <f>SUM(C735)</f>
        <v>30000</v>
      </c>
      <c r="D734" s="218">
        <f t="shared" si="754"/>
        <v>30000</v>
      </c>
      <c r="E734" s="218">
        <f t="shared" si="754"/>
        <v>0</v>
      </c>
      <c r="F734" s="218">
        <f t="shared" si="754"/>
        <v>0</v>
      </c>
      <c r="G734" s="218">
        <f t="shared" si="754"/>
        <v>27000</v>
      </c>
      <c r="H734" s="218">
        <f t="shared" si="754"/>
        <v>0</v>
      </c>
      <c r="I734" s="218">
        <f t="shared" si="754"/>
        <v>0</v>
      </c>
      <c r="J734" s="218">
        <f t="shared" si="754"/>
        <v>0</v>
      </c>
      <c r="K734" s="218">
        <f t="shared" si="754"/>
        <v>0</v>
      </c>
      <c r="L734" s="218">
        <f t="shared" si="754"/>
        <v>0</v>
      </c>
      <c r="M734" s="218">
        <f t="shared" si="754"/>
        <v>0</v>
      </c>
      <c r="N734" s="218">
        <f t="shared" si="754"/>
        <v>0</v>
      </c>
      <c r="O734" s="218">
        <f t="shared" si="754"/>
        <v>0</v>
      </c>
      <c r="P734" s="218">
        <f t="shared" si="754"/>
        <v>0</v>
      </c>
      <c r="Q734" s="218">
        <f t="shared" si="754"/>
        <v>0</v>
      </c>
    </row>
    <row r="735" spans="1:17" customFormat="1" ht="14.4" hidden="1" x14ac:dyDescent="0.3">
      <c r="A735" s="198" t="s">
        <v>149</v>
      </c>
      <c r="B735" s="198" t="s">
        <v>12</v>
      </c>
      <c r="C735" s="259">
        <f t="shared" si="754"/>
        <v>30000</v>
      </c>
      <c r="D735" s="259">
        <f t="shared" si="754"/>
        <v>30000</v>
      </c>
      <c r="E735" s="259">
        <f t="shared" si="754"/>
        <v>0</v>
      </c>
      <c r="F735" s="259">
        <f t="shared" si="754"/>
        <v>0</v>
      </c>
      <c r="G735" s="259">
        <f t="shared" si="754"/>
        <v>27000</v>
      </c>
      <c r="H735" s="259">
        <f t="shared" si="754"/>
        <v>0</v>
      </c>
      <c r="I735" s="259">
        <f t="shared" si="754"/>
        <v>0</v>
      </c>
      <c r="J735" s="259">
        <f t="shared" si="754"/>
        <v>0</v>
      </c>
      <c r="K735" s="259">
        <f t="shared" si="754"/>
        <v>0</v>
      </c>
      <c r="L735" s="259">
        <f t="shared" si="754"/>
        <v>0</v>
      </c>
      <c r="M735" s="259">
        <f t="shared" si="754"/>
        <v>0</v>
      </c>
      <c r="N735" s="259">
        <f t="shared" si="754"/>
        <v>0</v>
      </c>
      <c r="O735" s="259">
        <f t="shared" si="754"/>
        <v>0</v>
      </c>
      <c r="P735" s="259">
        <f t="shared" si="754"/>
        <v>0</v>
      </c>
      <c r="Q735" s="259">
        <f t="shared" si="754"/>
        <v>0</v>
      </c>
    </row>
    <row r="736" spans="1:17" customFormat="1" ht="14.4" hidden="1" x14ac:dyDescent="0.3">
      <c r="A736" s="180">
        <v>3213</v>
      </c>
      <c r="B736" s="204" t="s">
        <v>15</v>
      </c>
      <c r="C736" s="260">
        <v>30000</v>
      </c>
      <c r="D736" s="260">
        <v>30000</v>
      </c>
      <c r="E736" s="260"/>
      <c r="F736" s="182">
        <f t="shared" ref="F736" si="755">C736-D736+E736</f>
        <v>0</v>
      </c>
      <c r="G736" s="260">
        <v>27000</v>
      </c>
      <c r="H736" s="260"/>
      <c r="I736" s="260">
        <v>0</v>
      </c>
      <c r="J736" s="399"/>
      <c r="K736" s="399"/>
      <c r="L736" s="399"/>
      <c r="M736" s="260">
        <v>0</v>
      </c>
      <c r="N736" s="260">
        <v>0</v>
      </c>
      <c r="O736" s="260">
        <v>0</v>
      </c>
      <c r="P736" s="260">
        <v>0</v>
      </c>
      <c r="Q736" s="260">
        <v>0</v>
      </c>
    </row>
    <row r="737" spans="1:17" customFormat="1" ht="39.6" hidden="1" x14ac:dyDescent="0.3">
      <c r="A737" s="414" t="s">
        <v>344</v>
      </c>
      <c r="B737" s="413" t="s">
        <v>345</v>
      </c>
      <c r="C737" s="257">
        <f t="shared" ref="C737:Q740" si="756">SUM(C738)</f>
        <v>30000</v>
      </c>
      <c r="D737" s="257">
        <f t="shared" si="756"/>
        <v>30000</v>
      </c>
      <c r="E737" s="257">
        <f t="shared" si="756"/>
        <v>0</v>
      </c>
      <c r="F737" s="257">
        <f t="shared" si="756"/>
        <v>0</v>
      </c>
      <c r="G737" s="257">
        <f t="shared" si="756"/>
        <v>27000</v>
      </c>
      <c r="H737" s="257">
        <f t="shared" si="756"/>
        <v>0</v>
      </c>
      <c r="I737" s="257">
        <f t="shared" si="756"/>
        <v>0</v>
      </c>
      <c r="J737" s="257">
        <f t="shared" si="756"/>
        <v>0</v>
      </c>
      <c r="K737" s="257">
        <f t="shared" si="756"/>
        <v>0</v>
      </c>
      <c r="L737" s="257">
        <f t="shared" si="756"/>
        <v>0</v>
      </c>
      <c r="M737" s="257">
        <f t="shared" si="756"/>
        <v>0</v>
      </c>
      <c r="N737" s="257">
        <f t="shared" si="756"/>
        <v>0</v>
      </c>
      <c r="O737" s="257">
        <f t="shared" si="756"/>
        <v>0</v>
      </c>
      <c r="P737" s="257">
        <f t="shared" si="756"/>
        <v>0</v>
      </c>
      <c r="Q737" s="257">
        <f t="shared" si="756"/>
        <v>0</v>
      </c>
    </row>
    <row r="738" spans="1:17" customFormat="1" ht="14.4" hidden="1" x14ac:dyDescent="0.3">
      <c r="A738" s="721" t="s">
        <v>241</v>
      </c>
      <c r="B738" s="721"/>
      <c r="C738" s="258">
        <f t="shared" si="756"/>
        <v>30000</v>
      </c>
      <c r="D738" s="258">
        <f t="shared" si="756"/>
        <v>30000</v>
      </c>
      <c r="E738" s="258">
        <f t="shared" si="756"/>
        <v>0</v>
      </c>
      <c r="F738" s="258">
        <f t="shared" si="756"/>
        <v>0</v>
      </c>
      <c r="G738" s="258">
        <f t="shared" si="756"/>
        <v>27000</v>
      </c>
      <c r="H738" s="258">
        <f t="shared" si="756"/>
        <v>0</v>
      </c>
      <c r="I738" s="258">
        <f t="shared" si="756"/>
        <v>0</v>
      </c>
      <c r="J738" s="258">
        <f t="shared" si="756"/>
        <v>0</v>
      </c>
      <c r="K738" s="258">
        <f t="shared" si="756"/>
        <v>0</v>
      </c>
      <c r="L738" s="258">
        <f t="shared" si="756"/>
        <v>0</v>
      </c>
      <c r="M738" s="258">
        <f t="shared" si="756"/>
        <v>0</v>
      </c>
      <c r="N738" s="258">
        <f t="shared" si="756"/>
        <v>0</v>
      </c>
      <c r="O738" s="258">
        <f t="shared" si="756"/>
        <v>0</v>
      </c>
      <c r="P738" s="258">
        <f t="shared" si="756"/>
        <v>0</v>
      </c>
      <c r="Q738" s="258">
        <f t="shared" si="756"/>
        <v>0</v>
      </c>
    </row>
    <row r="739" spans="1:17" customFormat="1" ht="14.4" hidden="1" x14ac:dyDescent="0.3">
      <c r="A739" s="185" t="s">
        <v>317</v>
      </c>
      <c r="B739" s="185" t="s">
        <v>318</v>
      </c>
      <c r="C739" s="218">
        <f>SUM(C740)</f>
        <v>30000</v>
      </c>
      <c r="D739" s="218">
        <f t="shared" si="756"/>
        <v>30000</v>
      </c>
      <c r="E739" s="218">
        <f t="shared" si="756"/>
        <v>0</v>
      </c>
      <c r="F739" s="218">
        <f t="shared" si="756"/>
        <v>0</v>
      </c>
      <c r="G739" s="218">
        <f t="shared" si="756"/>
        <v>27000</v>
      </c>
      <c r="H739" s="218">
        <f t="shared" si="756"/>
        <v>0</v>
      </c>
      <c r="I739" s="218">
        <f t="shared" si="756"/>
        <v>0</v>
      </c>
      <c r="J739" s="218">
        <f t="shared" si="756"/>
        <v>0</v>
      </c>
      <c r="K739" s="218">
        <f t="shared" si="756"/>
        <v>0</v>
      </c>
      <c r="L739" s="218">
        <f t="shared" si="756"/>
        <v>0</v>
      </c>
      <c r="M739" s="218">
        <f t="shared" si="756"/>
        <v>0</v>
      </c>
      <c r="N739" s="218">
        <f t="shared" si="756"/>
        <v>0</v>
      </c>
      <c r="O739" s="218">
        <f t="shared" si="756"/>
        <v>0</v>
      </c>
      <c r="P739" s="218">
        <f t="shared" si="756"/>
        <v>0</v>
      </c>
      <c r="Q739" s="218">
        <f t="shared" si="756"/>
        <v>0</v>
      </c>
    </row>
    <row r="740" spans="1:17" customFormat="1" ht="14.4" hidden="1" x14ac:dyDescent="0.3">
      <c r="A740" s="198" t="s">
        <v>149</v>
      </c>
      <c r="B740" s="198" t="s">
        <v>12</v>
      </c>
      <c r="C740" s="259">
        <f t="shared" si="756"/>
        <v>30000</v>
      </c>
      <c r="D740" s="259">
        <f t="shared" si="756"/>
        <v>30000</v>
      </c>
      <c r="E740" s="259">
        <f t="shared" si="756"/>
        <v>0</v>
      </c>
      <c r="F740" s="259">
        <f t="shared" si="756"/>
        <v>0</v>
      </c>
      <c r="G740" s="259">
        <f t="shared" si="756"/>
        <v>27000</v>
      </c>
      <c r="H740" s="259">
        <f t="shared" si="756"/>
        <v>0</v>
      </c>
      <c r="I740" s="259">
        <f t="shared" si="756"/>
        <v>0</v>
      </c>
      <c r="J740" s="259">
        <f t="shared" si="756"/>
        <v>0</v>
      </c>
      <c r="K740" s="259">
        <f t="shared" si="756"/>
        <v>0</v>
      </c>
      <c r="L740" s="259">
        <f t="shared" si="756"/>
        <v>0</v>
      </c>
      <c r="M740" s="259">
        <f t="shared" si="756"/>
        <v>0</v>
      </c>
      <c r="N740" s="259">
        <f t="shared" si="756"/>
        <v>0</v>
      </c>
      <c r="O740" s="259">
        <f t="shared" si="756"/>
        <v>0</v>
      </c>
      <c r="P740" s="259">
        <f t="shared" si="756"/>
        <v>0</v>
      </c>
      <c r="Q740" s="259">
        <f t="shared" si="756"/>
        <v>0</v>
      </c>
    </row>
    <row r="741" spans="1:17" customFormat="1" ht="14.4" hidden="1" x14ac:dyDescent="0.3">
      <c r="A741" s="180">
        <v>3213</v>
      </c>
      <c r="B741" s="204" t="s">
        <v>15</v>
      </c>
      <c r="C741" s="260">
        <v>30000</v>
      </c>
      <c r="D741" s="260">
        <v>30000</v>
      </c>
      <c r="E741" s="260"/>
      <c r="F741" s="182">
        <f t="shared" ref="F741" si="757">C741-D741+E741</f>
        <v>0</v>
      </c>
      <c r="G741" s="260">
        <v>27000</v>
      </c>
      <c r="H741" s="260"/>
      <c r="I741" s="260">
        <v>0</v>
      </c>
      <c r="J741" s="399"/>
      <c r="K741" s="399"/>
      <c r="L741" s="399"/>
      <c r="M741" s="260">
        <v>0</v>
      </c>
      <c r="N741" s="260">
        <v>0</v>
      </c>
      <c r="O741" s="260">
        <v>0</v>
      </c>
      <c r="P741" s="260">
        <v>0</v>
      </c>
      <c r="Q741" s="260">
        <v>0</v>
      </c>
    </row>
    <row r="742" spans="1:17" customFormat="1" ht="66" hidden="1" x14ac:dyDescent="0.3">
      <c r="A742" s="170" t="s">
        <v>83</v>
      </c>
      <c r="B742" s="171" t="s">
        <v>360</v>
      </c>
      <c r="C742" s="172">
        <f>SUM(C743)</f>
        <v>2737000</v>
      </c>
      <c r="D742" s="172">
        <f t="shared" ref="D742:Q742" si="758">SUM(D743)</f>
        <v>1278000</v>
      </c>
      <c r="E742" s="172">
        <f t="shared" si="758"/>
        <v>2000</v>
      </c>
      <c r="F742" s="172">
        <f t="shared" si="758"/>
        <v>1461000</v>
      </c>
      <c r="G742" s="172">
        <f t="shared" si="758"/>
        <v>364000</v>
      </c>
      <c r="H742" s="172">
        <f t="shared" si="758"/>
        <v>0</v>
      </c>
      <c r="I742" s="172">
        <f t="shared" si="758"/>
        <v>800000</v>
      </c>
      <c r="J742" s="172">
        <f t="shared" si="758"/>
        <v>781900</v>
      </c>
      <c r="K742" s="172">
        <f t="shared" si="758"/>
        <v>242000</v>
      </c>
      <c r="L742" s="172">
        <f t="shared" si="758"/>
        <v>260100</v>
      </c>
      <c r="M742" s="172">
        <f t="shared" si="758"/>
        <v>0</v>
      </c>
      <c r="N742" s="172">
        <f t="shared" si="758"/>
        <v>0</v>
      </c>
      <c r="O742" s="172">
        <f t="shared" si="758"/>
        <v>0</v>
      </c>
      <c r="P742" s="172">
        <f t="shared" si="758"/>
        <v>0</v>
      </c>
      <c r="Q742" s="172">
        <f t="shared" si="758"/>
        <v>0</v>
      </c>
    </row>
    <row r="743" spans="1:17" customFormat="1" ht="17.100000000000001" hidden="1" customHeight="1" x14ac:dyDescent="0.3">
      <c r="A743" s="721" t="s">
        <v>118</v>
      </c>
      <c r="B743" s="721"/>
      <c r="C743" s="173">
        <f t="shared" ref="C743:N743" si="759">SUM(C744,C753,C781,C791)</f>
        <v>2737000</v>
      </c>
      <c r="D743" s="173">
        <f t="shared" si="759"/>
        <v>1278000</v>
      </c>
      <c r="E743" s="173">
        <f t="shared" si="759"/>
        <v>2000</v>
      </c>
      <c r="F743" s="173">
        <f t="shared" si="759"/>
        <v>1461000</v>
      </c>
      <c r="G743" s="173">
        <f t="shared" si="759"/>
        <v>364000</v>
      </c>
      <c r="H743" s="173">
        <f t="shared" si="759"/>
        <v>0</v>
      </c>
      <c r="I743" s="173">
        <f t="shared" si="759"/>
        <v>800000</v>
      </c>
      <c r="J743" s="173">
        <f t="shared" si="759"/>
        <v>781900</v>
      </c>
      <c r="K743" s="173">
        <f>SUM(K744,K753,K781,K791)</f>
        <v>242000</v>
      </c>
      <c r="L743" s="173">
        <f t="shared" si="759"/>
        <v>260100</v>
      </c>
      <c r="M743" s="173">
        <f t="shared" si="759"/>
        <v>0</v>
      </c>
      <c r="N743" s="173">
        <f t="shared" si="759"/>
        <v>0</v>
      </c>
      <c r="O743" s="173">
        <f t="shared" ref="O743:P743" si="760">SUM(O744,O753,O781,O791)</f>
        <v>0</v>
      </c>
      <c r="P743" s="173">
        <f t="shared" si="760"/>
        <v>0</v>
      </c>
      <c r="Q743" s="173">
        <f t="shared" ref="Q743" si="761">SUM(Q744,Q753,Q781,Q791)</f>
        <v>0</v>
      </c>
    </row>
    <row r="744" spans="1:17" customFormat="1" ht="18" hidden="1" customHeight="1" x14ac:dyDescent="0.3">
      <c r="A744" s="276" t="s">
        <v>315</v>
      </c>
      <c r="B744" s="271" t="s">
        <v>316</v>
      </c>
      <c r="C744" s="187">
        <f>SUM(C745,C747,C749)</f>
        <v>100000</v>
      </c>
      <c r="D744" s="187">
        <f t="shared" ref="D744:N744" si="762">SUM(D745,D747,D749)</f>
        <v>96000</v>
      </c>
      <c r="E744" s="187">
        <f t="shared" si="762"/>
        <v>0</v>
      </c>
      <c r="F744" s="187">
        <f t="shared" si="762"/>
        <v>4000</v>
      </c>
      <c r="G744" s="187">
        <f t="shared" si="762"/>
        <v>0</v>
      </c>
      <c r="H744" s="187">
        <f t="shared" si="762"/>
        <v>0</v>
      </c>
      <c r="I744" s="187">
        <f t="shared" si="762"/>
        <v>0</v>
      </c>
      <c r="J744" s="187">
        <f t="shared" si="762"/>
        <v>0</v>
      </c>
      <c r="K744" s="187">
        <f t="shared" si="762"/>
        <v>0</v>
      </c>
      <c r="L744" s="187">
        <f t="shared" si="762"/>
        <v>0</v>
      </c>
      <c r="M744" s="187">
        <f t="shared" si="762"/>
        <v>0</v>
      </c>
      <c r="N744" s="187">
        <f t="shared" si="762"/>
        <v>0</v>
      </c>
      <c r="O744" s="187">
        <f t="shared" ref="O744:P744" si="763">SUM(O745,O747,O749)</f>
        <v>0</v>
      </c>
      <c r="P744" s="187">
        <f t="shared" si="763"/>
        <v>0</v>
      </c>
      <c r="Q744" s="187">
        <f t="shared" ref="Q744" si="764">SUM(Q745,Q747,Q749)</f>
        <v>0</v>
      </c>
    </row>
    <row r="745" spans="1:17" customFormat="1" ht="14.4" hidden="1" x14ac:dyDescent="0.3">
      <c r="A745" s="177">
        <v>311</v>
      </c>
      <c r="B745" s="178" t="s">
        <v>4</v>
      </c>
      <c r="C745" s="179">
        <f>SUM(C746)</f>
        <v>90000</v>
      </c>
      <c r="D745" s="179">
        <f t="shared" ref="D745:F745" si="765">SUM(D746)</f>
        <v>87000</v>
      </c>
      <c r="E745" s="179">
        <f t="shared" si="765"/>
        <v>0</v>
      </c>
      <c r="F745" s="179">
        <f t="shared" si="765"/>
        <v>3000</v>
      </c>
      <c r="G745" s="179">
        <f t="shared" ref="G745:H745" si="766">SUM(G746,G751)</f>
        <v>0</v>
      </c>
      <c r="H745" s="179">
        <f t="shared" si="766"/>
        <v>0</v>
      </c>
      <c r="I745" s="179">
        <f t="shared" ref="I745:M745" si="767">SUM(I746,I751)</f>
        <v>0</v>
      </c>
      <c r="J745" s="179">
        <f t="shared" si="767"/>
        <v>0</v>
      </c>
      <c r="K745" s="179">
        <f t="shared" si="767"/>
        <v>0</v>
      </c>
      <c r="L745" s="179">
        <f t="shared" si="767"/>
        <v>0</v>
      </c>
      <c r="M745" s="179">
        <f t="shared" si="767"/>
        <v>0</v>
      </c>
      <c r="N745" s="179">
        <f t="shared" ref="N745:O745" si="768">SUM(N746,N751)</f>
        <v>0</v>
      </c>
      <c r="O745" s="179">
        <f t="shared" si="768"/>
        <v>0</v>
      </c>
      <c r="P745" s="179">
        <f t="shared" ref="P745:Q745" si="769">SUM(P746,P751)</f>
        <v>0</v>
      </c>
      <c r="Q745" s="179">
        <f t="shared" si="769"/>
        <v>0</v>
      </c>
    </row>
    <row r="746" spans="1:17" customFormat="1" ht="14.4" hidden="1" x14ac:dyDescent="0.3">
      <c r="A746" s="180">
        <v>3111</v>
      </c>
      <c r="B746" s="181" t="s">
        <v>5</v>
      </c>
      <c r="C746" s="182">
        <v>90000</v>
      </c>
      <c r="D746" s="182">
        <v>87000</v>
      </c>
      <c r="E746" s="182"/>
      <c r="F746" s="182">
        <f t="shared" ref="F746:F751" si="770">C746-D746+E746</f>
        <v>3000</v>
      </c>
      <c r="G746" s="182"/>
      <c r="H746" s="182"/>
      <c r="I746" s="182"/>
      <c r="J746" s="220"/>
      <c r="K746" s="220"/>
      <c r="L746" s="220"/>
      <c r="M746" s="182"/>
      <c r="N746" s="182"/>
      <c r="O746" s="182"/>
      <c r="P746" s="182"/>
      <c r="Q746" s="182"/>
    </row>
    <row r="747" spans="1:17" s="6" customFormat="1" ht="15" hidden="1" customHeight="1" x14ac:dyDescent="0.3">
      <c r="A747" s="177">
        <v>312</v>
      </c>
      <c r="B747" s="178" t="s">
        <v>7</v>
      </c>
      <c r="C747" s="179">
        <f t="shared" ref="C747:D747" si="771">SUM(C748)</f>
        <v>0</v>
      </c>
      <c r="D747" s="179">
        <f t="shared" si="771"/>
        <v>0</v>
      </c>
      <c r="E747" s="179"/>
      <c r="F747" s="182">
        <f t="shared" si="770"/>
        <v>0</v>
      </c>
      <c r="G747" s="179"/>
      <c r="H747" s="179"/>
      <c r="I747" s="179"/>
      <c r="J747" s="219"/>
      <c r="K747" s="219"/>
      <c r="L747" s="219"/>
      <c r="M747" s="179"/>
      <c r="N747" s="179"/>
      <c r="O747" s="179"/>
      <c r="P747" s="179"/>
      <c r="Q747" s="179"/>
    </row>
    <row r="748" spans="1:17" customFormat="1" ht="14.4" hidden="1" x14ac:dyDescent="0.3">
      <c r="A748" s="180">
        <v>3121</v>
      </c>
      <c r="B748" s="181" t="s">
        <v>7</v>
      </c>
      <c r="C748" s="182"/>
      <c r="D748" s="182"/>
      <c r="E748" s="182"/>
      <c r="F748" s="182">
        <f t="shared" si="770"/>
        <v>0</v>
      </c>
      <c r="G748" s="182"/>
      <c r="H748" s="182"/>
      <c r="I748" s="182"/>
      <c r="J748" s="220"/>
      <c r="K748" s="220"/>
      <c r="L748" s="220"/>
      <c r="M748" s="182"/>
      <c r="N748" s="182"/>
      <c r="O748" s="182"/>
      <c r="P748" s="182"/>
      <c r="Q748" s="182"/>
    </row>
    <row r="749" spans="1:17" customFormat="1" ht="14.4" hidden="1" x14ac:dyDescent="0.3">
      <c r="A749" s="177">
        <v>313</v>
      </c>
      <c r="B749" s="178" t="s">
        <v>8</v>
      </c>
      <c r="C749" s="179">
        <f t="shared" ref="C749:D749" si="772">SUM(C751:C752)</f>
        <v>10000</v>
      </c>
      <c r="D749" s="179">
        <f t="shared" si="772"/>
        <v>9000</v>
      </c>
      <c r="E749" s="179"/>
      <c r="F749" s="182">
        <f t="shared" si="770"/>
        <v>1000</v>
      </c>
      <c r="G749" s="179"/>
      <c r="H749" s="179"/>
      <c r="I749" s="179">
        <f>SUM(I751)</f>
        <v>0</v>
      </c>
      <c r="J749" s="179">
        <f t="shared" ref="J749:K749" si="773">SUM(J751)</f>
        <v>0</v>
      </c>
      <c r="K749" s="179">
        <f t="shared" si="773"/>
        <v>0</v>
      </c>
      <c r="L749" s="259">
        <f t="shared" ref="L749:Q749" si="774">SUM(L751)</f>
        <v>0</v>
      </c>
      <c r="M749" s="259">
        <f t="shared" si="774"/>
        <v>0</v>
      </c>
      <c r="N749" s="179">
        <f t="shared" si="774"/>
        <v>0</v>
      </c>
      <c r="O749" s="179">
        <f t="shared" si="774"/>
        <v>0</v>
      </c>
      <c r="P749" s="179">
        <f t="shared" si="774"/>
        <v>0</v>
      </c>
      <c r="Q749" s="179">
        <f t="shared" si="774"/>
        <v>0</v>
      </c>
    </row>
    <row r="750" spans="1:17" customFormat="1" ht="14.4" hidden="1" x14ac:dyDescent="0.3">
      <c r="A750" s="180">
        <v>3131</v>
      </c>
      <c r="B750" s="181" t="s">
        <v>9</v>
      </c>
      <c r="C750" s="182"/>
      <c r="D750" s="182"/>
      <c r="E750" s="182"/>
      <c r="F750" s="182">
        <f t="shared" si="770"/>
        <v>0</v>
      </c>
      <c r="G750" s="182"/>
      <c r="H750" s="182"/>
      <c r="I750" s="182"/>
      <c r="J750" s="220"/>
      <c r="K750" s="220"/>
      <c r="L750" s="220"/>
      <c r="M750" s="182"/>
      <c r="N750" s="182"/>
      <c r="O750" s="182"/>
      <c r="P750" s="182"/>
      <c r="Q750" s="182"/>
    </row>
    <row r="751" spans="1:17" customFormat="1" ht="15" hidden="1" customHeight="1" x14ac:dyDescent="0.3">
      <c r="A751" s="180">
        <v>3132</v>
      </c>
      <c r="B751" s="181" t="s">
        <v>10</v>
      </c>
      <c r="C751" s="182">
        <v>10000</v>
      </c>
      <c r="D751" s="182">
        <v>9000</v>
      </c>
      <c r="E751" s="182"/>
      <c r="F751" s="182">
        <f t="shared" si="770"/>
        <v>1000</v>
      </c>
      <c r="G751" s="182"/>
      <c r="H751" s="182"/>
      <c r="I751" s="182"/>
      <c r="J751" s="220"/>
      <c r="K751" s="220"/>
      <c r="L751" s="220"/>
      <c r="M751" s="182"/>
      <c r="N751" s="182"/>
      <c r="O751" s="182"/>
      <c r="P751" s="182"/>
      <c r="Q751" s="182"/>
    </row>
    <row r="752" spans="1:17" customFormat="1" ht="17.25" hidden="1" customHeight="1" x14ac:dyDescent="0.3">
      <c r="A752" s="180">
        <v>3133</v>
      </c>
      <c r="B752" s="181" t="s">
        <v>11</v>
      </c>
      <c r="C752" s="182"/>
      <c r="D752" s="182"/>
      <c r="E752" s="182"/>
      <c r="F752" s="182"/>
      <c r="G752" s="182"/>
      <c r="H752" s="182"/>
      <c r="I752" s="182"/>
      <c r="J752" s="220"/>
      <c r="K752" s="220"/>
      <c r="L752" s="220"/>
      <c r="M752" s="182"/>
      <c r="N752" s="182"/>
      <c r="O752" s="182"/>
      <c r="P752" s="182"/>
      <c r="Q752" s="182"/>
    </row>
    <row r="753" spans="1:17" customFormat="1" ht="14.4" hidden="1" x14ac:dyDescent="0.3">
      <c r="A753" s="463" t="s">
        <v>317</v>
      </c>
      <c r="B753" s="463" t="s">
        <v>318</v>
      </c>
      <c r="C753" s="464">
        <f>SUM(C754,C758,C766,C775,C777,C779)</f>
        <v>1211000</v>
      </c>
      <c r="D753" s="464">
        <f>SUM(D754,D758,D766,D775,D777,D779)</f>
        <v>232000</v>
      </c>
      <c r="E753" s="464">
        <f>SUM(E754,E758,E766,E775,E777,E779)</f>
        <v>2000</v>
      </c>
      <c r="F753" s="464">
        <f>SUM(F754,F758,F766,F775,F777,F779)</f>
        <v>981000</v>
      </c>
      <c r="G753" s="464">
        <f>SUM(G754,G766,G775)</f>
        <v>215000</v>
      </c>
      <c r="H753" s="464">
        <f>SUM(H754,H766,H775)</f>
        <v>0</v>
      </c>
      <c r="I753" s="464">
        <f t="shared" ref="I753:Q753" si="775">SUM(I754,I758,I766,I775)</f>
        <v>0</v>
      </c>
      <c r="J753" s="464">
        <f t="shared" si="775"/>
        <v>0</v>
      </c>
      <c r="K753" s="464">
        <f t="shared" si="775"/>
        <v>230000</v>
      </c>
      <c r="L753" s="464">
        <f t="shared" si="775"/>
        <v>230000</v>
      </c>
      <c r="M753" s="464">
        <f t="shared" si="775"/>
        <v>0</v>
      </c>
      <c r="N753" s="464">
        <f t="shared" si="775"/>
        <v>0</v>
      </c>
      <c r="O753" s="464">
        <f t="shared" si="775"/>
        <v>0</v>
      </c>
      <c r="P753" s="464">
        <f t="shared" si="775"/>
        <v>0</v>
      </c>
      <c r="Q753" s="464">
        <f t="shared" si="775"/>
        <v>0</v>
      </c>
    </row>
    <row r="754" spans="1:17" customFormat="1" ht="0.6" hidden="1" customHeight="1" x14ac:dyDescent="0.3">
      <c r="A754" s="177">
        <v>321</v>
      </c>
      <c r="B754" s="178" t="s">
        <v>12</v>
      </c>
      <c r="C754" s="179">
        <f>SUM(C755:C757)</f>
        <v>80000</v>
      </c>
      <c r="D754" s="179">
        <f t="shared" ref="D754:F754" si="776">SUM(D755:D757)</f>
        <v>75000</v>
      </c>
      <c r="E754" s="179">
        <f t="shared" si="776"/>
        <v>1000</v>
      </c>
      <c r="F754" s="179">
        <f t="shared" si="776"/>
        <v>6000</v>
      </c>
      <c r="G754" s="179">
        <f>SUM(G755:G763)</f>
        <v>0</v>
      </c>
      <c r="H754" s="179">
        <f>SUM(H755:H763)</f>
        <v>0</v>
      </c>
      <c r="I754" s="179">
        <f>SUM(I755:I757)</f>
        <v>0</v>
      </c>
      <c r="J754" s="179">
        <f t="shared" ref="J754:L754" si="777">SUM(J755:J757)</f>
        <v>0</v>
      </c>
      <c r="K754" s="179">
        <f t="shared" si="777"/>
        <v>0</v>
      </c>
      <c r="L754" s="179">
        <f t="shared" si="777"/>
        <v>0</v>
      </c>
      <c r="M754" s="179">
        <f t="shared" ref="M754:Q754" si="778">SUM(M755:M763)</f>
        <v>0</v>
      </c>
      <c r="N754" s="464">
        <f>SUM(N755,N759,N767,N776)</f>
        <v>0</v>
      </c>
      <c r="O754" s="179">
        <f t="shared" si="778"/>
        <v>0</v>
      </c>
      <c r="P754" s="179">
        <f t="shared" si="778"/>
        <v>0</v>
      </c>
      <c r="Q754" s="179">
        <f t="shared" si="778"/>
        <v>0</v>
      </c>
    </row>
    <row r="755" spans="1:17" customFormat="1" ht="14.4" hidden="1" x14ac:dyDescent="0.3">
      <c r="A755" s="180">
        <v>3211</v>
      </c>
      <c r="B755" s="181" t="s">
        <v>13</v>
      </c>
      <c r="C755" s="182">
        <v>60000</v>
      </c>
      <c r="D755" s="182">
        <v>60000</v>
      </c>
      <c r="E755" s="182"/>
      <c r="F755" s="182">
        <f t="shared" ref="F755:F763" si="779">C755-D755+E755</f>
        <v>0</v>
      </c>
      <c r="G755" s="182"/>
      <c r="H755" s="182"/>
      <c r="I755" s="182"/>
      <c r="J755" s="220"/>
      <c r="K755" s="220"/>
      <c r="L755" s="220"/>
      <c r="M755" s="182"/>
      <c r="N755" s="182"/>
      <c r="O755" s="182"/>
      <c r="P755" s="182"/>
      <c r="Q755" s="182"/>
    </row>
    <row r="756" spans="1:17" customFormat="1" ht="14.4" hidden="1" x14ac:dyDescent="0.3">
      <c r="A756" s="180" t="s">
        <v>151</v>
      </c>
      <c r="B756" s="204" t="s">
        <v>14</v>
      </c>
      <c r="C756" s="182"/>
      <c r="D756" s="182"/>
      <c r="E756" s="182">
        <v>1000</v>
      </c>
      <c r="F756" s="182">
        <f t="shared" si="779"/>
        <v>1000</v>
      </c>
      <c r="G756" s="182"/>
      <c r="H756" s="182"/>
      <c r="I756" s="182"/>
      <c r="J756" s="220"/>
      <c r="K756" s="220"/>
      <c r="L756" s="220"/>
      <c r="M756" s="182"/>
      <c r="N756" s="182"/>
      <c r="O756" s="182"/>
      <c r="P756" s="182"/>
      <c r="Q756" s="182"/>
    </row>
    <row r="757" spans="1:17" customFormat="1" ht="14.4" hidden="1" x14ac:dyDescent="0.3">
      <c r="A757" s="180">
        <v>3213</v>
      </c>
      <c r="B757" s="181" t="s">
        <v>15</v>
      </c>
      <c r="C757" s="182">
        <v>20000</v>
      </c>
      <c r="D757" s="182">
        <v>15000</v>
      </c>
      <c r="E757" s="182"/>
      <c r="F757" s="182">
        <f t="shared" si="779"/>
        <v>5000</v>
      </c>
      <c r="G757" s="182"/>
      <c r="H757" s="182"/>
      <c r="I757" s="182"/>
      <c r="J757" s="220"/>
      <c r="K757" s="220"/>
      <c r="L757" s="220"/>
      <c r="M757" s="182"/>
      <c r="N757" s="182"/>
      <c r="O757" s="182"/>
      <c r="P757" s="182"/>
      <c r="Q757" s="182"/>
    </row>
    <row r="758" spans="1:17" customFormat="1" ht="15" hidden="1" customHeight="1" x14ac:dyDescent="0.3">
      <c r="A758" s="177">
        <v>322</v>
      </c>
      <c r="B758" s="178" t="s">
        <v>16</v>
      </c>
      <c r="C758" s="179">
        <f>SUM(C759,C763)</f>
        <v>1000</v>
      </c>
      <c r="D758" s="179">
        <f t="shared" ref="D758:F758" si="780">SUM(D759,D763)</f>
        <v>0</v>
      </c>
      <c r="E758" s="179">
        <f t="shared" si="780"/>
        <v>1000</v>
      </c>
      <c r="F758" s="179">
        <f t="shared" si="780"/>
        <v>2000</v>
      </c>
      <c r="G758" s="179"/>
      <c r="H758" s="179"/>
      <c r="I758" s="179">
        <f>SUM(I759:I763)</f>
        <v>0</v>
      </c>
      <c r="J758" s="179">
        <f t="shared" ref="J758:Q758" si="781">SUM(J759:J763)</f>
        <v>0</v>
      </c>
      <c r="K758" s="179">
        <f t="shared" si="781"/>
        <v>133800</v>
      </c>
      <c r="L758" s="179">
        <f>SUM(L759:L763)</f>
        <v>133800</v>
      </c>
      <c r="M758" s="179">
        <f t="shared" si="781"/>
        <v>0</v>
      </c>
      <c r="N758" s="179">
        <f t="shared" si="781"/>
        <v>0</v>
      </c>
      <c r="O758" s="179">
        <f t="shared" si="781"/>
        <v>0</v>
      </c>
      <c r="P758" s="179">
        <f t="shared" si="781"/>
        <v>0</v>
      </c>
      <c r="Q758" s="179">
        <f t="shared" si="781"/>
        <v>0</v>
      </c>
    </row>
    <row r="759" spans="1:17" customFormat="1" ht="14.4" hidden="1" x14ac:dyDescent="0.3">
      <c r="A759" s="180">
        <v>3221</v>
      </c>
      <c r="B759" s="181" t="s">
        <v>17</v>
      </c>
      <c r="C759" s="182"/>
      <c r="D759" s="182"/>
      <c r="E759" s="182">
        <v>1000</v>
      </c>
      <c r="F759" s="182">
        <f t="shared" si="779"/>
        <v>1000</v>
      </c>
      <c r="G759" s="182"/>
      <c r="H759" s="182"/>
      <c r="I759" s="182"/>
      <c r="J759" s="220"/>
      <c r="K759" s="220"/>
      <c r="L759" s="220">
        <f>I759-J759+K759</f>
        <v>0</v>
      </c>
      <c r="M759" s="182"/>
      <c r="N759" s="182"/>
      <c r="O759" s="182"/>
      <c r="P759" s="182"/>
      <c r="Q759" s="182"/>
    </row>
    <row r="760" spans="1:17" customFormat="1" ht="13.5" hidden="1" customHeight="1" x14ac:dyDescent="0.3">
      <c r="A760" s="180">
        <v>3222</v>
      </c>
      <c r="B760" s="181" t="s">
        <v>18</v>
      </c>
      <c r="C760" s="182"/>
      <c r="D760" s="182"/>
      <c r="E760" s="182"/>
      <c r="F760" s="182">
        <f t="shared" si="779"/>
        <v>0</v>
      </c>
      <c r="G760" s="182"/>
      <c r="H760" s="182"/>
      <c r="I760" s="182"/>
      <c r="J760" s="220"/>
      <c r="K760" s="220">
        <v>112600</v>
      </c>
      <c r="L760" s="220">
        <f>I760-J760+K760</f>
        <v>112600</v>
      </c>
      <c r="M760" s="182"/>
      <c r="N760" s="182"/>
      <c r="O760" s="182"/>
      <c r="P760" s="182"/>
      <c r="Q760" s="182"/>
    </row>
    <row r="761" spans="1:17" customFormat="1" ht="14.4" hidden="1" x14ac:dyDescent="0.3">
      <c r="A761" s="180">
        <v>3223</v>
      </c>
      <c r="B761" s="181" t="s">
        <v>19</v>
      </c>
      <c r="C761" s="182"/>
      <c r="D761" s="182"/>
      <c r="E761" s="182"/>
      <c r="F761" s="182">
        <f t="shared" si="779"/>
        <v>0</v>
      </c>
      <c r="G761" s="182"/>
      <c r="H761" s="182"/>
      <c r="I761" s="182"/>
      <c r="J761" s="220"/>
      <c r="K761" s="220"/>
      <c r="L761" s="220">
        <f t="shared" ref="L761:L763" si="782">I761-J761+K761</f>
        <v>0</v>
      </c>
      <c r="M761" s="182"/>
      <c r="N761" s="182"/>
      <c r="O761" s="182"/>
      <c r="P761" s="182"/>
      <c r="Q761" s="182"/>
    </row>
    <row r="762" spans="1:17" customFormat="1" ht="26.4" hidden="1" x14ac:dyDescent="0.3">
      <c r="A762" s="180">
        <v>3224</v>
      </c>
      <c r="B762" s="181" t="s">
        <v>20</v>
      </c>
      <c r="C762" s="182"/>
      <c r="D762" s="182"/>
      <c r="E762" s="182"/>
      <c r="F762" s="182">
        <f t="shared" si="779"/>
        <v>0</v>
      </c>
      <c r="G762" s="182"/>
      <c r="H762" s="182"/>
      <c r="I762" s="182"/>
      <c r="J762" s="220"/>
      <c r="K762" s="220">
        <v>300</v>
      </c>
      <c r="L762" s="220">
        <f t="shared" si="782"/>
        <v>300</v>
      </c>
      <c r="M762" s="182"/>
      <c r="N762" s="182"/>
      <c r="O762" s="182"/>
      <c r="P762" s="182"/>
      <c r="Q762" s="182"/>
    </row>
    <row r="763" spans="1:17" customFormat="1" ht="14.25" hidden="1" customHeight="1" x14ac:dyDescent="0.3">
      <c r="A763" s="180">
        <v>3225</v>
      </c>
      <c r="B763" s="181" t="s">
        <v>21</v>
      </c>
      <c r="C763" s="182">
        <v>1000</v>
      </c>
      <c r="D763" s="182"/>
      <c r="E763" s="182"/>
      <c r="F763" s="182">
        <f t="shared" si="779"/>
        <v>1000</v>
      </c>
      <c r="G763" s="182"/>
      <c r="H763" s="182"/>
      <c r="I763" s="182"/>
      <c r="J763" s="220"/>
      <c r="K763" s="220">
        <v>20900</v>
      </c>
      <c r="L763" s="220">
        <f t="shared" si="782"/>
        <v>20900</v>
      </c>
      <c r="M763" s="182"/>
      <c r="N763" s="182"/>
      <c r="O763" s="182"/>
      <c r="P763" s="182"/>
      <c r="Q763" s="182"/>
    </row>
    <row r="764" spans="1:17" customFormat="1" ht="14.4" hidden="1" x14ac:dyDescent="0.3">
      <c r="A764" s="180">
        <v>3227</v>
      </c>
      <c r="B764" s="181" t="s">
        <v>22</v>
      </c>
      <c r="C764" s="182"/>
      <c r="D764" s="182"/>
      <c r="E764" s="182"/>
      <c r="F764" s="182"/>
      <c r="G764" s="182"/>
      <c r="H764" s="182"/>
      <c r="I764" s="182"/>
      <c r="J764" s="220"/>
      <c r="K764" s="220"/>
      <c r="L764" s="220"/>
      <c r="M764" s="182"/>
      <c r="N764" s="182"/>
      <c r="O764" s="182"/>
      <c r="P764" s="182"/>
      <c r="Q764" s="182"/>
    </row>
    <row r="765" spans="1:17" customFormat="1" ht="14.4" hidden="1" x14ac:dyDescent="0.3">
      <c r="A765" s="222"/>
      <c r="B765" s="261"/>
      <c r="C765" s="220"/>
      <c r="D765" s="220"/>
      <c r="E765" s="220"/>
      <c r="F765" s="220"/>
      <c r="G765" s="220"/>
      <c r="H765" s="220"/>
      <c r="I765" s="220"/>
      <c r="J765" s="220"/>
      <c r="K765" s="220"/>
      <c r="L765" s="220"/>
      <c r="M765" s="220"/>
      <c r="N765" s="220"/>
      <c r="O765" s="220"/>
      <c r="P765" s="220"/>
      <c r="Q765" s="220"/>
    </row>
    <row r="766" spans="1:17" customFormat="1" ht="14.25" hidden="1" customHeight="1" x14ac:dyDescent="0.3">
      <c r="A766" s="177">
        <v>323</v>
      </c>
      <c r="B766" s="178" t="s">
        <v>23</v>
      </c>
      <c r="C766" s="179">
        <f>SUM(C767:C774)</f>
        <v>1100000</v>
      </c>
      <c r="D766" s="179">
        <f t="shared" ref="D766:F766" si="783">SUM(D767:D774)</f>
        <v>127000</v>
      </c>
      <c r="E766" s="179">
        <f t="shared" si="783"/>
        <v>0</v>
      </c>
      <c r="F766" s="179">
        <f t="shared" si="783"/>
        <v>973000</v>
      </c>
      <c r="G766" s="179">
        <f t="shared" ref="G766:H766" si="784">SUM(G767:G774)</f>
        <v>215000</v>
      </c>
      <c r="H766" s="179">
        <f t="shared" si="784"/>
        <v>0</v>
      </c>
      <c r="I766" s="179">
        <f t="shared" ref="I766:M766" si="785">SUM(I767:I774)</f>
        <v>0</v>
      </c>
      <c r="J766" s="179">
        <f t="shared" si="785"/>
        <v>0</v>
      </c>
      <c r="K766" s="179">
        <f t="shared" si="785"/>
        <v>96200</v>
      </c>
      <c r="L766" s="179">
        <f t="shared" si="785"/>
        <v>96200</v>
      </c>
      <c r="M766" s="179">
        <f t="shared" si="785"/>
        <v>0</v>
      </c>
      <c r="N766" s="179">
        <f t="shared" ref="N766:O766" si="786">SUM(N767:N774)</f>
        <v>0</v>
      </c>
      <c r="O766" s="179">
        <f t="shared" si="786"/>
        <v>0</v>
      </c>
      <c r="P766" s="179">
        <f t="shared" ref="P766:Q766" si="787">SUM(P767:P774)</f>
        <v>0</v>
      </c>
      <c r="Q766" s="179">
        <f t="shared" si="787"/>
        <v>0</v>
      </c>
    </row>
    <row r="767" spans="1:17" customFormat="1" ht="14.4" hidden="1" x14ac:dyDescent="0.3">
      <c r="A767" s="180">
        <v>3231</v>
      </c>
      <c r="B767" s="181" t="s">
        <v>262</v>
      </c>
      <c r="C767" s="182"/>
      <c r="D767" s="182"/>
      <c r="E767" s="182"/>
      <c r="F767" s="182"/>
      <c r="G767" s="182"/>
      <c r="H767" s="182"/>
      <c r="I767" s="182"/>
      <c r="J767" s="220"/>
      <c r="K767" s="220"/>
      <c r="L767" s="220"/>
      <c r="M767" s="182"/>
      <c r="N767" s="182"/>
      <c r="O767" s="182"/>
      <c r="P767" s="182"/>
      <c r="Q767" s="182"/>
    </row>
    <row r="768" spans="1:17" customFormat="1" ht="15" hidden="1" customHeight="1" x14ac:dyDescent="0.3">
      <c r="A768" s="180">
        <v>3232</v>
      </c>
      <c r="B768" s="181" t="s">
        <v>25</v>
      </c>
      <c r="C768" s="182">
        <v>430000</v>
      </c>
      <c r="D768" s="182">
        <v>60000</v>
      </c>
      <c r="E768" s="182"/>
      <c r="F768" s="182">
        <f t="shared" ref="F768:F776" si="788">C768-D768+E768</f>
        <v>370000</v>
      </c>
      <c r="G768" s="182"/>
      <c r="H768" s="182"/>
      <c r="I768" s="182"/>
      <c r="J768" s="220"/>
      <c r="K768" s="220">
        <v>95200</v>
      </c>
      <c r="L768" s="220">
        <f t="shared" ref="L768:L774" si="789">I768-J768+K768</f>
        <v>95200</v>
      </c>
      <c r="M768" s="182"/>
      <c r="N768" s="182"/>
      <c r="O768" s="182"/>
      <c r="P768" s="182"/>
      <c r="Q768" s="182"/>
    </row>
    <row r="769" spans="1:17" customFormat="1" ht="0.6" hidden="1" customHeight="1" x14ac:dyDescent="0.3">
      <c r="A769" s="180">
        <v>3233</v>
      </c>
      <c r="B769" s="181" t="s">
        <v>26</v>
      </c>
      <c r="C769" s="182">
        <v>10000</v>
      </c>
      <c r="D769" s="182"/>
      <c r="E769" s="182"/>
      <c r="F769" s="182">
        <f t="shared" si="788"/>
        <v>10000</v>
      </c>
      <c r="G769" s="182"/>
      <c r="H769" s="182"/>
      <c r="I769" s="182"/>
      <c r="J769" s="220"/>
      <c r="K769" s="220"/>
      <c r="L769" s="220">
        <f t="shared" si="789"/>
        <v>0</v>
      </c>
      <c r="M769" s="182"/>
      <c r="N769" s="182"/>
      <c r="O769" s="182"/>
      <c r="P769" s="182"/>
      <c r="Q769" s="182"/>
    </row>
    <row r="770" spans="1:17" customFormat="1" ht="12" hidden="1" customHeight="1" x14ac:dyDescent="0.3">
      <c r="A770" s="180">
        <v>3235</v>
      </c>
      <c r="B770" s="181" t="s">
        <v>28</v>
      </c>
      <c r="C770" s="182">
        <v>10000</v>
      </c>
      <c r="D770" s="182"/>
      <c r="E770" s="182"/>
      <c r="F770" s="182">
        <f t="shared" si="788"/>
        <v>10000</v>
      </c>
      <c r="G770" s="182"/>
      <c r="H770" s="182"/>
      <c r="I770" s="182"/>
      <c r="J770" s="220"/>
      <c r="K770" s="220"/>
      <c r="L770" s="220">
        <f t="shared" si="789"/>
        <v>0</v>
      </c>
      <c r="M770" s="182"/>
      <c r="N770" s="182"/>
      <c r="O770" s="182"/>
      <c r="P770" s="182"/>
      <c r="Q770" s="182"/>
    </row>
    <row r="771" spans="1:17" customFormat="1" ht="14.25" hidden="1" customHeight="1" x14ac:dyDescent="0.3">
      <c r="A771" s="180">
        <v>3236</v>
      </c>
      <c r="B771" s="181" t="s">
        <v>29</v>
      </c>
      <c r="C771" s="182"/>
      <c r="D771" s="182"/>
      <c r="E771" s="182"/>
      <c r="F771" s="182"/>
      <c r="G771" s="182"/>
      <c r="H771" s="182"/>
      <c r="I771" s="182"/>
      <c r="J771" s="220"/>
      <c r="K771" s="220"/>
      <c r="L771" s="220">
        <f t="shared" si="789"/>
        <v>0</v>
      </c>
      <c r="M771" s="182"/>
      <c r="N771" s="182"/>
      <c r="O771" s="182"/>
      <c r="P771" s="182"/>
      <c r="Q771" s="182"/>
    </row>
    <row r="772" spans="1:17" customFormat="1" ht="15" hidden="1" customHeight="1" x14ac:dyDescent="0.3">
      <c r="A772" s="189">
        <v>3237</v>
      </c>
      <c r="B772" s="190" t="s">
        <v>30</v>
      </c>
      <c r="C772" s="182">
        <v>50000</v>
      </c>
      <c r="D772" s="182">
        <v>15000</v>
      </c>
      <c r="E772" s="182"/>
      <c r="F772" s="182">
        <f t="shared" si="788"/>
        <v>35000</v>
      </c>
      <c r="G772" s="182"/>
      <c r="H772" s="182"/>
      <c r="I772" s="182"/>
      <c r="J772" s="220"/>
      <c r="K772" s="220"/>
      <c r="L772" s="220">
        <f t="shared" si="789"/>
        <v>0</v>
      </c>
      <c r="M772" s="182"/>
      <c r="N772" s="182"/>
      <c r="O772" s="182"/>
      <c r="P772" s="182"/>
      <c r="Q772" s="182"/>
    </row>
    <row r="773" spans="1:17" customFormat="1" ht="16.5" hidden="1" customHeight="1" x14ac:dyDescent="0.3">
      <c r="A773" s="189">
        <v>3238</v>
      </c>
      <c r="B773" s="190" t="s">
        <v>70</v>
      </c>
      <c r="C773" s="182">
        <v>600000</v>
      </c>
      <c r="D773" s="182">
        <v>52000</v>
      </c>
      <c r="E773" s="182"/>
      <c r="F773" s="182">
        <f t="shared" si="788"/>
        <v>548000</v>
      </c>
      <c r="G773" s="182"/>
      <c r="H773" s="182"/>
      <c r="I773" s="182"/>
      <c r="J773" s="220"/>
      <c r="K773" s="220"/>
      <c r="L773" s="220">
        <f t="shared" si="789"/>
        <v>0</v>
      </c>
      <c r="M773" s="182"/>
      <c r="N773" s="182"/>
      <c r="O773" s="182"/>
      <c r="P773" s="182"/>
      <c r="Q773" s="182"/>
    </row>
    <row r="774" spans="1:17" customFormat="1" ht="16.5" hidden="1" customHeight="1" x14ac:dyDescent="0.3">
      <c r="A774" s="189">
        <v>3239</v>
      </c>
      <c r="B774" s="190" t="s">
        <v>31</v>
      </c>
      <c r="C774" s="182"/>
      <c r="D774" s="182"/>
      <c r="E774" s="182"/>
      <c r="F774" s="182">
        <f t="shared" si="788"/>
        <v>0</v>
      </c>
      <c r="G774" s="182">
        <v>215000</v>
      </c>
      <c r="H774" s="182"/>
      <c r="I774" s="182"/>
      <c r="J774" s="220"/>
      <c r="K774" s="220">
        <v>1000</v>
      </c>
      <c r="L774" s="220">
        <f t="shared" si="789"/>
        <v>1000</v>
      </c>
      <c r="M774" s="182"/>
      <c r="N774" s="182"/>
      <c r="O774" s="182"/>
      <c r="P774" s="182"/>
      <c r="Q774" s="182"/>
    </row>
    <row r="775" spans="1:17" s="6" customFormat="1" ht="22.5" hidden="1" customHeight="1" x14ac:dyDescent="0.3">
      <c r="A775" s="188">
        <v>324</v>
      </c>
      <c r="B775" s="192" t="s">
        <v>32</v>
      </c>
      <c r="C775" s="179">
        <f t="shared" ref="C775:Q777" si="790">SUM(C776)</f>
        <v>30000</v>
      </c>
      <c r="D775" s="179">
        <f t="shared" si="790"/>
        <v>30000</v>
      </c>
      <c r="E775" s="179">
        <f t="shared" si="790"/>
        <v>0</v>
      </c>
      <c r="F775" s="179">
        <f t="shared" si="790"/>
        <v>0</v>
      </c>
      <c r="G775" s="179">
        <f t="shared" si="790"/>
        <v>0</v>
      </c>
      <c r="H775" s="179">
        <f t="shared" si="790"/>
        <v>0</v>
      </c>
      <c r="I775" s="179">
        <f t="shared" si="790"/>
        <v>0</v>
      </c>
      <c r="J775" s="179">
        <f t="shared" si="790"/>
        <v>0</v>
      </c>
      <c r="K775" s="179">
        <f t="shared" si="790"/>
        <v>0</v>
      </c>
      <c r="L775" s="179">
        <f t="shared" si="790"/>
        <v>0</v>
      </c>
      <c r="M775" s="179">
        <f t="shared" si="790"/>
        <v>0</v>
      </c>
      <c r="N775" s="179">
        <f t="shared" si="790"/>
        <v>0</v>
      </c>
      <c r="O775" s="179">
        <f t="shared" si="790"/>
        <v>0</v>
      </c>
      <c r="P775" s="179">
        <f t="shared" si="790"/>
        <v>0</v>
      </c>
      <c r="Q775" s="179">
        <f t="shared" si="790"/>
        <v>0</v>
      </c>
    </row>
    <row r="776" spans="1:17" customFormat="1" ht="26.4" hidden="1" x14ac:dyDescent="0.3">
      <c r="A776" s="189">
        <v>3241</v>
      </c>
      <c r="B776" s="190" t="s">
        <v>32</v>
      </c>
      <c r="C776" s="182">
        <v>30000</v>
      </c>
      <c r="D776" s="182">
        <v>30000</v>
      </c>
      <c r="E776" s="182"/>
      <c r="F776" s="182">
        <f t="shared" si="788"/>
        <v>0</v>
      </c>
      <c r="G776" s="182"/>
      <c r="H776" s="182"/>
      <c r="I776" s="182"/>
      <c r="J776" s="220"/>
      <c r="K776" s="220"/>
      <c r="L776" s="220"/>
      <c r="M776" s="182"/>
      <c r="N776" s="182"/>
      <c r="O776" s="182"/>
      <c r="P776" s="182"/>
      <c r="Q776" s="182"/>
    </row>
    <row r="777" spans="1:17" s="6" customFormat="1" ht="14.4" hidden="1" x14ac:dyDescent="0.3">
      <c r="A777" s="188">
        <v>329</v>
      </c>
      <c r="B777" s="192" t="s">
        <v>33</v>
      </c>
      <c r="C777" s="179">
        <f t="shared" si="790"/>
        <v>0</v>
      </c>
      <c r="D777" s="179">
        <f t="shared" si="790"/>
        <v>0</v>
      </c>
      <c r="E777" s="179"/>
      <c r="F777" s="179"/>
      <c r="G777" s="179"/>
      <c r="H777" s="179"/>
      <c r="I777" s="179"/>
      <c r="J777" s="219"/>
      <c r="K777" s="219"/>
      <c r="L777" s="219"/>
      <c r="M777" s="179"/>
      <c r="N777" s="179"/>
      <c r="O777" s="179"/>
      <c r="P777" s="179"/>
      <c r="Q777" s="179"/>
    </row>
    <row r="778" spans="1:17" customFormat="1" ht="14.4" hidden="1" x14ac:dyDescent="0.3">
      <c r="A778" s="189">
        <v>3294</v>
      </c>
      <c r="B778" s="190" t="s">
        <v>37</v>
      </c>
      <c r="C778" s="182"/>
      <c r="D778" s="182"/>
      <c r="E778" s="182"/>
      <c r="F778" s="182"/>
      <c r="G778" s="182"/>
      <c r="H778" s="182"/>
      <c r="I778" s="182"/>
      <c r="J778" s="220"/>
      <c r="K778" s="220"/>
      <c r="L778" s="220"/>
      <c r="M778" s="182"/>
      <c r="N778" s="182"/>
      <c r="O778" s="182"/>
      <c r="P778" s="182"/>
      <c r="Q778" s="182"/>
    </row>
    <row r="779" spans="1:17" customFormat="1" ht="14.4" hidden="1" x14ac:dyDescent="0.3">
      <c r="A779" s="188">
        <v>412</v>
      </c>
      <c r="B779" s="192" t="s">
        <v>67</v>
      </c>
      <c r="C779" s="179">
        <f t="shared" ref="C779:D779" si="791">SUM(C780)</f>
        <v>0</v>
      </c>
      <c r="D779" s="179">
        <f t="shared" si="791"/>
        <v>0</v>
      </c>
      <c r="E779" s="179"/>
      <c r="F779" s="179"/>
      <c r="G779" s="179"/>
      <c r="H779" s="179"/>
      <c r="I779" s="179"/>
      <c r="J779" s="219"/>
      <c r="K779" s="219"/>
      <c r="L779" s="219"/>
      <c r="M779" s="179"/>
      <c r="N779" s="179"/>
      <c r="O779" s="179"/>
      <c r="P779" s="179"/>
      <c r="Q779" s="179"/>
    </row>
    <row r="780" spans="1:17" customFormat="1" ht="14.4" hidden="1" x14ac:dyDescent="0.3">
      <c r="A780" s="189">
        <v>4123</v>
      </c>
      <c r="B780" s="190" t="s">
        <v>68</v>
      </c>
      <c r="C780" s="182"/>
      <c r="D780" s="182"/>
      <c r="E780" s="182"/>
      <c r="F780" s="182"/>
      <c r="G780" s="182"/>
      <c r="H780" s="182"/>
      <c r="I780" s="182"/>
      <c r="J780" s="220"/>
      <c r="K780" s="220"/>
      <c r="L780" s="220"/>
      <c r="M780" s="182"/>
      <c r="N780" s="182"/>
      <c r="O780" s="182"/>
      <c r="P780" s="182"/>
      <c r="Q780" s="182"/>
    </row>
    <row r="781" spans="1:17" customFormat="1" ht="26.4" hidden="1" x14ac:dyDescent="0.3">
      <c r="A781" s="174" t="s">
        <v>323</v>
      </c>
      <c r="B781" s="186" t="s">
        <v>324</v>
      </c>
      <c r="C781" s="176">
        <f>SUM(C782,C786)</f>
        <v>1336000</v>
      </c>
      <c r="D781" s="176">
        <f t="shared" ref="D781:F781" si="792">SUM(D782,D786)</f>
        <v>930000</v>
      </c>
      <c r="E781" s="176">
        <f t="shared" si="792"/>
        <v>0</v>
      </c>
      <c r="F781" s="176">
        <f t="shared" si="792"/>
        <v>406000</v>
      </c>
      <c r="G781" s="176">
        <f t="shared" ref="G781:H781" si="793">SUM(G782,G786)</f>
        <v>149000</v>
      </c>
      <c r="H781" s="176">
        <f t="shared" si="793"/>
        <v>0</v>
      </c>
      <c r="I781" s="176">
        <f>SUM(I782,I789)</f>
        <v>800000</v>
      </c>
      <c r="J781" s="176">
        <f t="shared" ref="J781:Q781" si="794">SUM(J782,J789)</f>
        <v>781900</v>
      </c>
      <c r="K781" s="176">
        <f t="shared" si="794"/>
        <v>12000</v>
      </c>
      <c r="L781" s="176">
        <f t="shared" si="794"/>
        <v>30100</v>
      </c>
      <c r="M781" s="176">
        <f t="shared" si="794"/>
        <v>0</v>
      </c>
      <c r="N781" s="176">
        <f t="shared" si="794"/>
        <v>0</v>
      </c>
      <c r="O781" s="176">
        <f t="shared" si="794"/>
        <v>0</v>
      </c>
      <c r="P781" s="176">
        <f t="shared" si="794"/>
        <v>0</v>
      </c>
      <c r="Q781" s="176">
        <f t="shared" si="794"/>
        <v>0</v>
      </c>
    </row>
    <row r="782" spans="1:17" customFormat="1" ht="14.4" hidden="1" x14ac:dyDescent="0.3">
      <c r="A782" s="188">
        <v>422</v>
      </c>
      <c r="B782" s="192" t="s">
        <v>53</v>
      </c>
      <c r="C782" s="179">
        <f>SUM(C783:C786)</f>
        <v>1336000</v>
      </c>
      <c r="D782" s="179">
        <f t="shared" ref="D782:H782" si="795">SUM(D783:D790)</f>
        <v>930000</v>
      </c>
      <c r="E782" s="179">
        <f t="shared" si="795"/>
        <v>0</v>
      </c>
      <c r="F782" s="179">
        <f t="shared" si="795"/>
        <v>406000</v>
      </c>
      <c r="G782" s="179">
        <f t="shared" si="795"/>
        <v>149000</v>
      </c>
      <c r="H782" s="179">
        <f t="shared" si="795"/>
        <v>0</v>
      </c>
      <c r="I782" s="179">
        <f>SUM(I783:I785)</f>
        <v>650000</v>
      </c>
      <c r="J782" s="179">
        <f t="shared" ref="J782:K782" si="796">SUM(J783:J785)</f>
        <v>631900</v>
      </c>
      <c r="K782" s="179">
        <f t="shared" si="796"/>
        <v>12000</v>
      </c>
      <c r="L782" s="179">
        <f>SUM(L783:L785)</f>
        <v>30100</v>
      </c>
      <c r="M782" s="179">
        <f t="shared" ref="M782:Q782" si="797">SUM(M783:M785)</f>
        <v>0</v>
      </c>
      <c r="N782" s="179">
        <f t="shared" si="797"/>
        <v>0</v>
      </c>
      <c r="O782" s="179">
        <f t="shared" si="797"/>
        <v>0</v>
      </c>
      <c r="P782" s="179">
        <f t="shared" si="797"/>
        <v>0</v>
      </c>
      <c r="Q782" s="179">
        <f t="shared" si="797"/>
        <v>0</v>
      </c>
    </row>
    <row r="783" spans="1:17" customFormat="1" ht="15" hidden="1" customHeight="1" x14ac:dyDescent="0.3">
      <c r="A783" s="189">
        <v>4221</v>
      </c>
      <c r="B783" s="190" t="s">
        <v>54</v>
      </c>
      <c r="C783" s="182">
        <v>480000</v>
      </c>
      <c r="D783" s="182">
        <v>479000</v>
      </c>
      <c r="E783" s="182"/>
      <c r="F783" s="182">
        <f t="shared" ref="F783:F785" si="798">C783-D783+E783</f>
        <v>1000</v>
      </c>
      <c r="G783" s="182"/>
      <c r="H783" s="182"/>
      <c r="I783" s="182"/>
      <c r="J783" s="220"/>
      <c r="K783" s="220">
        <v>12000</v>
      </c>
      <c r="L783" s="220">
        <f>I783-J783+K783</f>
        <v>12000</v>
      </c>
      <c r="M783" s="182"/>
      <c r="N783" s="182"/>
      <c r="O783" s="182"/>
      <c r="P783" s="182"/>
      <c r="Q783" s="182"/>
    </row>
    <row r="784" spans="1:17" customFormat="1" ht="14.4" hidden="1" x14ac:dyDescent="0.3">
      <c r="A784" s="189">
        <v>4222</v>
      </c>
      <c r="B784" s="190" t="s">
        <v>58</v>
      </c>
      <c r="C784" s="182">
        <v>498000</v>
      </c>
      <c r="D784" s="182">
        <v>393000</v>
      </c>
      <c r="E784" s="182"/>
      <c r="F784" s="182">
        <f t="shared" si="798"/>
        <v>105000</v>
      </c>
      <c r="G784" s="182"/>
      <c r="H784" s="182"/>
      <c r="I784" s="182">
        <v>600000</v>
      </c>
      <c r="J784" s="220">
        <v>581900</v>
      </c>
      <c r="K784" s="220"/>
      <c r="L784" s="220">
        <f>I784-J784+K784</f>
        <v>18100</v>
      </c>
      <c r="M784" s="182"/>
      <c r="N784" s="182"/>
      <c r="O784" s="182"/>
      <c r="P784" s="182"/>
      <c r="Q784" s="182"/>
    </row>
    <row r="785" spans="1:17" customFormat="1" ht="14.4" hidden="1" x14ac:dyDescent="0.3">
      <c r="A785" s="189">
        <v>4223</v>
      </c>
      <c r="B785" s="190" t="s">
        <v>59</v>
      </c>
      <c r="C785" s="182">
        <v>358000</v>
      </c>
      <c r="D785" s="182">
        <v>58000</v>
      </c>
      <c r="E785" s="182"/>
      <c r="F785" s="182">
        <f t="shared" si="798"/>
        <v>300000</v>
      </c>
      <c r="G785" s="182">
        <v>149000</v>
      </c>
      <c r="H785" s="182"/>
      <c r="I785" s="182">
        <v>50000</v>
      </c>
      <c r="J785" s="220">
        <v>50000</v>
      </c>
      <c r="K785" s="220"/>
      <c r="L785" s="220">
        <f>I785-J785+K785</f>
        <v>0</v>
      </c>
      <c r="M785" s="182"/>
      <c r="N785" s="182"/>
      <c r="O785" s="182"/>
      <c r="P785" s="182"/>
      <c r="Q785" s="182"/>
    </row>
    <row r="786" spans="1:17" customFormat="1" ht="14.4" hidden="1" x14ac:dyDescent="0.3">
      <c r="A786" s="189">
        <v>4227</v>
      </c>
      <c r="B786" s="190" t="s">
        <v>60</v>
      </c>
      <c r="C786" s="182"/>
      <c r="D786" s="182"/>
      <c r="E786" s="182"/>
      <c r="F786" s="182"/>
      <c r="G786" s="182"/>
      <c r="H786" s="182"/>
      <c r="I786" s="182"/>
      <c r="J786" s="220"/>
      <c r="K786" s="220"/>
      <c r="L786" s="220"/>
      <c r="M786" s="182"/>
      <c r="N786" s="182"/>
      <c r="O786" s="182"/>
      <c r="P786" s="182"/>
      <c r="Q786" s="182"/>
    </row>
    <row r="787" spans="1:17" customFormat="1" ht="14.4" hidden="1" x14ac:dyDescent="0.3">
      <c r="A787" s="188">
        <v>423</v>
      </c>
      <c r="B787" s="192" t="s">
        <v>61</v>
      </c>
      <c r="C787" s="179">
        <f t="shared" ref="C787:D787" si="799">SUM(C788)</f>
        <v>0</v>
      </c>
      <c r="D787" s="179">
        <f t="shared" si="799"/>
        <v>0</v>
      </c>
      <c r="E787" s="179"/>
      <c r="F787" s="179"/>
      <c r="G787" s="179"/>
      <c r="H787" s="179"/>
      <c r="I787" s="179"/>
      <c r="J787" s="219"/>
      <c r="K787" s="219"/>
      <c r="L787" s="219"/>
      <c r="M787" s="179"/>
      <c r="N787" s="179"/>
      <c r="O787" s="179"/>
      <c r="P787" s="179"/>
      <c r="Q787" s="179"/>
    </row>
    <row r="788" spans="1:17" customFormat="1" ht="14.4" hidden="1" x14ac:dyDescent="0.3">
      <c r="A788" s="189">
        <v>4231</v>
      </c>
      <c r="B788" s="190" t="s">
        <v>62</v>
      </c>
      <c r="C788" s="182"/>
      <c r="D788" s="182"/>
      <c r="E788" s="182"/>
      <c r="F788" s="182"/>
      <c r="G788" s="182"/>
      <c r="H788" s="182"/>
      <c r="I788" s="182"/>
      <c r="J788" s="220"/>
      <c r="K788" s="220"/>
      <c r="L788" s="220"/>
      <c r="M788" s="182"/>
      <c r="N788" s="182"/>
      <c r="O788" s="182"/>
      <c r="P788" s="182"/>
      <c r="Q788" s="182"/>
    </row>
    <row r="789" spans="1:17" customFormat="1" ht="14.4" hidden="1" x14ac:dyDescent="0.3">
      <c r="A789" s="188">
        <v>426</v>
      </c>
      <c r="B789" s="192" t="s">
        <v>73</v>
      </c>
      <c r="C789" s="179">
        <f t="shared" ref="C789:D789" si="800">SUM(C790)</f>
        <v>0</v>
      </c>
      <c r="D789" s="179">
        <f t="shared" si="800"/>
        <v>0</v>
      </c>
      <c r="E789" s="179"/>
      <c r="F789" s="179"/>
      <c r="G789" s="179"/>
      <c r="H789" s="179"/>
      <c r="I789" s="179">
        <f>SUM(I790)</f>
        <v>150000</v>
      </c>
      <c r="J789" s="179">
        <f t="shared" ref="J789:K789" si="801">SUM(J790)</f>
        <v>150000</v>
      </c>
      <c r="K789" s="179">
        <f t="shared" si="801"/>
        <v>0</v>
      </c>
      <c r="L789" s="179">
        <f>SUM(L790)</f>
        <v>0</v>
      </c>
      <c r="M789" s="179">
        <f t="shared" ref="M789:Q789" si="802">SUM(M790)</f>
        <v>0</v>
      </c>
      <c r="N789" s="179">
        <f t="shared" si="802"/>
        <v>0</v>
      </c>
      <c r="O789" s="179">
        <f t="shared" si="802"/>
        <v>0</v>
      </c>
      <c r="P789" s="179">
        <f t="shared" si="802"/>
        <v>0</v>
      </c>
      <c r="Q789" s="179">
        <f t="shared" si="802"/>
        <v>0</v>
      </c>
    </row>
    <row r="790" spans="1:17" customFormat="1" ht="15" hidden="1" customHeight="1" x14ac:dyDescent="0.3">
      <c r="A790" s="189">
        <v>4262</v>
      </c>
      <c r="B790" s="190" t="s">
        <v>88</v>
      </c>
      <c r="C790" s="182"/>
      <c r="D790" s="182"/>
      <c r="E790" s="182"/>
      <c r="F790" s="182"/>
      <c r="G790" s="182"/>
      <c r="H790" s="182"/>
      <c r="I790" s="182">
        <v>150000</v>
      </c>
      <c r="J790" s="220">
        <v>150000</v>
      </c>
      <c r="K790" s="220"/>
      <c r="L790" s="220">
        <f>I790-J790+K790</f>
        <v>0</v>
      </c>
      <c r="M790" s="182"/>
      <c r="N790" s="182"/>
      <c r="O790" s="182"/>
      <c r="P790" s="182"/>
      <c r="Q790" s="182"/>
    </row>
    <row r="791" spans="1:17" customFormat="1" ht="0.6" hidden="1" customHeight="1" x14ac:dyDescent="0.3">
      <c r="A791" s="209" t="s">
        <v>325</v>
      </c>
      <c r="B791" s="210" t="s">
        <v>326</v>
      </c>
      <c r="C791" s="176">
        <f>SUM(C792)</f>
        <v>90000</v>
      </c>
      <c r="D791" s="176">
        <f t="shared" ref="D791:Q791" si="803">SUM(D792)</f>
        <v>20000</v>
      </c>
      <c r="E791" s="176">
        <f t="shared" si="803"/>
        <v>0</v>
      </c>
      <c r="F791" s="176">
        <f t="shared" si="803"/>
        <v>70000</v>
      </c>
      <c r="G791" s="176">
        <f t="shared" si="803"/>
        <v>0</v>
      </c>
      <c r="H791" s="176">
        <f t="shared" si="803"/>
        <v>0</v>
      </c>
      <c r="I791" s="176">
        <f t="shared" si="803"/>
        <v>0</v>
      </c>
      <c r="J791" s="176">
        <f t="shared" si="803"/>
        <v>0</v>
      </c>
      <c r="K791" s="176">
        <f t="shared" si="803"/>
        <v>0</v>
      </c>
      <c r="L791" s="176">
        <f t="shared" si="803"/>
        <v>0</v>
      </c>
      <c r="M791" s="176">
        <f t="shared" si="803"/>
        <v>0</v>
      </c>
      <c r="N791" s="176">
        <f t="shared" si="803"/>
        <v>0</v>
      </c>
      <c r="O791" s="176">
        <f t="shared" si="803"/>
        <v>0</v>
      </c>
      <c r="P791" s="176">
        <f t="shared" si="803"/>
        <v>0</v>
      </c>
      <c r="Q791" s="176">
        <f t="shared" si="803"/>
        <v>0</v>
      </c>
    </row>
    <row r="792" spans="1:17" customFormat="1" ht="26.4" hidden="1" x14ac:dyDescent="0.3">
      <c r="A792" s="188">
        <v>451</v>
      </c>
      <c r="B792" s="192" t="s">
        <v>55</v>
      </c>
      <c r="C792" s="179">
        <f t="shared" ref="C792:Q792" si="804">SUM(C793)</f>
        <v>90000</v>
      </c>
      <c r="D792" s="179">
        <f t="shared" si="804"/>
        <v>20000</v>
      </c>
      <c r="E792" s="179">
        <f t="shared" si="804"/>
        <v>0</v>
      </c>
      <c r="F792" s="179">
        <f t="shared" si="804"/>
        <v>70000</v>
      </c>
      <c r="G792" s="179">
        <f t="shared" si="804"/>
        <v>0</v>
      </c>
      <c r="H792" s="179">
        <f t="shared" si="804"/>
        <v>0</v>
      </c>
      <c r="I792" s="179">
        <f t="shared" si="804"/>
        <v>0</v>
      </c>
      <c r="J792" s="179">
        <f t="shared" si="804"/>
        <v>0</v>
      </c>
      <c r="K792" s="179">
        <f t="shared" si="804"/>
        <v>0</v>
      </c>
      <c r="L792" s="179">
        <f t="shared" si="804"/>
        <v>0</v>
      </c>
      <c r="M792" s="179">
        <f t="shared" si="804"/>
        <v>0</v>
      </c>
      <c r="N792" s="179">
        <f t="shared" si="804"/>
        <v>0</v>
      </c>
      <c r="O792" s="179">
        <f t="shared" si="804"/>
        <v>0</v>
      </c>
      <c r="P792" s="179">
        <f t="shared" si="804"/>
        <v>0</v>
      </c>
      <c r="Q792" s="179">
        <f t="shared" si="804"/>
        <v>0</v>
      </c>
    </row>
    <row r="793" spans="1:17" customFormat="1" ht="14.4" hidden="1" x14ac:dyDescent="0.3">
      <c r="A793" s="189">
        <v>4511</v>
      </c>
      <c r="B793" s="190" t="s">
        <v>55</v>
      </c>
      <c r="C793" s="182">
        <v>90000</v>
      </c>
      <c r="D793" s="182">
        <v>20000</v>
      </c>
      <c r="E793" s="182"/>
      <c r="F793" s="182">
        <f t="shared" ref="F793" si="805">C793-D793+E793</f>
        <v>70000</v>
      </c>
      <c r="G793" s="182"/>
      <c r="H793" s="182"/>
      <c r="I793" s="182"/>
      <c r="J793" s="220"/>
      <c r="K793" s="220"/>
      <c r="L793" s="220"/>
      <c r="M793" s="182"/>
      <c r="N793" s="182"/>
      <c r="O793" s="182"/>
      <c r="P793" s="182"/>
      <c r="Q793" s="182"/>
    </row>
    <row r="794" spans="1:17" customFormat="1" ht="31.5" hidden="1" customHeight="1" x14ac:dyDescent="0.3">
      <c r="A794" s="170" t="s">
        <v>86</v>
      </c>
      <c r="B794" s="171" t="s">
        <v>87</v>
      </c>
      <c r="C794" s="172">
        <f t="shared" ref="C794:Q794" si="806">SUM(C795)</f>
        <v>13607000</v>
      </c>
      <c r="D794" s="172">
        <f t="shared" si="806"/>
        <v>3181000</v>
      </c>
      <c r="E794" s="172">
        <f t="shared" si="806"/>
        <v>1000</v>
      </c>
      <c r="F794" s="172">
        <f t="shared" si="806"/>
        <v>10427000</v>
      </c>
      <c r="G794" s="172">
        <f t="shared" si="806"/>
        <v>3322000</v>
      </c>
      <c r="H794" s="172">
        <f t="shared" si="806"/>
        <v>0</v>
      </c>
      <c r="I794" s="172">
        <f t="shared" si="806"/>
        <v>40000</v>
      </c>
      <c r="J794" s="172">
        <f t="shared" si="806"/>
        <v>40000</v>
      </c>
      <c r="K794" s="172">
        <f t="shared" si="806"/>
        <v>1943300</v>
      </c>
      <c r="L794" s="172">
        <f t="shared" si="806"/>
        <v>1943300</v>
      </c>
      <c r="M794" s="172">
        <f t="shared" si="806"/>
        <v>0</v>
      </c>
      <c r="N794" s="172">
        <f t="shared" si="806"/>
        <v>0</v>
      </c>
      <c r="O794" s="172">
        <f t="shared" si="806"/>
        <v>0</v>
      </c>
      <c r="P794" s="172">
        <f t="shared" si="806"/>
        <v>0</v>
      </c>
      <c r="Q794" s="172">
        <f t="shared" si="806"/>
        <v>0</v>
      </c>
    </row>
    <row r="795" spans="1:17" customFormat="1" ht="18" hidden="1" customHeight="1" x14ac:dyDescent="0.3">
      <c r="A795" s="721" t="s">
        <v>118</v>
      </c>
      <c r="B795" s="721"/>
      <c r="C795" s="173">
        <f>SUM(C796,C805,C831,C844)</f>
        <v>13607000</v>
      </c>
      <c r="D795" s="173">
        <f t="shared" ref="D795:F795" si="807">SUM(D796,D805,D831,D844)</f>
        <v>3181000</v>
      </c>
      <c r="E795" s="173">
        <f t="shared" si="807"/>
        <v>1000</v>
      </c>
      <c r="F795" s="173">
        <f t="shared" si="807"/>
        <v>10427000</v>
      </c>
      <c r="G795" s="173">
        <f t="shared" ref="G795:H795" si="808">SUM(G796,G805,G831,G844)</f>
        <v>3322000</v>
      </c>
      <c r="H795" s="173">
        <f t="shared" si="808"/>
        <v>0</v>
      </c>
      <c r="I795" s="173">
        <f t="shared" ref="I795:M795" si="809">SUM(I796,I805,I831,I844)</f>
        <v>40000</v>
      </c>
      <c r="J795" s="173">
        <f t="shared" si="809"/>
        <v>40000</v>
      </c>
      <c r="K795" s="173">
        <f t="shared" si="809"/>
        <v>1943300</v>
      </c>
      <c r="L795" s="173">
        <f t="shared" si="809"/>
        <v>1943300</v>
      </c>
      <c r="M795" s="173">
        <f t="shared" si="809"/>
        <v>0</v>
      </c>
      <c r="N795" s="173">
        <f t="shared" ref="N795:O795" si="810">SUM(N796,N805,N831,N844)</f>
        <v>0</v>
      </c>
      <c r="O795" s="173">
        <f t="shared" si="810"/>
        <v>0</v>
      </c>
      <c r="P795" s="173">
        <f t="shared" ref="P795:Q795" si="811">SUM(P796,P805,P831,P844)</f>
        <v>0</v>
      </c>
      <c r="Q795" s="173">
        <f t="shared" si="811"/>
        <v>0</v>
      </c>
    </row>
    <row r="796" spans="1:17" customFormat="1" ht="18" hidden="1" customHeight="1" x14ac:dyDescent="0.3">
      <c r="A796" s="185" t="s">
        <v>315</v>
      </c>
      <c r="B796" s="186" t="s">
        <v>316</v>
      </c>
      <c r="C796" s="187">
        <f>SUM(C797,C799,C801)</f>
        <v>156000</v>
      </c>
      <c r="D796" s="187">
        <f t="shared" ref="D796:F796" si="812">SUM(D797,D799,D801)</f>
        <v>128000</v>
      </c>
      <c r="E796" s="187">
        <f t="shared" si="812"/>
        <v>0</v>
      </c>
      <c r="F796" s="187">
        <f t="shared" si="812"/>
        <v>28000</v>
      </c>
      <c r="G796" s="187">
        <f t="shared" ref="G796:H796" si="813">SUM(G797,G799,G801)</f>
        <v>78000</v>
      </c>
      <c r="H796" s="187">
        <f t="shared" si="813"/>
        <v>0</v>
      </c>
      <c r="I796" s="187">
        <f t="shared" ref="I796:M796" si="814">SUM(I797,I799,I801)</f>
        <v>0</v>
      </c>
      <c r="J796" s="187">
        <f t="shared" si="814"/>
        <v>0</v>
      </c>
      <c r="K796" s="187">
        <f t="shared" si="814"/>
        <v>170200</v>
      </c>
      <c r="L796" s="187">
        <f t="shared" si="814"/>
        <v>170200</v>
      </c>
      <c r="M796" s="187">
        <f t="shared" si="814"/>
        <v>0</v>
      </c>
      <c r="N796" s="187">
        <f t="shared" ref="N796:O796" si="815">SUM(N797,N799,N801)</f>
        <v>0</v>
      </c>
      <c r="O796" s="187">
        <f t="shared" si="815"/>
        <v>0</v>
      </c>
      <c r="P796" s="187">
        <f t="shared" ref="P796:Q796" si="816">SUM(P797,P799,P801)</f>
        <v>0</v>
      </c>
      <c r="Q796" s="187">
        <f t="shared" si="816"/>
        <v>0</v>
      </c>
    </row>
    <row r="797" spans="1:17" customFormat="1" ht="14.4" hidden="1" x14ac:dyDescent="0.3">
      <c r="A797" s="177">
        <v>311</v>
      </c>
      <c r="B797" s="178" t="s">
        <v>4</v>
      </c>
      <c r="C797" s="179">
        <f t="shared" ref="C797:H797" si="817">SUM(C798:C798)</f>
        <v>110000</v>
      </c>
      <c r="D797" s="179">
        <f t="shared" si="817"/>
        <v>86000</v>
      </c>
      <c r="E797" s="179">
        <f t="shared" si="817"/>
        <v>0</v>
      </c>
      <c r="F797" s="179">
        <f t="shared" si="817"/>
        <v>24000</v>
      </c>
      <c r="G797" s="179">
        <f t="shared" si="817"/>
        <v>55000</v>
      </c>
      <c r="H797" s="179">
        <f t="shared" si="817"/>
        <v>0</v>
      </c>
      <c r="I797" s="179">
        <f t="shared" ref="I797:K797" si="818">SUM(I798)</f>
        <v>0</v>
      </c>
      <c r="J797" s="179">
        <f t="shared" si="818"/>
        <v>0</v>
      </c>
      <c r="K797" s="179">
        <f t="shared" si="818"/>
        <v>151500</v>
      </c>
      <c r="L797" s="179">
        <f t="shared" ref="L797" si="819">SUM(L798)</f>
        <v>151500</v>
      </c>
      <c r="M797" s="179">
        <f>SUM(M798)</f>
        <v>0</v>
      </c>
      <c r="N797" s="179">
        <f>SUM(N798)</f>
        <v>0</v>
      </c>
      <c r="O797" s="179">
        <f>SUM(O798)</f>
        <v>0</v>
      </c>
      <c r="P797" s="179">
        <f>SUM(P798)</f>
        <v>0</v>
      </c>
      <c r="Q797" s="179">
        <f>SUM(Q798)</f>
        <v>0</v>
      </c>
    </row>
    <row r="798" spans="1:17" customFormat="1" ht="13.05" hidden="1" customHeight="1" x14ac:dyDescent="0.3">
      <c r="A798" s="180">
        <v>3111</v>
      </c>
      <c r="B798" s="181" t="s">
        <v>5</v>
      </c>
      <c r="C798" s="182">
        <v>110000</v>
      </c>
      <c r="D798" s="182">
        <v>86000</v>
      </c>
      <c r="E798" s="182"/>
      <c r="F798" s="182">
        <f t="shared" ref="F798:F800" si="820">C798-D798+E798</f>
        <v>24000</v>
      </c>
      <c r="G798" s="182">
        <v>55000</v>
      </c>
      <c r="H798" s="182"/>
      <c r="I798" s="182"/>
      <c r="J798" s="220"/>
      <c r="K798" s="220">
        <v>151500</v>
      </c>
      <c r="L798" s="220">
        <f>I798-J798+K798</f>
        <v>151500</v>
      </c>
      <c r="M798" s="182"/>
      <c r="N798" s="182"/>
      <c r="O798" s="182"/>
      <c r="P798" s="182"/>
      <c r="Q798" s="182"/>
    </row>
    <row r="799" spans="1:17" customFormat="1" ht="0.6" hidden="1" customHeight="1" x14ac:dyDescent="0.3">
      <c r="A799" s="177">
        <v>312</v>
      </c>
      <c r="B799" s="178" t="s">
        <v>7</v>
      </c>
      <c r="C799" s="179">
        <f t="shared" ref="C799:Q799" si="821">SUM(C800)</f>
        <v>6000</v>
      </c>
      <c r="D799" s="179">
        <f t="shared" si="821"/>
        <v>6000</v>
      </c>
      <c r="E799" s="179">
        <f t="shared" si="821"/>
        <v>0</v>
      </c>
      <c r="F799" s="179">
        <f t="shared" si="821"/>
        <v>0</v>
      </c>
      <c r="G799" s="179">
        <f t="shared" si="821"/>
        <v>3000</v>
      </c>
      <c r="H799" s="179">
        <f t="shared" si="821"/>
        <v>0</v>
      </c>
      <c r="I799" s="179">
        <f t="shared" si="821"/>
        <v>0</v>
      </c>
      <c r="J799" s="179">
        <f t="shared" si="821"/>
        <v>0</v>
      </c>
      <c r="K799" s="179">
        <f t="shared" si="821"/>
        <v>0</v>
      </c>
      <c r="L799" s="179">
        <f t="shared" si="821"/>
        <v>0</v>
      </c>
      <c r="M799" s="179">
        <f t="shared" si="821"/>
        <v>0</v>
      </c>
      <c r="N799" s="179">
        <f t="shared" si="821"/>
        <v>0</v>
      </c>
      <c r="O799" s="179">
        <f t="shared" si="821"/>
        <v>0</v>
      </c>
      <c r="P799" s="179">
        <f t="shared" si="821"/>
        <v>0</v>
      </c>
      <c r="Q799" s="179">
        <f t="shared" si="821"/>
        <v>0</v>
      </c>
    </row>
    <row r="800" spans="1:17" customFormat="1" ht="14.4" hidden="1" x14ac:dyDescent="0.3">
      <c r="A800" s="180">
        <v>3121</v>
      </c>
      <c r="B800" s="181" t="s">
        <v>7</v>
      </c>
      <c r="C800" s="182">
        <v>6000</v>
      </c>
      <c r="D800" s="182">
        <v>6000</v>
      </c>
      <c r="E800" s="182"/>
      <c r="F800" s="182">
        <f t="shared" si="820"/>
        <v>0</v>
      </c>
      <c r="G800" s="182">
        <v>3000</v>
      </c>
      <c r="H800" s="182"/>
      <c r="I800" s="182"/>
      <c r="J800" s="220"/>
      <c r="K800" s="220"/>
      <c r="L800" s="220">
        <f>I800-J800+K800</f>
        <v>0</v>
      </c>
      <c r="M800" s="182"/>
      <c r="N800" s="182"/>
      <c r="O800" s="182"/>
      <c r="P800" s="182"/>
      <c r="Q800" s="182"/>
    </row>
    <row r="801" spans="1:17" customFormat="1" ht="14.4" hidden="1" x14ac:dyDescent="0.3">
      <c r="A801" s="177">
        <v>313</v>
      </c>
      <c r="B801" s="178" t="s">
        <v>8</v>
      </c>
      <c r="C801" s="179">
        <f t="shared" ref="C801:F801" si="822">SUM(C802:C804)</f>
        <v>40000</v>
      </c>
      <c r="D801" s="179">
        <f t="shared" si="822"/>
        <v>36000</v>
      </c>
      <c r="E801" s="179">
        <f t="shared" si="822"/>
        <v>0</v>
      </c>
      <c r="F801" s="179">
        <f t="shared" si="822"/>
        <v>4000</v>
      </c>
      <c r="G801" s="179">
        <f t="shared" ref="G801:H801" si="823">SUM(G802:G804)</f>
        <v>20000</v>
      </c>
      <c r="H801" s="179">
        <f t="shared" si="823"/>
        <v>0</v>
      </c>
      <c r="I801" s="179">
        <f t="shared" ref="I801:M801" si="824">SUM(I802:I804)</f>
        <v>0</v>
      </c>
      <c r="J801" s="179">
        <f t="shared" si="824"/>
        <v>0</v>
      </c>
      <c r="K801" s="179">
        <f t="shared" si="824"/>
        <v>18700</v>
      </c>
      <c r="L801" s="179">
        <f t="shared" si="824"/>
        <v>18700</v>
      </c>
      <c r="M801" s="179">
        <f t="shared" si="824"/>
        <v>0</v>
      </c>
      <c r="N801" s="179">
        <f t="shared" ref="N801:O801" si="825">SUM(N802:N804)</f>
        <v>0</v>
      </c>
      <c r="O801" s="179">
        <f t="shared" si="825"/>
        <v>0</v>
      </c>
      <c r="P801" s="179">
        <f t="shared" ref="P801:Q801" si="826">SUM(P802:P804)</f>
        <v>0</v>
      </c>
      <c r="Q801" s="179">
        <f t="shared" si="826"/>
        <v>0</v>
      </c>
    </row>
    <row r="802" spans="1:17" customFormat="1" ht="14.4" hidden="1" x14ac:dyDescent="0.3">
      <c r="A802" s="180">
        <v>3131</v>
      </c>
      <c r="B802" s="181" t="s">
        <v>9</v>
      </c>
      <c r="C802" s="182"/>
      <c r="D802" s="182"/>
      <c r="E802" s="182"/>
      <c r="F802" s="182"/>
      <c r="G802" s="182"/>
      <c r="H802" s="182"/>
      <c r="I802" s="182"/>
      <c r="J802" s="220"/>
      <c r="K802" s="220"/>
      <c r="L802" s="220"/>
      <c r="M802" s="182"/>
      <c r="N802" s="182"/>
      <c r="O802" s="182"/>
      <c r="P802" s="182"/>
      <c r="Q802" s="182"/>
    </row>
    <row r="803" spans="1:17" customFormat="1" ht="14.4" hidden="1" x14ac:dyDescent="0.3">
      <c r="A803" s="180">
        <v>3132</v>
      </c>
      <c r="B803" s="181" t="s">
        <v>10</v>
      </c>
      <c r="C803" s="182">
        <v>40000</v>
      </c>
      <c r="D803" s="182">
        <v>36000</v>
      </c>
      <c r="E803" s="182"/>
      <c r="F803" s="182">
        <f t="shared" ref="F803" si="827">C803-D803+E803</f>
        <v>4000</v>
      </c>
      <c r="G803" s="182">
        <v>20000</v>
      </c>
      <c r="H803" s="182"/>
      <c r="I803" s="182"/>
      <c r="J803" s="220"/>
      <c r="K803" s="220">
        <v>18700</v>
      </c>
      <c r="L803" s="220">
        <f>I803-J803+K803</f>
        <v>18700</v>
      </c>
      <c r="M803" s="182"/>
      <c r="N803" s="182"/>
      <c r="O803" s="182"/>
      <c r="P803" s="182"/>
      <c r="Q803" s="182"/>
    </row>
    <row r="804" spans="1:17" customFormat="1" ht="14.4" hidden="1" x14ac:dyDescent="0.3">
      <c r="A804" s="180">
        <v>3133</v>
      </c>
      <c r="B804" s="181" t="s">
        <v>11</v>
      </c>
      <c r="C804" s="182"/>
      <c r="D804" s="182"/>
      <c r="E804" s="182"/>
      <c r="F804" s="182"/>
      <c r="G804" s="182"/>
      <c r="H804" s="182"/>
      <c r="I804" s="182"/>
      <c r="J804" s="220"/>
      <c r="K804" s="220"/>
      <c r="L804" s="220"/>
      <c r="M804" s="182"/>
      <c r="N804" s="182"/>
      <c r="O804" s="182"/>
      <c r="P804" s="182"/>
      <c r="Q804" s="182"/>
    </row>
    <row r="805" spans="1:17" customFormat="1" ht="14.4" hidden="1" x14ac:dyDescent="0.3">
      <c r="A805" s="185" t="s">
        <v>317</v>
      </c>
      <c r="B805" s="185" t="s">
        <v>318</v>
      </c>
      <c r="C805" s="218">
        <f>SUM(C806,C810,C816,C824,C826)</f>
        <v>5640000</v>
      </c>
      <c r="D805" s="218">
        <f t="shared" ref="D805:F805" si="828">SUM(D806,D810,D816,D824,D826)</f>
        <v>954000</v>
      </c>
      <c r="E805" s="218">
        <f t="shared" si="828"/>
        <v>1000</v>
      </c>
      <c r="F805" s="218">
        <f t="shared" si="828"/>
        <v>4687000</v>
      </c>
      <c r="G805" s="218">
        <f t="shared" ref="G805:H805" si="829">SUM(G806,G810,G816,G824,G826)</f>
        <v>686000</v>
      </c>
      <c r="H805" s="218">
        <f t="shared" si="829"/>
        <v>0</v>
      </c>
      <c r="I805" s="218">
        <f t="shared" ref="I805:M805" si="830">SUM(I806,I810,I816,I824,I826)</f>
        <v>0</v>
      </c>
      <c r="J805" s="218">
        <f t="shared" si="830"/>
        <v>0</v>
      </c>
      <c r="K805" s="218">
        <f t="shared" si="830"/>
        <v>1289900</v>
      </c>
      <c r="L805" s="218">
        <f t="shared" si="830"/>
        <v>1289900</v>
      </c>
      <c r="M805" s="218">
        <f t="shared" si="830"/>
        <v>0</v>
      </c>
      <c r="N805" s="218">
        <f t="shared" ref="N805:O805" si="831">SUM(N806,N810,N816,N824,N826)</f>
        <v>0</v>
      </c>
      <c r="O805" s="218">
        <f t="shared" si="831"/>
        <v>0</v>
      </c>
      <c r="P805" s="218">
        <f t="shared" ref="P805:Q805" si="832">SUM(P806,P810,P816,P824,P826)</f>
        <v>0</v>
      </c>
      <c r="Q805" s="218">
        <f t="shared" si="832"/>
        <v>0</v>
      </c>
    </row>
    <row r="806" spans="1:17" customFormat="1" ht="14.4" hidden="1" x14ac:dyDescent="0.3">
      <c r="A806" s="177">
        <v>321</v>
      </c>
      <c r="B806" s="178" t="s">
        <v>12</v>
      </c>
      <c r="C806" s="179">
        <f t="shared" ref="C806:F806" si="833">SUM(C807:C809)</f>
        <v>299000</v>
      </c>
      <c r="D806" s="179">
        <f t="shared" si="833"/>
        <v>296000</v>
      </c>
      <c r="E806" s="179">
        <f t="shared" si="833"/>
        <v>0</v>
      </c>
      <c r="F806" s="179">
        <f t="shared" si="833"/>
        <v>3000</v>
      </c>
      <c r="G806" s="179">
        <f t="shared" ref="G806:H806" si="834">SUM(G807:G809)</f>
        <v>120000</v>
      </c>
      <c r="H806" s="179">
        <f t="shared" si="834"/>
        <v>0</v>
      </c>
      <c r="I806" s="179">
        <f t="shared" ref="I806:M806" si="835">SUM(I807:I809)</f>
        <v>0</v>
      </c>
      <c r="J806" s="179">
        <f t="shared" si="835"/>
        <v>0</v>
      </c>
      <c r="K806" s="179">
        <f t="shared" si="835"/>
        <v>22800</v>
      </c>
      <c r="L806" s="179">
        <f t="shared" si="835"/>
        <v>22800</v>
      </c>
      <c r="M806" s="179">
        <f t="shared" si="835"/>
        <v>0</v>
      </c>
      <c r="N806" s="179">
        <f t="shared" ref="N806:O806" si="836">SUM(N807:N809)</f>
        <v>0</v>
      </c>
      <c r="O806" s="179">
        <f t="shared" si="836"/>
        <v>0</v>
      </c>
      <c r="P806" s="179">
        <f t="shared" ref="P806:Q806" si="837">SUM(P807:P809)</f>
        <v>0</v>
      </c>
      <c r="Q806" s="179">
        <f t="shared" si="837"/>
        <v>0</v>
      </c>
    </row>
    <row r="807" spans="1:17" customFormat="1" ht="14.4" hidden="1" x14ac:dyDescent="0.3">
      <c r="A807" s="180">
        <v>3211</v>
      </c>
      <c r="B807" s="181" t="s">
        <v>13</v>
      </c>
      <c r="C807" s="182">
        <v>30000</v>
      </c>
      <c r="D807" s="182">
        <v>30000</v>
      </c>
      <c r="E807" s="182"/>
      <c r="F807" s="182">
        <f t="shared" ref="F807:F825" si="838">C807-D807+E807</f>
        <v>0</v>
      </c>
      <c r="G807" s="182">
        <v>10000</v>
      </c>
      <c r="H807" s="182"/>
      <c r="I807" s="182"/>
      <c r="J807" s="220"/>
      <c r="K807" s="220">
        <v>11000</v>
      </c>
      <c r="L807" s="220">
        <f t="shared" ref="L807:L809" si="839">I807-J807+K807</f>
        <v>11000</v>
      </c>
      <c r="M807" s="182"/>
      <c r="N807" s="182"/>
      <c r="O807" s="182"/>
      <c r="P807" s="182"/>
      <c r="Q807" s="182"/>
    </row>
    <row r="808" spans="1:17" s="468" customFormat="1" ht="26.4" hidden="1" x14ac:dyDescent="0.3">
      <c r="A808" s="465" t="s">
        <v>151</v>
      </c>
      <c r="B808" s="181" t="s">
        <v>14</v>
      </c>
      <c r="C808" s="466">
        <v>20000</v>
      </c>
      <c r="D808" s="466">
        <v>18000</v>
      </c>
      <c r="E808" s="466"/>
      <c r="F808" s="466">
        <f t="shared" si="838"/>
        <v>2000</v>
      </c>
      <c r="G808" s="466">
        <v>10000</v>
      </c>
      <c r="H808" s="466"/>
      <c r="I808" s="466"/>
      <c r="J808" s="467"/>
      <c r="K808" s="467">
        <v>3600</v>
      </c>
      <c r="L808" s="467">
        <f t="shared" si="839"/>
        <v>3600</v>
      </c>
      <c r="M808" s="466"/>
      <c r="N808" s="466"/>
      <c r="O808" s="466"/>
      <c r="P808" s="466"/>
      <c r="Q808" s="466"/>
    </row>
    <row r="809" spans="1:17" s="468" customFormat="1" ht="14.4" hidden="1" x14ac:dyDescent="0.3">
      <c r="A809" s="465">
        <v>3213</v>
      </c>
      <c r="B809" s="181" t="s">
        <v>15</v>
      </c>
      <c r="C809" s="466">
        <v>249000</v>
      </c>
      <c r="D809" s="466">
        <v>248000</v>
      </c>
      <c r="E809" s="466"/>
      <c r="F809" s="466">
        <f t="shared" si="838"/>
        <v>1000</v>
      </c>
      <c r="G809" s="466">
        <v>100000</v>
      </c>
      <c r="H809" s="466"/>
      <c r="I809" s="466"/>
      <c r="J809" s="467"/>
      <c r="K809" s="467">
        <v>8200</v>
      </c>
      <c r="L809" s="467">
        <f t="shared" si="839"/>
        <v>8200</v>
      </c>
      <c r="M809" s="466"/>
      <c r="N809" s="466"/>
      <c r="O809" s="466"/>
      <c r="P809" s="466"/>
      <c r="Q809" s="466"/>
    </row>
    <row r="810" spans="1:17" s="468" customFormat="1" ht="14.1" hidden="1" customHeight="1" x14ac:dyDescent="0.3">
      <c r="A810" s="469">
        <v>322</v>
      </c>
      <c r="B810" s="178" t="s">
        <v>16</v>
      </c>
      <c r="C810" s="470">
        <f t="shared" ref="C810:F810" si="840">SUM(C811:C815)</f>
        <v>389000</v>
      </c>
      <c r="D810" s="470">
        <f t="shared" si="840"/>
        <v>378000</v>
      </c>
      <c r="E810" s="470">
        <f t="shared" si="840"/>
        <v>0</v>
      </c>
      <c r="F810" s="470">
        <f t="shared" si="840"/>
        <v>11000</v>
      </c>
      <c r="G810" s="470">
        <f t="shared" ref="G810:H810" si="841">SUM(G811:G815)</f>
        <v>225000</v>
      </c>
      <c r="H810" s="470">
        <f t="shared" si="841"/>
        <v>0</v>
      </c>
      <c r="I810" s="470">
        <f t="shared" ref="I810:M810" si="842">SUM(I811:I815)</f>
        <v>0</v>
      </c>
      <c r="J810" s="470">
        <f t="shared" si="842"/>
        <v>0</v>
      </c>
      <c r="K810" s="470">
        <f t="shared" si="842"/>
        <v>2000</v>
      </c>
      <c r="L810" s="470">
        <f t="shared" si="842"/>
        <v>2000</v>
      </c>
      <c r="M810" s="470">
        <f t="shared" si="842"/>
        <v>0</v>
      </c>
      <c r="N810" s="470">
        <f t="shared" ref="N810:O810" si="843">SUM(N811:N815)</f>
        <v>0</v>
      </c>
      <c r="O810" s="470">
        <f t="shared" si="843"/>
        <v>0</v>
      </c>
      <c r="P810" s="470">
        <f t="shared" ref="P810:Q810" si="844">SUM(P811:P815)</f>
        <v>0</v>
      </c>
      <c r="Q810" s="470">
        <f t="shared" si="844"/>
        <v>0</v>
      </c>
    </row>
    <row r="811" spans="1:17" s="468" customFormat="1" ht="0.6" hidden="1" customHeight="1" x14ac:dyDescent="0.3">
      <c r="A811" s="465">
        <v>3221</v>
      </c>
      <c r="B811" s="181" t="s">
        <v>17</v>
      </c>
      <c r="C811" s="466">
        <v>30000</v>
      </c>
      <c r="D811" s="466">
        <v>25000</v>
      </c>
      <c r="E811" s="466"/>
      <c r="F811" s="466">
        <f t="shared" si="838"/>
        <v>5000</v>
      </c>
      <c r="G811" s="466">
        <v>5000</v>
      </c>
      <c r="H811" s="466"/>
      <c r="I811" s="466"/>
      <c r="J811" s="467"/>
      <c r="K811" s="467"/>
      <c r="L811" s="467">
        <f t="shared" ref="L811:L815" si="845">I811-J811+K811</f>
        <v>0</v>
      </c>
      <c r="M811" s="466"/>
      <c r="N811" s="466"/>
      <c r="O811" s="466"/>
      <c r="P811" s="466"/>
      <c r="Q811" s="466"/>
    </row>
    <row r="812" spans="1:17" s="468" customFormat="1" ht="14.4" hidden="1" x14ac:dyDescent="0.3">
      <c r="A812" s="465">
        <v>3222</v>
      </c>
      <c r="B812" s="181" t="s">
        <v>18</v>
      </c>
      <c r="C812" s="466">
        <v>50000</v>
      </c>
      <c r="D812" s="466">
        <v>45000</v>
      </c>
      <c r="E812" s="466"/>
      <c r="F812" s="466">
        <f t="shared" si="838"/>
        <v>5000</v>
      </c>
      <c r="G812" s="466">
        <v>100000</v>
      </c>
      <c r="H812" s="466"/>
      <c r="I812" s="466"/>
      <c r="J812" s="467"/>
      <c r="K812" s="467"/>
      <c r="L812" s="467">
        <f t="shared" si="845"/>
        <v>0</v>
      </c>
      <c r="M812" s="466"/>
      <c r="N812" s="466"/>
      <c r="O812" s="466"/>
      <c r="P812" s="466"/>
      <c r="Q812" s="466"/>
    </row>
    <row r="813" spans="1:17" s="468" customFormat="1" ht="14.4" hidden="1" x14ac:dyDescent="0.3">
      <c r="A813" s="465">
        <v>3223</v>
      </c>
      <c r="B813" s="181" t="s">
        <v>19</v>
      </c>
      <c r="C813" s="466">
        <v>249000</v>
      </c>
      <c r="D813" s="466">
        <v>249000</v>
      </c>
      <c r="E813" s="466"/>
      <c r="F813" s="466">
        <f t="shared" si="838"/>
        <v>0</v>
      </c>
      <c r="G813" s="466">
        <v>100000</v>
      </c>
      <c r="H813" s="466"/>
      <c r="I813" s="466"/>
      <c r="J813" s="467"/>
      <c r="K813" s="467"/>
      <c r="L813" s="467">
        <f t="shared" si="845"/>
        <v>0</v>
      </c>
      <c r="M813" s="466"/>
      <c r="N813" s="466"/>
      <c r="O813" s="466"/>
      <c r="P813" s="466"/>
      <c r="Q813" s="466"/>
    </row>
    <row r="814" spans="1:17" s="468" customFormat="1" ht="26.4" hidden="1" x14ac:dyDescent="0.3">
      <c r="A814" s="465">
        <v>3224</v>
      </c>
      <c r="B814" s="181" t="s">
        <v>112</v>
      </c>
      <c r="C814" s="466">
        <v>30000</v>
      </c>
      <c r="D814" s="466">
        <v>30000</v>
      </c>
      <c r="E814" s="466"/>
      <c r="F814" s="466">
        <f t="shared" si="838"/>
        <v>0</v>
      </c>
      <c r="G814" s="466">
        <v>10000</v>
      </c>
      <c r="H814" s="466"/>
      <c r="I814" s="466"/>
      <c r="J814" s="467"/>
      <c r="K814" s="467">
        <v>800</v>
      </c>
      <c r="L814" s="467">
        <f t="shared" si="845"/>
        <v>800</v>
      </c>
      <c r="M814" s="466"/>
      <c r="N814" s="466"/>
      <c r="O814" s="466"/>
      <c r="P814" s="466"/>
      <c r="Q814" s="466"/>
    </row>
    <row r="815" spans="1:17" s="468" customFormat="1" ht="14.4" hidden="1" x14ac:dyDescent="0.3">
      <c r="A815" s="465">
        <v>3225</v>
      </c>
      <c r="B815" s="181" t="s">
        <v>21</v>
      </c>
      <c r="C815" s="466">
        <v>30000</v>
      </c>
      <c r="D815" s="466">
        <v>29000</v>
      </c>
      <c r="E815" s="466"/>
      <c r="F815" s="466">
        <f t="shared" si="838"/>
        <v>1000</v>
      </c>
      <c r="G815" s="466">
        <v>10000</v>
      </c>
      <c r="H815" s="466"/>
      <c r="I815" s="466"/>
      <c r="J815" s="467"/>
      <c r="K815" s="467">
        <v>1200</v>
      </c>
      <c r="L815" s="467">
        <f t="shared" si="845"/>
        <v>1200</v>
      </c>
      <c r="M815" s="466"/>
      <c r="N815" s="466"/>
      <c r="O815" s="466"/>
      <c r="P815" s="466"/>
      <c r="Q815" s="466"/>
    </row>
    <row r="816" spans="1:17" s="468" customFormat="1" ht="14.4" hidden="1" x14ac:dyDescent="0.3">
      <c r="A816" s="469">
        <v>323</v>
      </c>
      <c r="B816" s="178" t="s">
        <v>23</v>
      </c>
      <c r="C816" s="470">
        <f t="shared" ref="C816:F816" si="846">SUM(C817:C823)</f>
        <v>4932000</v>
      </c>
      <c r="D816" s="470">
        <f t="shared" si="846"/>
        <v>260000</v>
      </c>
      <c r="E816" s="470">
        <f t="shared" si="846"/>
        <v>1000</v>
      </c>
      <c r="F816" s="470">
        <f t="shared" si="846"/>
        <v>4673000</v>
      </c>
      <c r="G816" s="470">
        <f t="shared" ref="G816:H816" si="847">SUM(G817:G823)</f>
        <v>330000</v>
      </c>
      <c r="H816" s="470">
        <f t="shared" si="847"/>
        <v>0</v>
      </c>
      <c r="I816" s="470">
        <f t="shared" ref="I816:M816" si="848">SUM(I817:I823)</f>
        <v>0</v>
      </c>
      <c r="J816" s="470">
        <f t="shared" si="848"/>
        <v>0</v>
      </c>
      <c r="K816" s="470">
        <f t="shared" si="848"/>
        <v>1265100</v>
      </c>
      <c r="L816" s="470">
        <f t="shared" si="848"/>
        <v>1265100</v>
      </c>
      <c r="M816" s="470">
        <f t="shared" si="848"/>
        <v>0</v>
      </c>
      <c r="N816" s="470">
        <f t="shared" ref="N816:O816" si="849">SUM(N817:N823)</f>
        <v>0</v>
      </c>
      <c r="O816" s="470">
        <f t="shared" si="849"/>
        <v>0</v>
      </c>
      <c r="P816" s="470">
        <f t="shared" ref="P816:Q816" si="850">SUM(P817:P823)</f>
        <v>0</v>
      </c>
      <c r="Q816" s="470">
        <f t="shared" si="850"/>
        <v>0</v>
      </c>
    </row>
    <row r="817" spans="1:17" s="468" customFormat="1" ht="14.4" hidden="1" x14ac:dyDescent="0.3">
      <c r="A817" s="465">
        <v>3232</v>
      </c>
      <c r="B817" s="190" t="s">
        <v>25</v>
      </c>
      <c r="C817" s="466">
        <v>1990000</v>
      </c>
      <c r="D817" s="466"/>
      <c r="E817" s="466"/>
      <c r="F817" s="466">
        <f t="shared" si="838"/>
        <v>1990000</v>
      </c>
      <c r="G817" s="466">
        <v>229000</v>
      </c>
      <c r="H817" s="466"/>
      <c r="I817" s="466"/>
      <c r="J817" s="467"/>
      <c r="K817" s="467">
        <v>672100</v>
      </c>
      <c r="L817" s="467">
        <f t="shared" ref="L817:L823" si="851">I817-J817+K817</f>
        <v>672100</v>
      </c>
      <c r="M817" s="466"/>
      <c r="N817" s="466"/>
      <c r="O817" s="466"/>
      <c r="P817" s="466"/>
      <c r="Q817" s="466"/>
    </row>
    <row r="818" spans="1:17" customFormat="1" ht="14.4" hidden="1" x14ac:dyDescent="0.3">
      <c r="A818" s="180">
        <v>3233</v>
      </c>
      <c r="B818" s="190" t="s">
        <v>26</v>
      </c>
      <c r="C818" s="182">
        <v>7000</v>
      </c>
      <c r="D818" s="182"/>
      <c r="E818" s="182">
        <v>1000</v>
      </c>
      <c r="F818" s="182">
        <f t="shared" si="838"/>
        <v>8000</v>
      </c>
      <c r="G818" s="182">
        <v>1000</v>
      </c>
      <c r="H818" s="182"/>
      <c r="I818" s="182"/>
      <c r="J818" s="220"/>
      <c r="K818" s="220"/>
      <c r="L818" s="220">
        <f t="shared" si="851"/>
        <v>0</v>
      </c>
      <c r="M818" s="182"/>
      <c r="N818" s="182"/>
      <c r="O818" s="182"/>
      <c r="P818" s="182"/>
      <c r="Q818" s="182"/>
    </row>
    <row r="819" spans="1:17" customFormat="1" ht="14.4" hidden="1" x14ac:dyDescent="0.3">
      <c r="A819" s="180">
        <v>3235</v>
      </c>
      <c r="B819" s="181" t="s">
        <v>28</v>
      </c>
      <c r="C819" s="182">
        <v>70000</v>
      </c>
      <c r="D819" s="182">
        <v>50000</v>
      </c>
      <c r="E819" s="182"/>
      <c r="F819" s="182">
        <f t="shared" si="838"/>
        <v>20000</v>
      </c>
      <c r="G819" s="182">
        <v>10000</v>
      </c>
      <c r="H819" s="182"/>
      <c r="I819" s="182"/>
      <c r="J819" s="220"/>
      <c r="K819" s="220"/>
      <c r="L819" s="220">
        <f t="shared" si="851"/>
        <v>0</v>
      </c>
      <c r="M819" s="182"/>
      <c r="N819" s="182"/>
      <c r="O819" s="182"/>
      <c r="P819" s="182"/>
      <c r="Q819" s="182"/>
    </row>
    <row r="820" spans="1:17" customFormat="1" ht="14.4" hidden="1" x14ac:dyDescent="0.3">
      <c r="A820" s="180">
        <v>3236</v>
      </c>
      <c r="B820" s="181" t="s">
        <v>280</v>
      </c>
      <c r="C820" s="182"/>
      <c r="D820" s="182"/>
      <c r="E820" s="182"/>
      <c r="F820" s="182">
        <f t="shared" si="838"/>
        <v>0</v>
      </c>
      <c r="G820" s="182"/>
      <c r="H820" s="182"/>
      <c r="I820" s="182"/>
      <c r="J820" s="220"/>
      <c r="K820" s="220"/>
      <c r="L820" s="220">
        <f t="shared" si="851"/>
        <v>0</v>
      </c>
      <c r="M820" s="182"/>
      <c r="N820" s="182"/>
      <c r="O820" s="182"/>
      <c r="P820" s="182"/>
      <c r="Q820" s="182"/>
    </row>
    <row r="821" spans="1:17" customFormat="1" ht="14.4" hidden="1" x14ac:dyDescent="0.3">
      <c r="A821" s="180">
        <v>3237</v>
      </c>
      <c r="B821" s="181" t="s">
        <v>30</v>
      </c>
      <c r="C821" s="182">
        <v>135000</v>
      </c>
      <c r="D821" s="182">
        <v>70000</v>
      </c>
      <c r="E821" s="182"/>
      <c r="F821" s="182">
        <f t="shared" si="838"/>
        <v>65000</v>
      </c>
      <c r="G821" s="182">
        <v>20000</v>
      </c>
      <c r="H821" s="182"/>
      <c r="I821" s="182"/>
      <c r="J821" s="220"/>
      <c r="K821" s="220"/>
      <c r="L821" s="220">
        <f t="shared" si="851"/>
        <v>0</v>
      </c>
      <c r="M821" s="182"/>
      <c r="N821" s="182"/>
      <c r="O821" s="182"/>
      <c r="P821" s="182"/>
      <c r="Q821" s="182"/>
    </row>
    <row r="822" spans="1:17" customFormat="1" ht="14.4" hidden="1" x14ac:dyDescent="0.3">
      <c r="A822" s="180">
        <v>3238</v>
      </c>
      <c r="B822" s="181" t="s">
        <v>70</v>
      </c>
      <c r="C822" s="182">
        <v>2590000</v>
      </c>
      <c r="D822" s="182"/>
      <c r="E822" s="182"/>
      <c r="F822" s="182">
        <f t="shared" si="838"/>
        <v>2590000</v>
      </c>
      <c r="G822" s="182">
        <v>0</v>
      </c>
      <c r="H822" s="182"/>
      <c r="I822" s="182"/>
      <c r="J822" s="220"/>
      <c r="K822" s="220">
        <v>593000</v>
      </c>
      <c r="L822" s="220">
        <f t="shared" si="851"/>
        <v>593000</v>
      </c>
      <c r="M822" s="182"/>
      <c r="N822" s="182"/>
      <c r="O822" s="182"/>
      <c r="P822" s="182"/>
      <c r="Q822" s="182"/>
    </row>
    <row r="823" spans="1:17" customFormat="1" ht="14.4" hidden="1" x14ac:dyDescent="0.3">
      <c r="A823" s="180">
        <v>3239</v>
      </c>
      <c r="B823" s="181" t="s">
        <v>31</v>
      </c>
      <c r="C823" s="182">
        <v>140000</v>
      </c>
      <c r="D823" s="182">
        <v>140000</v>
      </c>
      <c r="E823" s="182"/>
      <c r="F823" s="182">
        <f t="shared" si="838"/>
        <v>0</v>
      </c>
      <c r="G823" s="182">
        <v>70000</v>
      </c>
      <c r="H823" s="182"/>
      <c r="I823" s="182"/>
      <c r="J823" s="220"/>
      <c r="K823" s="220"/>
      <c r="L823" s="220">
        <f t="shared" si="851"/>
        <v>0</v>
      </c>
      <c r="M823" s="182"/>
      <c r="N823" s="182"/>
      <c r="O823" s="182"/>
      <c r="P823" s="182"/>
      <c r="Q823" s="182"/>
    </row>
    <row r="824" spans="1:17" s="6" customFormat="1" ht="26.4" hidden="1" x14ac:dyDescent="0.3">
      <c r="A824" s="188">
        <v>324</v>
      </c>
      <c r="B824" s="192" t="s">
        <v>32</v>
      </c>
      <c r="C824" s="179">
        <f t="shared" ref="C824:Q824" si="852">SUM(C825)</f>
        <v>5000</v>
      </c>
      <c r="D824" s="179">
        <f t="shared" si="852"/>
        <v>5000</v>
      </c>
      <c r="E824" s="179">
        <f t="shared" si="852"/>
        <v>0</v>
      </c>
      <c r="F824" s="179">
        <f t="shared" si="852"/>
        <v>0</v>
      </c>
      <c r="G824" s="179">
        <f t="shared" si="852"/>
        <v>3000</v>
      </c>
      <c r="H824" s="179">
        <f t="shared" si="852"/>
        <v>0</v>
      </c>
      <c r="I824" s="179">
        <f t="shared" si="852"/>
        <v>0</v>
      </c>
      <c r="J824" s="179">
        <f t="shared" si="852"/>
        <v>0</v>
      </c>
      <c r="K824" s="179">
        <f t="shared" si="852"/>
        <v>0</v>
      </c>
      <c r="L824" s="179">
        <f t="shared" si="852"/>
        <v>0</v>
      </c>
      <c r="M824" s="179">
        <f t="shared" si="852"/>
        <v>0</v>
      </c>
      <c r="N824" s="179">
        <f t="shared" si="852"/>
        <v>0</v>
      </c>
      <c r="O824" s="179">
        <f t="shared" si="852"/>
        <v>0</v>
      </c>
      <c r="P824" s="179">
        <f t="shared" si="852"/>
        <v>0</v>
      </c>
      <c r="Q824" s="179">
        <f t="shared" si="852"/>
        <v>0</v>
      </c>
    </row>
    <row r="825" spans="1:17" customFormat="1" ht="26.4" hidden="1" x14ac:dyDescent="0.3">
      <c r="A825" s="189">
        <v>3241</v>
      </c>
      <c r="B825" s="190" t="s">
        <v>32</v>
      </c>
      <c r="C825" s="182">
        <v>5000</v>
      </c>
      <c r="D825" s="182">
        <v>5000</v>
      </c>
      <c r="E825" s="182"/>
      <c r="F825" s="182">
        <f t="shared" si="838"/>
        <v>0</v>
      </c>
      <c r="G825" s="182">
        <v>3000</v>
      </c>
      <c r="H825" s="182"/>
      <c r="I825" s="182"/>
      <c r="J825" s="220"/>
      <c r="K825" s="220"/>
      <c r="L825" s="220">
        <f>I825-J825+K825</f>
        <v>0</v>
      </c>
      <c r="M825" s="182"/>
      <c r="N825" s="182"/>
      <c r="O825" s="182"/>
      <c r="P825" s="182"/>
      <c r="Q825" s="182"/>
    </row>
    <row r="826" spans="1:17" s="6" customFormat="1" ht="14.4" hidden="1" x14ac:dyDescent="0.3">
      <c r="A826" s="198" t="s">
        <v>170</v>
      </c>
      <c r="B826" s="198" t="s">
        <v>33</v>
      </c>
      <c r="C826" s="248">
        <f t="shared" ref="C826:F826" si="853">SUM(C827:C828)</f>
        <v>15000</v>
      </c>
      <c r="D826" s="248">
        <f t="shared" si="853"/>
        <v>15000</v>
      </c>
      <c r="E826" s="248">
        <f t="shared" si="853"/>
        <v>0</v>
      </c>
      <c r="F826" s="248">
        <f t="shared" si="853"/>
        <v>0</v>
      </c>
      <c r="G826" s="248">
        <f t="shared" ref="G826:H826" si="854">SUM(G827:G828)</f>
        <v>8000</v>
      </c>
      <c r="H826" s="248">
        <f t="shared" si="854"/>
        <v>0</v>
      </c>
      <c r="I826" s="248">
        <f t="shared" ref="I826:M826" si="855">SUM(I827:I828)</f>
        <v>0</v>
      </c>
      <c r="J826" s="248">
        <f t="shared" si="855"/>
        <v>0</v>
      </c>
      <c r="K826" s="248">
        <f t="shared" si="855"/>
        <v>0</v>
      </c>
      <c r="L826" s="248">
        <f t="shared" si="855"/>
        <v>0</v>
      </c>
      <c r="M826" s="248">
        <f t="shared" si="855"/>
        <v>0</v>
      </c>
      <c r="N826" s="248">
        <f t="shared" ref="N826:O826" si="856">SUM(N827:N828)</f>
        <v>0</v>
      </c>
      <c r="O826" s="248">
        <f t="shared" si="856"/>
        <v>0</v>
      </c>
      <c r="P826" s="248">
        <f t="shared" ref="P826:Q826" si="857">SUM(P827:P828)</f>
        <v>0</v>
      </c>
      <c r="Q826" s="248">
        <f t="shared" si="857"/>
        <v>0</v>
      </c>
    </row>
    <row r="827" spans="1:17" customFormat="1" ht="14.4" hidden="1" x14ac:dyDescent="0.3">
      <c r="A827" s="189" t="s">
        <v>172</v>
      </c>
      <c r="B827" s="190" t="s">
        <v>36</v>
      </c>
      <c r="C827" s="182"/>
      <c r="D827" s="182"/>
      <c r="E827" s="182"/>
      <c r="F827" s="182"/>
      <c r="G827" s="182"/>
      <c r="H827" s="182"/>
      <c r="I827" s="182"/>
      <c r="J827" s="220"/>
      <c r="K827" s="220"/>
      <c r="L827" s="220"/>
      <c r="M827" s="182"/>
      <c r="N827" s="182"/>
      <c r="O827" s="182"/>
      <c r="P827" s="182"/>
      <c r="Q827" s="182"/>
    </row>
    <row r="828" spans="1:17" customFormat="1" ht="14.4" hidden="1" x14ac:dyDescent="0.3">
      <c r="A828" s="180" t="s">
        <v>173</v>
      </c>
      <c r="B828" s="204" t="s">
        <v>33</v>
      </c>
      <c r="C828" s="212">
        <v>15000</v>
      </c>
      <c r="D828" s="212">
        <v>15000</v>
      </c>
      <c r="E828" s="212"/>
      <c r="F828" s="182">
        <f t="shared" ref="F828" si="858">C828-D828+E828</f>
        <v>0</v>
      </c>
      <c r="G828" s="212">
        <v>8000</v>
      </c>
      <c r="H828" s="212"/>
      <c r="I828" s="212"/>
      <c r="J828" s="255"/>
      <c r="K828" s="255"/>
      <c r="L828" s="255"/>
      <c r="M828" s="212"/>
      <c r="N828" s="212"/>
      <c r="O828" s="212"/>
      <c r="P828" s="212"/>
      <c r="Q828" s="212"/>
    </row>
    <row r="829" spans="1:17" customFormat="1" ht="14.4" hidden="1" x14ac:dyDescent="0.3">
      <c r="A829" s="188">
        <v>412</v>
      </c>
      <c r="B829" s="192" t="s">
        <v>67</v>
      </c>
      <c r="C829" s="179">
        <f t="shared" ref="C829:D829" si="859">SUM(C830)</f>
        <v>0</v>
      </c>
      <c r="D829" s="179">
        <f t="shared" si="859"/>
        <v>0</v>
      </c>
      <c r="E829" s="179"/>
      <c r="F829" s="179"/>
      <c r="G829" s="179"/>
      <c r="H829" s="179"/>
      <c r="I829" s="179"/>
      <c r="J829" s="219"/>
      <c r="K829" s="219"/>
      <c r="L829" s="219"/>
      <c r="M829" s="179"/>
      <c r="N829" s="179"/>
      <c r="O829" s="179"/>
      <c r="P829" s="179"/>
      <c r="Q829" s="179"/>
    </row>
    <row r="830" spans="1:17" customFormat="1" ht="14.4" hidden="1" x14ac:dyDescent="0.3">
      <c r="A830" s="189">
        <v>4123</v>
      </c>
      <c r="B830" s="190" t="s">
        <v>68</v>
      </c>
      <c r="C830" s="182"/>
      <c r="D830" s="182"/>
      <c r="E830" s="182"/>
      <c r="F830" s="182"/>
      <c r="G830" s="182"/>
      <c r="H830" s="182"/>
      <c r="I830" s="182"/>
      <c r="J830" s="220"/>
      <c r="K830" s="220"/>
      <c r="L830" s="220"/>
      <c r="M830" s="182"/>
      <c r="N830" s="182"/>
      <c r="O830" s="182"/>
      <c r="P830" s="182"/>
      <c r="Q830" s="182"/>
    </row>
    <row r="831" spans="1:17" customFormat="1" ht="26.4" hidden="1" x14ac:dyDescent="0.3">
      <c r="A831" s="174" t="s">
        <v>323</v>
      </c>
      <c r="B831" s="186" t="s">
        <v>324</v>
      </c>
      <c r="C831" s="176">
        <f>SUM(C832,C837,C842)</f>
        <v>7612000</v>
      </c>
      <c r="D831" s="176">
        <f t="shared" ref="D831:F831" si="860">SUM(D832,D837,D842)</f>
        <v>2019000</v>
      </c>
      <c r="E831" s="176">
        <f t="shared" si="860"/>
        <v>0</v>
      </c>
      <c r="F831" s="176">
        <f t="shared" si="860"/>
        <v>5593000</v>
      </c>
      <c r="G831" s="176">
        <f t="shared" ref="G831:H831" si="861">SUM(G832,G837,G842)</f>
        <v>2558000</v>
      </c>
      <c r="H831" s="176">
        <f t="shared" si="861"/>
        <v>0</v>
      </c>
      <c r="I831" s="176">
        <f>SUM(I832,I837,I842)</f>
        <v>40000</v>
      </c>
      <c r="J831" s="176">
        <f t="shared" ref="J831:M831" si="862">SUM(J832,J837,J842)</f>
        <v>40000</v>
      </c>
      <c r="K831" s="176">
        <f>SUM(K832,K837,K842)</f>
        <v>363000</v>
      </c>
      <c r="L831" s="176">
        <f t="shared" si="862"/>
        <v>363000</v>
      </c>
      <c r="M831" s="176">
        <f t="shared" si="862"/>
        <v>0</v>
      </c>
      <c r="N831" s="176">
        <f t="shared" ref="N831:O831" si="863">SUM(N832,N837,N842)</f>
        <v>0</v>
      </c>
      <c r="O831" s="176">
        <f t="shared" si="863"/>
        <v>0</v>
      </c>
      <c r="P831" s="176">
        <f t="shared" ref="P831:Q831" si="864">SUM(P832,P837,P842)</f>
        <v>0</v>
      </c>
      <c r="Q831" s="176">
        <f t="shared" si="864"/>
        <v>0</v>
      </c>
    </row>
    <row r="832" spans="1:17" customFormat="1" ht="14.4" hidden="1" x14ac:dyDescent="0.3">
      <c r="A832" s="188">
        <v>422</v>
      </c>
      <c r="B832" s="192" t="s">
        <v>53</v>
      </c>
      <c r="C832" s="179">
        <f t="shared" ref="C832:F832" si="865">SUM(C833:C836)</f>
        <v>4640000</v>
      </c>
      <c r="D832" s="179">
        <f t="shared" si="865"/>
        <v>299000</v>
      </c>
      <c r="E832" s="179">
        <f t="shared" si="865"/>
        <v>0</v>
      </c>
      <c r="F832" s="179">
        <f t="shared" si="865"/>
        <v>4341000</v>
      </c>
      <c r="G832" s="179">
        <f t="shared" ref="G832:H832" si="866">SUM(G833:G836)</f>
        <v>568000</v>
      </c>
      <c r="H832" s="179">
        <f t="shared" si="866"/>
        <v>0</v>
      </c>
      <c r="I832" s="179">
        <f t="shared" ref="I832:M832" si="867">SUM(I833:I836)</f>
        <v>40000</v>
      </c>
      <c r="J832" s="179">
        <f t="shared" si="867"/>
        <v>40000</v>
      </c>
      <c r="K832" s="179">
        <f t="shared" si="867"/>
        <v>28900</v>
      </c>
      <c r="L832" s="179">
        <f>SUM(L833:L836)</f>
        <v>28900</v>
      </c>
      <c r="M832" s="179">
        <f t="shared" si="867"/>
        <v>0</v>
      </c>
      <c r="N832" s="179">
        <f t="shared" ref="N832:O832" si="868">SUM(N833:N836)</f>
        <v>0</v>
      </c>
      <c r="O832" s="179">
        <f t="shared" si="868"/>
        <v>0</v>
      </c>
      <c r="P832" s="179">
        <f t="shared" ref="P832:Q832" si="869">SUM(P833:P836)</f>
        <v>0</v>
      </c>
      <c r="Q832" s="179">
        <f t="shared" si="869"/>
        <v>0</v>
      </c>
    </row>
    <row r="833" spans="1:18" customFormat="1" ht="14.4" hidden="1" x14ac:dyDescent="0.3">
      <c r="A833" s="189">
        <v>4221</v>
      </c>
      <c r="B833" s="190" t="s">
        <v>54</v>
      </c>
      <c r="C833" s="182">
        <v>1158000</v>
      </c>
      <c r="D833" s="182"/>
      <c r="E833" s="182"/>
      <c r="F833" s="182">
        <f t="shared" ref="F833:F838" si="870">C833-D833+E833</f>
        <v>1158000</v>
      </c>
      <c r="G833" s="182">
        <v>134000</v>
      </c>
      <c r="H833" s="182"/>
      <c r="I833" s="182"/>
      <c r="J833" s="220"/>
      <c r="K833" s="220">
        <v>28900</v>
      </c>
      <c r="L833" s="220">
        <f>I833-J833+K833</f>
        <v>28900</v>
      </c>
      <c r="M833" s="182"/>
      <c r="N833" s="182"/>
      <c r="O833" s="182"/>
      <c r="P833" s="182"/>
      <c r="Q833" s="182"/>
    </row>
    <row r="834" spans="1:18" customFormat="1" ht="14.4" hidden="1" x14ac:dyDescent="0.3">
      <c r="A834" s="189">
        <v>4222</v>
      </c>
      <c r="B834" s="190" t="s">
        <v>58</v>
      </c>
      <c r="C834" s="182">
        <v>2594000</v>
      </c>
      <c r="D834" s="182"/>
      <c r="E834" s="182"/>
      <c r="F834" s="182">
        <f t="shared" si="870"/>
        <v>2594000</v>
      </c>
      <c r="G834" s="182">
        <v>0</v>
      </c>
      <c r="H834" s="182"/>
      <c r="I834" s="182">
        <v>10000</v>
      </c>
      <c r="J834" s="220">
        <v>10000</v>
      </c>
      <c r="K834" s="220"/>
      <c r="L834" s="220">
        <f>I834-J834+K834</f>
        <v>0</v>
      </c>
      <c r="M834" s="182"/>
      <c r="N834" s="182"/>
      <c r="O834" s="182"/>
      <c r="P834" s="182"/>
      <c r="Q834" s="182"/>
    </row>
    <row r="835" spans="1:18" customFormat="1" ht="14.1" hidden="1" customHeight="1" x14ac:dyDescent="0.3">
      <c r="A835" s="189">
        <v>4223</v>
      </c>
      <c r="B835" s="190" t="s">
        <v>59</v>
      </c>
      <c r="C835" s="182">
        <v>589000</v>
      </c>
      <c r="D835" s="182"/>
      <c r="E835" s="182"/>
      <c r="F835" s="182">
        <f t="shared" si="870"/>
        <v>589000</v>
      </c>
      <c r="G835" s="182">
        <v>299000</v>
      </c>
      <c r="H835" s="182"/>
      <c r="I835" s="182">
        <v>30000</v>
      </c>
      <c r="J835" s="220">
        <v>30000</v>
      </c>
      <c r="K835" s="220"/>
      <c r="L835" s="220">
        <f>I835-J835+K835</f>
        <v>0</v>
      </c>
      <c r="M835" s="182"/>
      <c r="N835" s="182"/>
      <c r="O835" s="182"/>
      <c r="P835" s="182"/>
      <c r="Q835" s="182"/>
    </row>
    <row r="836" spans="1:18" customFormat="1" ht="0.6" hidden="1" customHeight="1" x14ac:dyDescent="0.3">
      <c r="A836" s="189">
        <v>4227</v>
      </c>
      <c r="B836" s="190" t="s">
        <v>60</v>
      </c>
      <c r="C836" s="182">
        <v>299000</v>
      </c>
      <c r="D836" s="182">
        <v>299000</v>
      </c>
      <c r="E836" s="182"/>
      <c r="F836" s="182">
        <f t="shared" si="870"/>
        <v>0</v>
      </c>
      <c r="G836" s="182">
        <v>135000</v>
      </c>
      <c r="H836" s="182"/>
      <c r="I836" s="182"/>
      <c r="J836" s="220"/>
      <c r="K836" s="220"/>
      <c r="L836" s="220"/>
      <c r="M836" s="182"/>
      <c r="N836" s="182"/>
      <c r="O836" s="182"/>
      <c r="P836" s="182"/>
      <c r="Q836" s="182"/>
    </row>
    <row r="837" spans="1:18" customFormat="1" ht="14.4" hidden="1" x14ac:dyDescent="0.3">
      <c r="A837" s="188">
        <v>423</v>
      </c>
      <c r="B837" s="192" t="s">
        <v>61</v>
      </c>
      <c r="C837" s="179">
        <f t="shared" ref="C837:F837" si="871">SUM(C838:C839)</f>
        <v>1990000</v>
      </c>
      <c r="D837" s="179">
        <f t="shared" si="871"/>
        <v>820000</v>
      </c>
      <c r="E837" s="179">
        <f t="shared" si="871"/>
        <v>0</v>
      </c>
      <c r="F837" s="179">
        <f t="shared" si="871"/>
        <v>1170000</v>
      </c>
      <c r="G837" s="179">
        <f t="shared" ref="G837:H837" si="872">SUM(G838:G839)</f>
        <v>0</v>
      </c>
      <c r="H837" s="179">
        <f t="shared" si="872"/>
        <v>0</v>
      </c>
      <c r="I837" s="179">
        <f t="shared" ref="I837:M837" si="873">SUM(I838:I839)</f>
        <v>0</v>
      </c>
      <c r="J837" s="179">
        <f t="shared" si="873"/>
        <v>0</v>
      </c>
      <c r="K837" s="179">
        <f t="shared" si="873"/>
        <v>0</v>
      </c>
      <c r="L837" s="179">
        <f t="shared" si="873"/>
        <v>0</v>
      </c>
      <c r="M837" s="179">
        <f t="shared" si="873"/>
        <v>0</v>
      </c>
      <c r="N837" s="179">
        <f t="shared" ref="N837:O837" si="874">SUM(N838:N839)</f>
        <v>0</v>
      </c>
      <c r="O837" s="179">
        <f t="shared" si="874"/>
        <v>0</v>
      </c>
      <c r="P837" s="179">
        <f t="shared" ref="P837:Q837" si="875">SUM(P838:P839)</f>
        <v>0</v>
      </c>
      <c r="Q837" s="179">
        <f t="shared" si="875"/>
        <v>0</v>
      </c>
    </row>
    <row r="838" spans="1:18" customFormat="1" ht="14.4" hidden="1" x14ac:dyDescent="0.3">
      <c r="A838" s="189">
        <v>4231</v>
      </c>
      <c r="B838" s="190" t="s">
        <v>62</v>
      </c>
      <c r="C838" s="182">
        <v>1990000</v>
      </c>
      <c r="D838" s="182">
        <v>820000</v>
      </c>
      <c r="E838" s="182"/>
      <c r="F838" s="182">
        <f t="shared" si="870"/>
        <v>1170000</v>
      </c>
      <c r="G838" s="182">
        <v>0</v>
      </c>
      <c r="H838" s="182"/>
      <c r="I838" s="182"/>
      <c r="J838" s="220"/>
      <c r="K838" s="220"/>
      <c r="L838" s="220"/>
      <c r="M838" s="182"/>
      <c r="N838" s="182"/>
      <c r="O838" s="182"/>
      <c r="P838" s="182"/>
      <c r="Q838" s="182"/>
    </row>
    <row r="839" spans="1:18" customFormat="1" ht="26.4" hidden="1" x14ac:dyDescent="0.3">
      <c r="A839" s="189">
        <v>4233</v>
      </c>
      <c r="B839" s="190" t="s">
        <v>227</v>
      </c>
      <c r="C839" s="182"/>
      <c r="D839" s="182"/>
      <c r="E839" s="182"/>
      <c r="F839" s="182"/>
      <c r="G839" s="182"/>
      <c r="H839" s="182"/>
      <c r="I839" s="182"/>
      <c r="J839" s="220"/>
      <c r="K839" s="220"/>
      <c r="L839" s="220"/>
      <c r="M839" s="182"/>
      <c r="N839" s="182"/>
      <c r="O839" s="182"/>
      <c r="P839" s="182"/>
      <c r="Q839" s="182"/>
    </row>
    <row r="840" spans="1:18" customFormat="1" ht="14.4" hidden="1" x14ac:dyDescent="0.3">
      <c r="A840" s="188">
        <v>425</v>
      </c>
      <c r="B840" s="247" t="s">
        <v>309</v>
      </c>
      <c r="C840" s="179">
        <f t="shared" ref="C840:D840" si="876">SUM(C841)</f>
        <v>0</v>
      </c>
      <c r="D840" s="179">
        <f t="shared" si="876"/>
        <v>0</v>
      </c>
      <c r="E840" s="179"/>
      <c r="F840" s="179"/>
      <c r="G840" s="179"/>
      <c r="H840" s="179"/>
      <c r="I840" s="179"/>
      <c r="J840" s="219"/>
      <c r="K840" s="219"/>
      <c r="L840" s="219"/>
      <c r="M840" s="179"/>
      <c r="N840" s="179"/>
      <c r="O840" s="179"/>
      <c r="P840" s="179"/>
      <c r="Q840" s="179"/>
    </row>
    <row r="841" spans="1:18" customFormat="1" ht="14.4" hidden="1" x14ac:dyDescent="0.3">
      <c r="A841" s="189">
        <v>4252</v>
      </c>
      <c r="B841" s="190" t="s">
        <v>63</v>
      </c>
      <c r="C841" s="182"/>
      <c r="D841" s="182"/>
      <c r="E841" s="182"/>
      <c r="F841" s="182"/>
      <c r="G841" s="182"/>
      <c r="H841" s="182"/>
      <c r="I841" s="182"/>
      <c r="J841" s="220"/>
      <c r="K841" s="220"/>
      <c r="L841" s="220"/>
      <c r="M841" s="182"/>
      <c r="N841" s="182"/>
      <c r="O841" s="182"/>
      <c r="P841" s="182"/>
      <c r="Q841" s="182"/>
    </row>
    <row r="842" spans="1:18" customFormat="1" ht="14.4" hidden="1" x14ac:dyDescent="0.3">
      <c r="A842" s="188">
        <v>426</v>
      </c>
      <c r="B842" s="192" t="s">
        <v>73</v>
      </c>
      <c r="C842" s="179">
        <f t="shared" ref="C842:Q842" si="877">SUM(C843)</f>
        <v>982000</v>
      </c>
      <c r="D842" s="179">
        <f t="shared" si="877"/>
        <v>900000</v>
      </c>
      <c r="E842" s="179">
        <f t="shared" si="877"/>
        <v>0</v>
      </c>
      <c r="F842" s="179">
        <f t="shared" si="877"/>
        <v>82000</v>
      </c>
      <c r="G842" s="179">
        <f t="shared" si="877"/>
        <v>1990000</v>
      </c>
      <c r="H842" s="179">
        <f t="shared" si="877"/>
        <v>0</v>
      </c>
      <c r="I842" s="179">
        <f t="shared" si="877"/>
        <v>0</v>
      </c>
      <c r="J842" s="179">
        <f t="shared" si="877"/>
        <v>0</v>
      </c>
      <c r="K842" s="179">
        <f t="shared" si="877"/>
        <v>334100</v>
      </c>
      <c r="L842" s="179">
        <f t="shared" si="877"/>
        <v>334100</v>
      </c>
      <c r="M842" s="179">
        <f t="shared" si="877"/>
        <v>0</v>
      </c>
      <c r="N842" s="179">
        <f t="shared" si="877"/>
        <v>0</v>
      </c>
      <c r="O842" s="179">
        <f t="shared" si="877"/>
        <v>0</v>
      </c>
      <c r="P842" s="179">
        <f t="shared" si="877"/>
        <v>0</v>
      </c>
      <c r="Q842" s="179">
        <f t="shared" si="877"/>
        <v>0</v>
      </c>
    </row>
    <row r="843" spans="1:18" customFormat="1" ht="14.4" hidden="1" x14ac:dyDescent="0.3">
      <c r="A843" s="189">
        <v>4262</v>
      </c>
      <c r="B843" s="190" t="s">
        <v>88</v>
      </c>
      <c r="C843" s="182">
        <v>982000</v>
      </c>
      <c r="D843" s="182">
        <v>900000</v>
      </c>
      <c r="E843" s="182"/>
      <c r="F843" s="182">
        <f t="shared" ref="F843" si="878">C843-D843+E843</f>
        <v>82000</v>
      </c>
      <c r="G843" s="182">
        <v>1990000</v>
      </c>
      <c r="H843" s="182"/>
      <c r="I843" s="182"/>
      <c r="J843" s="220"/>
      <c r="K843" s="220">
        <v>334100</v>
      </c>
      <c r="L843" s="220">
        <f>I843-J843+K843</f>
        <v>334100</v>
      </c>
      <c r="M843" s="182"/>
      <c r="N843" s="182"/>
      <c r="O843" s="182"/>
      <c r="P843" s="182"/>
      <c r="Q843" s="182"/>
    </row>
    <row r="844" spans="1:18" customFormat="1" ht="26.4" hidden="1" x14ac:dyDescent="0.3">
      <c r="A844" s="209" t="s">
        <v>325</v>
      </c>
      <c r="B844" s="210" t="s">
        <v>326</v>
      </c>
      <c r="C844" s="176">
        <f>SUM(C845)</f>
        <v>199000</v>
      </c>
      <c r="D844" s="176">
        <f t="shared" ref="D844:Q844" si="879">SUM(D845)</f>
        <v>80000</v>
      </c>
      <c r="E844" s="176">
        <f t="shared" si="879"/>
        <v>0</v>
      </c>
      <c r="F844" s="176">
        <f t="shared" si="879"/>
        <v>119000</v>
      </c>
      <c r="G844" s="176">
        <f t="shared" si="879"/>
        <v>0</v>
      </c>
      <c r="H844" s="176">
        <f t="shared" si="879"/>
        <v>0</v>
      </c>
      <c r="I844" s="176">
        <f t="shared" si="879"/>
        <v>0</v>
      </c>
      <c r="J844" s="176">
        <f t="shared" si="879"/>
        <v>0</v>
      </c>
      <c r="K844" s="176">
        <f t="shared" si="879"/>
        <v>120200</v>
      </c>
      <c r="L844" s="176">
        <f t="shared" si="879"/>
        <v>120200</v>
      </c>
      <c r="M844" s="176">
        <f t="shared" si="879"/>
        <v>0</v>
      </c>
      <c r="N844" s="176">
        <f t="shared" si="879"/>
        <v>0</v>
      </c>
      <c r="O844" s="176">
        <f t="shared" si="879"/>
        <v>0</v>
      </c>
      <c r="P844" s="176">
        <f t="shared" si="879"/>
        <v>0</v>
      </c>
      <c r="Q844" s="176">
        <f t="shared" si="879"/>
        <v>0</v>
      </c>
      <c r="R844" s="655">
        <f>53835500-49848400</f>
        <v>3987100</v>
      </c>
    </row>
    <row r="845" spans="1:18" customFormat="1" ht="26.4" hidden="1" x14ac:dyDescent="0.3">
      <c r="A845" s="188">
        <v>451</v>
      </c>
      <c r="B845" s="192" t="s">
        <v>55</v>
      </c>
      <c r="C845" s="179">
        <f t="shared" ref="C845:Q845" si="880">SUM(C846:C846)</f>
        <v>199000</v>
      </c>
      <c r="D845" s="179">
        <f t="shared" si="880"/>
        <v>80000</v>
      </c>
      <c r="E845" s="179">
        <f t="shared" si="880"/>
        <v>0</v>
      </c>
      <c r="F845" s="179">
        <f t="shared" si="880"/>
        <v>119000</v>
      </c>
      <c r="G845" s="179">
        <f t="shared" si="880"/>
        <v>0</v>
      </c>
      <c r="H845" s="179">
        <f t="shared" si="880"/>
        <v>0</v>
      </c>
      <c r="I845" s="179">
        <f t="shared" si="880"/>
        <v>0</v>
      </c>
      <c r="J845" s="179">
        <f t="shared" si="880"/>
        <v>0</v>
      </c>
      <c r="K845" s="179">
        <f t="shared" si="880"/>
        <v>120200</v>
      </c>
      <c r="L845" s="179">
        <f t="shared" si="880"/>
        <v>120200</v>
      </c>
      <c r="M845" s="179">
        <f t="shared" si="880"/>
        <v>0</v>
      </c>
      <c r="N845" s="179">
        <f t="shared" si="880"/>
        <v>0</v>
      </c>
      <c r="O845" s="179">
        <f t="shared" si="880"/>
        <v>0</v>
      </c>
      <c r="P845" s="179">
        <f t="shared" si="880"/>
        <v>0</v>
      </c>
      <c r="Q845" s="179">
        <f t="shared" si="880"/>
        <v>0</v>
      </c>
    </row>
    <row r="846" spans="1:18" customFormat="1" ht="14.4" hidden="1" x14ac:dyDescent="0.3">
      <c r="A846" s="189">
        <v>4511</v>
      </c>
      <c r="B846" s="190" t="s">
        <v>55</v>
      </c>
      <c r="C846" s="182">
        <v>199000</v>
      </c>
      <c r="D846" s="182">
        <v>80000</v>
      </c>
      <c r="E846" s="182"/>
      <c r="F846" s="182">
        <f t="shared" ref="F846" si="881">C846-D846+E846</f>
        <v>119000</v>
      </c>
      <c r="G846" s="182"/>
      <c r="H846" s="182"/>
      <c r="I846" s="182"/>
      <c r="J846" s="220"/>
      <c r="K846" s="220">
        <v>120200</v>
      </c>
      <c r="L846" s="220">
        <f>I846-J846+K846</f>
        <v>120200</v>
      </c>
      <c r="M846" s="182"/>
      <c r="N846" s="182"/>
      <c r="O846" s="182"/>
      <c r="P846" s="182"/>
      <c r="Q846" s="182"/>
    </row>
    <row r="847" spans="1:18" customFormat="1" ht="25.05" hidden="1" customHeight="1" x14ac:dyDescent="0.3">
      <c r="A847" s="170" t="s">
        <v>81</v>
      </c>
      <c r="B847" s="171" t="s">
        <v>82</v>
      </c>
      <c r="C847" s="172">
        <f t="shared" ref="C847:Q847" si="882">SUM(C848)</f>
        <v>3604000</v>
      </c>
      <c r="D847" s="172">
        <f t="shared" si="882"/>
        <v>1727000</v>
      </c>
      <c r="E847" s="172">
        <f t="shared" si="882"/>
        <v>737000</v>
      </c>
      <c r="F847" s="172">
        <f t="shared" si="882"/>
        <v>2614000</v>
      </c>
      <c r="G847" s="172">
        <f t="shared" si="882"/>
        <v>1620000</v>
      </c>
      <c r="H847" s="172">
        <f t="shared" si="882"/>
        <v>0</v>
      </c>
      <c r="I847" s="172">
        <f t="shared" si="882"/>
        <v>1500000</v>
      </c>
      <c r="J847" s="172">
        <f t="shared" si="882"/>
        <v>949400</v>
      </c>
      <c r="K847" s="172">
        <f t="shared" si="882"/>
        <v>297100</v>
      </c>
      <c r="L847" s="172">
        <f t="shared" si="882"/>
        <v>847700</v>
      </c>
      <c r="M847" s="172">
        <f t="shared" si="882"/>
        <v>0</v>
      </c>
      <c r="N847" s="172">
        <f t="shared" si="882"/>
        <v>0</v>
      </c>
      <c r="O847" s="172">
        <f t="shared" si="882"/>
        <v>0</v>
      </c>
      <c r="P847" s="172">
        <f t="shared" si="882"/>
        <v>0</v>
      </c>
      <c r="Q847" s="437">
        <f t="shared" si="882"/>
        <v>0</v>
      </c>
      <c r="R847" s="438"/>
    </row>
    <row r="848" spans="1:18" customFormat="1" ht="18" hidden="1" customHeight="1" x14ac:dyDescent="0.3">
      <c r="A848" s="721" t="s">
        <v>118</v>
      </c>
      <c r="B848" s="721"/>
      <c r="C848" s="173">
        <f>SUM(C849,C858,C885,C888,C891,C904)</f>
        <v>3604000</v>
      </c>
      <c r="D848" s="173">
        <f t="shared" ref="D848:F848" si="883">SUM(D849,D858,D885,D888,D891,D904)</f>
        <v>1727000</v>
      </c>
      <c r="E848" s="173">
        <f t="shared" si="883"/>
        <v>737000</v>
      </c>
      <c r="F848" s="173">
        <f t="shared" si="883"/>
        <v>2614000</v>
      </c>
      <c r="G848" s="173">
        <f t="shared" ref="G848:H848" si="884">SUM(G849,G858,G885,G888,G891,G904)</f>
        <v>1620000</v>
      </c>
      <c r="H848" s="173">
        <f t="shared" si="884"/>
        <v>0</v>
      </c>
      <c r="I848" s="173">
        <f t="shared" ref="I848:M848" si="885">SUM(I849,I858,I885,I888,I891,I904)</f>
        <v>1500000</v>
      </c>
      <c r="J848" s="173">
        <f t="shared" si="885"/>
        <v>949400</v>
      </c>
      <c r="K848" s="173">
        <f t="shared" si="885"/>
        <v>297100</v>
      </c>
      <c r="L848" s="173">
        <f t="shared" si="885"/>
        <v>847700</v>
      </c>
      <c r="M848" s="173">
        <f t="shared" si="885"/>
        <v>0</v>
      </c>
      <c r="N848" s="173">
        <f t="shared" ref="N848:O848" si="886">SUM(N849,N858,N885,N888,N891,N904)</f>
        <v>0</v>
      </c>
      <c r="O848" s="173">
        <f t="shared" si="886"/>
        <v>0</v>
      </c>
      <c r="P848" s="173">
        <f t="shared" ref="P848:Q848" si="887">SUM(P849,P858,P885,P888,P891,P904)</f>
        <v>0</v>
      </c>
      <c r="Q848" s="173">
        <f t="shared" si="887"/>
        <v>0</v>
      </c>
    </row>
    <row r="849" spans="1:17" customFormat="1" ht="17.100000000000001" hidden="1" customHeight="1" x14ac:dyDescent="0.3">
      <c r="A849" s="185" t="s">
        <v>315</v>
      </c>
      <c r="B849" s="186" t="s">
        <v>316</v>
      </c>
      <c r="C849" s="187">
        <f>SUM(C850,C854)</f>
        <v>141000</v>
      </c>
      <c r="D849" s="187">
        <f t="shared" ref="D849:F849" si="888">SUM(D850,D854)</f>
        <v>102000</v>
      </c>
      <c r="E849" s="187">
        <f t="shared" si="888"/>
        <v>0</v>
      </c>
      <c r="F849" s="187">
        <f t="shared" si="888"/>
        <v>39000</v>
      </c>
      <c r="G849" s="187">
        <f t="shared" ref="G849:H849" si="889">SUM(G850,G854)</f>
        <v>70000</v>
      </c>
      <c r="H849" s="187">
        <f t="shared" si="889"/>
        <v>0</v>
      </c>
      <c r="I849" s="187">
        <f>SUM(I850,I852,I854)</f>
        <v>0</v>
      </c>
      <c r="J849" s="187">
        <f t="shared" ref="J849:Q849" si="890">SUM(J850,J852,J854)</f>
        <v>0</v>
      </c>
      <c r="K849" s="187">
        <f t="shared" si="890"/>
        <v>1900</v>
      </c>
      <c r="L849" s="187">
        <f t="shared" si="890"/>
        <v>1900</v>
      </c>
      <c r="M849" s="187">
        <f t="shared" si="890"/>
        <v>0</v>
      </c>
      <c r="N849" s="187">
        <f t="shared" si="890"/>
        <v>0</v>
      </c>
      <c r="O849" s="187">
        <f t="shared" si="890"/>
        <v>0</v>
      </c>
      <c r="P849" s="187">
        <f t="shared" si="890"/>
        <v>0</v>
      </c>
      <c r="Q849" s="187">
        <f t="shared" si="890"/>
        <v>0</v>
      </c>
    </row>
    <row r="850" spans="1:17" customFormat="1" ht="14.4" hidden="1" x14ac:dyDescent="0.3">
      <c r="A850" s="177">
        <v>311</v>
      </c>
      <c r="B850" s="178" t="s">
        <v>4</v>
      </c>
      <c r="C850" s="179">
        <f t="shared" ref="C850:Q850" si="891">SUM(C851:C851)</f>
        <v>133000</v>
      </c>
      <c r="D850" s="179">
        <f t="shared" si="891"/>
        <v>98000</v>
      </c>
      <c r="E850" s="179">
        <f t="shared" si="891"/>
        <v>0</v>
      </c>
      <c r="F850" s="179">
        <f t="shared" si="891"/>
        <v>35000</v>
      </c>
      <c r="G850" s="179">
        <f t="shared" si="891"/>
        <v>66000</v>
      </c>
      <c r="H850" s="179">
        <f t="shared" si="891"/>
        <v>0</v>
      </c>
      <c r="I850" s="179">
        <f t="shared" si="891"/>
        <v>0</v>
      </c>
      <c r="J850" s="179">
        <f t="shared" si="891"/>
        <v>0</v>
      </c>
      <c r="K850" s="179">
        <f t="shared" si="891"/>
        <v>0</v>
      </c>
      <c r="L850" s="179">
        <f t="shared" si="891"/>
        <v>0</v>
      </c>
      <c r="M850" s="179">
        <f t="shared" si="891"/>
        <v>0</v>
      </c>
      <c r="N850" s="179">
        <f t="shared" si="891"/>
        <v>0</v>
      </c>
      <c r="O850" s="179">
        <f t="shared" si="891"/>
        <v>0</v>
      </c>
      <c r="P850" s="179">
        <f t="shared" si="891"/>
        <v>0</v>
      </c>
      <c r="Q850" s="179">
        <f t="shared" si="891"/>
        <v>0</v>
      </c>
    </row>
    <row r="851" spans="1:17" customFormat="1" ht="14.4" hidden="1" x14ac:dyDescent="0.3">
      <c r="A851" s="180">
        <v>3111</v>
      </c>
      <c r="B851" s="181" t="s">
        <v>5</v>
      </c>
      <c r="C851" s="182">
        <v>133000</v>
      </c>
      <c r="D851" s="182">
        <v>98000</v>
      </c>
      <c r="E851" s="182"/>
      <c r="F851" s="182">
        <f t="shared" ref="F851" si="892">C851-D851+E851</f>
        <v>35000</v>
      </c>
      <c r="G851" s="182">
        <v>66000</v>
      </c>
      <c r="H851" s="182"/>
      <c r="I851" s="182"/>
      <c r="J851" s="220"/>
      <c r="K851" s="220"/>
      <c r="L851" s="220">
        <f>I851-J851+K851</f>
        <v>0</v>
      </c>
      <c r="M851" s="182"/>
      <c r="N851" s="182"/>
      <c r="O851" s="182"/>
      <c r="P851" s="182"/>
      <c r="Q851" s="182"/>
    </row>
    <row r="852" spans="1:17" customFormat="1" ht="14.4" hidden="1" x14ac:dyDescent="0.3">
      <c r="A852" s="177">
        <v>312</v>
      </c>
      <c r="B852" s="178" t="s">
        <v>7</v>
      </c>
      <c r="C852" s="179">
        <f t="shared" ref="C852:D852" si="893">SUM(C853:C853)</f>
        <v>0</v>
      </c>
      <c r="D852" s="179">
        <f t="shared" si="893"/>
        <v>0</v>
      </c>
      <c r="E852" s="179"/>
      <c r="F852" s="179"/>
      <c r="G852" s="179"/>
      <c r="H852" s="179"/>
      <c r="I852" s="179">
        <f t="shared" ref="I852:Q852" si="894">SUM(I853)</f>
        <v>0</v>
      </c>
      <c r="J852" s="179">
        <f t="shared" si="894"/>
        <v>0</v>
      </c>
      <c r="K852" s="179">
        <f t="shared" si="894"/>
        <v>1900</v>
      </c>
      <c r="L852" s="179">
        <f t="shared" si="894"/>
        <v>1900</v>
      </c>
      <c r="M852" s="179">
        <f t="shared" si="894"/>
        <v>0</v>
      </c>
      <c r="N852" s="179">
        <f t="shared" si="894"/>
        <v>0</v>
      </c>
      <c r="O852" s="179">
        <f t="shared" si="894"/>
        <v>0</v>
      </c>
      <c r="P852" s="179">
        <f t="shared" si="894"/>
        <v>0</v>
      </c>
      <c r="Q852" s="179">
        <f t="shared" si="894"/>
        <v>0</v>
      </c>
    </row>
    <row r="853" spans="1:17" customFormat="1" ht="12.6" hidden="1" customHeight="1" x14ac:dyDescent="0.3">
      <c r="A853" s="180">
        <v>3121</v>
      </c>
      <c r="B853" s="181" t="s">
        <v>7</v>
      </c>
      <c r="C853" s="182"/>
      <c r="D853" s="182"/>
      <c r="E853" s="182"/>
      <c r="F853" s="182"/>
      <c r="G853" s="182"/>
      <c r="H853" s="182"/>
      <c r="I853" s="182"/>
      <c r="J853" s="220"/>
      <c r="K853" s="220">
        <v>1900</v>
      </c>
      <c r="L853" s="220">
        <f>I853-J853+K853</f>
        <v>1900</v>
      </c>
      <c r="M853" s="182"/>
      <c r="N853" s="182"/>
      <c r="O853" s="182"/>
      <c r="P853" s="182"/>
      <c r="Q853" s="182"/>
    </row>
    <row r="854" spans="1:17" customFormat="1" ht="0.6" hidden="1" customHeight="1" x14ac:dyDescent="0.3">
      <c r="A854" s="177">
        <v>313</v>
      </c>
      <c r="B854" s="178" t="s">
        <v>8</v>
      </c>
      <c r="C854" s="179">
        <f t="shared" ref="C854:F854" si="895">SUM(C855:C857)</f>
        <v>8000</v>
      </c>
      <c r="D854" s="179">
        <f t="shared" si="895"/>
        <v>4000</v>
      </c>
      <c r="E854" s="179">
        <f t="shared" si="895"/>
        <v>0</v>
      </c>
      <c r="F854" s="179">
        <f t="shared" si="895"/>
        <v>4000</v>
      </c>
      <c r="G854" s="179">
        <f t="shared" ref="G854:H854" si="896">SUM(G855:G857)</f>
        <v>4000</v>
      </c>
      <c r="H854" s="179">
        <f t="shared" si="896"/>
        <v>0</v>
      </c>
      <c r="I854" s="179">
        <f t="shared" ref="I854:M854" si="897">SUM(I855:I857)</f>
        <v>0</v>
      </c>
      <c r="J854" s="179">
        <f t="shared" si="897"/>
        <v>0</v>
      </c>
      <c r="K854" s="179">
        <f t="shared" si="897"/>
        <v>0</v>
      </c>
      <c r="L854" s="179">
        <f t="shared" si="897"/>
        <v>0</v>
      </c>
      <c r="M854" s="179">
        <f t="shared" si="897"/>
        <v>0</v>
      </c>
      <c r="N854" s="179">
        <f t="shared" ref="N854:O854" si="898">SUM(N855:N857)</f>
        <v>0</v>
      </c>
      <c r="O854" s="179">
        <f t="shared" si="898"/>
        <v>0</v>
      </c>
      <c r="P854" s="179">
        <f t="shared" ref="P854:Q854" si="899">SUM(P855:P857)</f>
        <v>0</v>
      </c>
      <c r="Q854" s="179">
        <f t="shared" si="899"/>
        <v>0</v>
      </c>
    </row>
    <row r="855" spans="1:17" customFormat="1" ht="14.4" hidden="1" x14ac:dyDescent="0.3">
      <c r="A855" s="180">
        <v>3131</v>
      </c>
      <c r="B855" s="181" t="s">
        <v>9</v>
      </c>
      <c r="C855" s="182"/>
      <c r="D855" s="182"/>
      <c r="E855" s="182"/>
      <c r="F855" s="182"/>
      <c r="G855" s="182"/>
      <c r="H855" s="182"/>
      <c r="I855" s="182"/>
      <c r="J855" s="220"/>
      <c r="K855" s="220"/>
      <c r="L855" s="220"/>
      <c r="M855" s="182"/>
      <c r="N855" s="182"/>
      <c r="O855" s="182"/>
      <c r="P855" s="182"/>
      <c r="Q855" s="182"/>
    </row>
    <row r="856" spans="1:17" customFormat="1" ht="14.4" hidden="1" x14ac:dyDescent="0.3">
      <c r="A856" s="180">
        <v>3132</v>
      </c>
      <c r="B856" s="181" t="s">
        <v>10</v>
      </c>
      <c r="C856" s="182">
        <v>8000</v>
      </c>
      <c r="D856" s="182">
        <v>4000</v>
      </c>
      <c r="E856" s="182"/>
      <c r="F856" s="182">
        <f t="shared" ref="F856" si="900">C856-D856+E856</f>
        <v>4000</v>
      </c>
      <c r="G856" s="182">
        <v>4000</v>
      </c>
      <c r="H856" s="182"/>
      <c r="I856" s="182"/>
      <c r="J856" s="220"/>
      <c r="K856" s="220"/>
      <c r="L856" s="220">
        <f>I856-J856+K856</f>
        <v>0</v>
      </c>
      <c r="M856" s="182"/>
      <c r="N856" s="182"/>
      <c r="O856" s="182"/>
      <c r="P856" s="182"/>
      <c r="Q856" s="182"/>
    </row>
    <row r="857" spans="1:17" customFormat="1" ht="14.4" hidden="1" x14ac:dyDescent="0.3">
      <c r="A857" s="180">
        <v>3133</v>
      </c>
      <c r="B857" s="181" t="s">
        <v>11</v>
      </c>
      <c r="C857" s="182"/>
      <c r="D857" s="182"/>
      <c r="E857" s="182"/>
      <c r="F857" s="182"/>
      <c r="G857" s="182"/>
      <c r="H857" s="182"/>
      <c r="I857" s="182"/>
      <c r="J857" s="220"/>
      <c r="K857" s="220"/>
      <c r="L857" s="220"/>
      <c r="M857" s="182"/>
      <c r="N857" s="182"/>
      <c r="O857" s="182"/>
      <c r="P857" s="182"/>
      <c r="Q857" s="182"/>
    </row>
    <row r="858" spans="1:17" customFormat="1" ht="14.4" hidden="1" x14ac:dyDescent="0.3">
      <c r="A858" s="185" t="s">
        <v>317</v>
      </c>
      <c r="B858" s="185" t="s">
        <v>318</v>
      </c>
      <c r="C858" s="218">
        <f>SUM(C859,C864,C870,C880,C882)</f>
        <v>613000</v>
      </c>
      <c r="D858" s="218">
        <f t="shared" ref="D858:H858" si="901">SUM(D859,D864,D870,D880,D882)</f>
        <v>208000</v>
      </c>
      <c r="E858" s="218">
        <f t="shared" si="901"/>
        <v>344000</v>
      </c>
      <c r="F858" s="218">
        <f t="shared" si="901"/>
        <v>749000</v>
      </c>
      <c r="G858" s="218">
        <f t="shared" si="901"/>
        <v>447000</v>
      </c>
      <c r="H858" s="218">
        <f t="shared" si="901"/>
        <v>0</v>
      </c>
      <c r="I858" s="218">
        <f>SUM(I859,I864,I870,I880,I882)</f>
        <v>500000</v>
      </c>
      <c r="J858" s="218">
        <f t="shared" ref="J858:Q858" si="902">SUM(J859,J864,J870,J880,J882)</f>
        <v>461600</v>
      </c>
      <c r="K858" s="218">
        <f t="shared" si="902"/>
        <v>9600</v>
      </c>
      <c r="L858" s="218">
        <f t="shared" si="902"/>
        <v>48000</v>
      </c>
      <c r="M858" s="218">
        <f t="shared" si="902"/>
        <v>0</v>
      </c>
      <c r="N858" s="218">
        <f t="shared" si="902"/>
        <v>0</v>
      </c>
      <c r="O858" s="218">
        <f t="shared" si="902"/>
        <v>0</v>
      </c>
      <c r="P858" s="218">
        <f t="shared" si="902"/>
        <v>0</v>
      </c>
      <c r="Q858" s="218">
        <f t="shared" si="902"/>
        <v>0</v>
      </c>
    </row>
    <row r="859" spans="1:17" customFormat="1" ht="14.4" hidden="1" x14ac:dyDescent="0.3">
      <c r="A859" s="177">
        <v>321</v>
      </c>
      <c r="B859" s="178" t="s">
        <v>12</v>
      </c>
      <c r="C859" s="179">
        <f t="shared" ref="C859:F859" si="903">SUM(C860:C863)</f>
        <v>57000</v>
      </c>
      <c r="D859" s="179">
        <f t="shared" si="903"/>
        <v>48000</v>
      </c>
      <c r="E859" s="179">
        <f t="shared" si="903"/>
        <v>0</v>
      </c>
      <c r="F859" s="179">
        <f t="shared" si="903"/>
        <v>9000</v>
      </c>
      <c r="G859" s="179">
        <f t="shared" ref="G859:H859" si="904">SUM(G860:G863)</f>
        <v>29000</v>
      </c>
      <c r="H859" s="179">
        <f t="shared" si="904"/>
        <v>0</v>
      </c>
      <c r="I859" s="179">
        <f t="shared" ref="I859:M859" si="905">SUM(I860:I863)</f>
        <v>50000</v>
      </c>
      <c r="J859" s="179">
        <f t="shared" si="905"/>
        <v>37000</v>
      </c>
      <c r="K859" s="179">
        <f t="shared" si="905"/>
        <v>0</v>
      </c>
      <c r="L859" s="179">
        <f t="shared" si="905"/>
        <v>13000</v>
      </c>
      <c r="M859" s="179">
        <f t="shared" si="905"/>
        <v>0</v>
      </c>
      <c r="N859" s="179">
        <f t="shared" ref="N859:O859" si="906">SUM(N860:N863)</f>
        <v>0</v>
      </c>
      <c r="O859" s="179">
        <f t="shared" si="906"/>
        <v>0</v>
      </c>
      <c r="P859" s="179">
        <f t="shared" ref="P859:Q859" si="907">SUM(P860:P863)</f>
        <v>0</v>
      </c>
      <c r="Q859" s="179">
        <f t="shared" si="907"/>
        <v>0</v>
      </c>
    </row>
    <row r="860" spans="1:17" customFormat="1" ht="14.4" hidden="1" x14ac:dyDescent="0.3">
      <c r="A860" s="180">
        <v>3211</v>
      </c>
      <c r="B860" s="181" t="s">
        <v>13</v>
      </c>
      <c r="C860" s="182">
        <v>13000</v>
      </c>
      <c r="D860" s="182">
        <v>9000</v>
      </c>
      <c r="E860" s="182"/>
      <c r="F860" s="182">
        <f t="shared" ref="F860:F862" si="908">C860-D860+E860</f>
        <v>4000</v>
      </c>
      <c r="G860" s="182">
        <v>8000</v>
      </c>
      <c r="H860" s="182"/>
      <c r="I860" s="182">
        <v>30000</v>
      </c>
      <c r="J860" s="220">
        <v>25800</v>
      </c>
      <c r="K860" s="220"/>
      <c r="L860" s="220">
        <f>I860-J860+K860</f>
        <v>4200</v>
      </c>
      <c r="M860" s="182"/>
      <c r="N860" s="182"/>
      <c r="O860" s="182"/>
      <c r="P860" s="182"/>
      <c r="Q860" s="182"/>
    </row>
    <row r="861" spans="1:17" customFormat="1" ht="26.4" hidden="1" x14ac:dyDescent="0.3">
      <c r="A861" s="180">
        <v>3212</v>
      </c>
      <c r="B861" s="181" t="s">
        <v>14</v>
      </c>
      <c r="C861" s="182">
        <v>40000</v>
      </c>
      <c r="D861" s="182">
        <v>39000</v>
      </c>
      <c r="E861" s="182"/>
      <c r="F861" s="182">
        <f t="shared" si="908"/>
        <v>1000</v>
      </c>
      <c r="G861" s="182">
        <v>18000</v>
      </c>
      <c r="H861" s="182"/>
      <c r="I861" s="182">
        <v>10000</v>
      </c>
      <c r="J861" s="220">
        <v>10000</v>
      </c>
      <c r="K861" s="220"/>
      <c r="L861" s="220">
        <f>I861-J861+K861</f>
        <v>0</v>
      </c>
      <c r="M861" s="182"/>
      <c r="N861" s="182"/>
      <c r="O861" s="182"/>
      <c r="P861" s="182"/>
      <c r="Q861" s="182"/>
    </row>
    <row r="862" spans="1:17" customFormat="1" ht="14.4" hidden="1" x14ac:dyDescent="0.3">
      <c r="A862" s="180">
        <v>3213</v>
      </c>
      <c r="B862" s="181" t="s">
        <v>15</v>
      </c>
      <c r="C862" s="182">
        <v>4000</v>
      </c>
      <c r="D862" s="182"/>
      <c r="E862" s="182"/>
      <c r="F862" s="182">
        <f t="shared" si="908"/>
        <v>4000</v>
      </c>
      <c r="G862" s="182">
        <v>3000</v>
      </c>
      <c r="H862" s="182"/>
      <c r="I862" s="182">
        <v>10000</v>
      </c>
      <c r="J862" s="220">
        <v>1200</v>
      </c>
      <c r="K862" s="220"/>
      <c r="L862" s="220">
        <f>I862-J862+K862</f>
        <v>8800</v>
      </c>
      <c r="M862" s="182"/>
      <c r="N862" s="182"/>
      <c r="O862" s="182"/>
      <c r="P862" s="182"/>
      <c r="Q862" s="182"/>
    </row>
    <row r="863" spans="1:17" customFormat="1" ht="14.4" hidden="1" x14ac:dyDescent="0.3">
      <c r="A863" s="180">
        <v>3214</v>
      </c>
      <c r="B863" s="181" t="s">
        <v>121</v>
      </c>
      <c r="C863" s="182"/>
      <c r="D863" s="182"/>
      <c r="E863" s="182"/>
      <c r="F863" s="182"/>
      <c r="G863" s="182"/>
      <c r="H863" s="182"/>
      <c r="I863" s="182"/>
      <c r="J863" s="220"/>
      <c r="K863" s="220"/>
      <c r="L863" s="220"/>
      <c r="M863" s="182"/>
      <c r="N863" s="182"/>
      <c r="O863" s="182"/>
      <c r="P863" s="182"/>
      <c r="Q863" s="182"/>
    </row>
    <row r="864" spans="1:17" customFormat="1" ht="14.4" hidden="1" x14ac:dyDescent="0.3">
      <c r="A864" s="177">
        <v>322</v>
      </c>
      <c r="B864" s="178" t="s">
        <v>16</v>
      </c>
      <c r="C864" s="179">
        <f t="shared" ref="C864:F864" si="909">SUM(C865:C869)</f>
        <v>74000</v>
      </c>
      <c r="D864" s="179">
        <f t="shared" si="909"/>
        <v>0</v>
      </c>
      <c r="E864" s="179">
        <f t="shared" si="909"/>
        <v>104000</v>
      </c>
      <c r="F864" s="179">
        <f t="shared" si="909"/>
        <v>178000</v>
      </c>
      <c r="G864" s="179">
        <f t="shared" ref="G864:H864" si="910">SUM(G865:G869)</f>
        <v>23000</v>
      </c>
      <c r="H864" s="179">
        <f t="shared" si="910"/>
        <v>0</v>
      </c>
      <c r="I864" s="179">
        <f t="shared" ref="I864:M864" si="911">SUM(I865:I869)</f>
        <v>100000</v>
      </c>
      <c r="J864" s="179">
        <f t="shared" si="911"/>
        <v>75500</v>
      </c>
      <c r="K864" s="179">
        <f t="shared" si="911"/>
        <v>600</v>
      </c>
      <c r="L864" s="179">
        <f t="shared" si="911"/>
        <v>25100</v>
      </c>
      <c r="M864" s="179">
        <f t="shared" si="911"/>
        <v>0</v>
      </c>
      <c r="N864" s="179">
        <f t="shared" ref="N864:O864" si="912">SUM(N865:N869)</f>
        <v>0</v>
      </c>
      <c r="O864" s="179">
        <f t="shared" si="912"/>
        <v>0</v>
      </c>
      <c r="P864" s="179">
        <f t="shared" ref="P864:Q864" si="913">SUM(P865:P869)</f>
        <v>0</v>
      </c>
      <c r="Q864" s="179">
        <f t="shared" si="913"/>
        <v>0</v>
      </c>
    </row>
    <row r="865" spans="1:17" customFormat="1" ht="14.4" hidden="1" x14ac:dyDescent="0.3">
      <c r="A865" s="180">
        <v>3221</v>
      </c>
      <c r="B865" s="181" t="s">
        <v>17</v>
      </c>
      <c r="C865" s="182">
        <v>2000</v>
      </c>
      <c r="D865" s="182"/>
      <c r="E865" s="182">
        <v>1000</v>
      </c>
      <c r="F865" s="182">
        <f t="shared" ref="F865:F883" si="914">C865-D865+E865</f>
        <v>3000</v>
      </c>
      <c r="G865" s="182">
        <v>2000</v>
      </c>
      <c r="H865" s="182"/>
      <c r="I865" s="182">
        <v>10000</v>
      </c>
      <c r="J865" s="220">
        <v>9500</v>
      </c>
      <c r="K865" s="220"/>
      <c r="L865" s="220">
        <f>I865-J865+K865</f>
        <v>500</v>
      </c>
      <c r="M865" s="182"/>
      <c r="N865" s="182"/>
      <c r="O865" s="182"/>
      <c r="P865" s="182"/>
      <c r="Q865" s="182"/>
    </row>
    <row r="866" spans="1:17" customFormat="1" ht="14.4" hidden="1" x14ac:dyDescent="0.3">
      <c r="A866" s="180">
        <v>3222</v>
      </c>
      <c r="B866" s="262" t="s">
        <v>18</v>
      </c>
      <c r="C866" s="182"/>
      <c r="D866" s="182"/>
      <c r="E866" s="182">
        <v>3000</v>
      </c>
      <c r="F866" s="182">
        <f t="shared" si="914"/>
        <v>3000</v>
      </c>
      <c r="G866" s="182"/>
      <c r="H866" s="182"/>
      <c r="I866" s="182"/>
      <c r="J866" s="220"/>
      <c r="K866" s="220">
        <v>200</v>
      </c>
      <c r="L866" s="220">
        <f>I866-J866+K866</f>
        <v>200</v>
      </c>
      <c r="M866" s="182"/>
      <c r="N866" s="182"/>
      <c r="O866" s="182"/>
      <c r="P866" s="182"/>
      <c r="Q866" s="182"/>
    </row>
    <row r="867" spans="1:17" customFormat="1" ht="14.4" hidden="1" x14ac:dyDescent="0.3">
      <c r="A867" s="180">
        <v>3223</v>
      </c>
      <c r="B867" s="181" t="s">
        <v>19</v>
      </c>
      <c r="C867" s="182">
        <v>60000</v>
      </c>
      <c r="D867" s="182"/>
      <c r="E867" s="182">
        <v>100000</v>
      </c>
      <c r="F867" s="182">
        <f t="shared" si="914"/>
        <v>160000</v>
      </c>
      <c r="G867" s="182">
        <v>13000</v>
      </c>
      <c r="H867" s="182"/>
      <c r="I867" s="182">
        <v>80000</v>
      </c>
      <c r="J867" s="220">
        <v>56000</v>
      </c>
      <c r="K867" s="220"/>
      <c r="L867" s="220">
        <f>I867-J867+K867</f>
        <v>24000</v>
      </c>
      <c r="M867" s="182"/>
      <c r="N867" s="182"/>
      <c r="O867" s="182"/>
      <c r="P867" s="182"/>
      <c r="Q867" s="182"/>
    </row>
    <row r="868" spans="1:17" customFormat="1" ht="14.4" hidden="1" x14ac:dyDescent="0.3">
      <c r="A868" s="180">
        <v>3224</v>
      </c>
      <c r="B868" s="204" t="s">
        <v>112</v>
      </c>
      <c r="C868" s="182"/>
      <c r="D868" s="182"/>
      <c r="E868" s="182"/>
      <c r="F868" s="182">
        <f t="shared" si="914"/>
        <v>0</v>
      </c>
      <c r="G868" s="182"/>
      <c r="H868" s="182"/>
      <c r="I868" s="182"/>
      <c r="J868" s="220"/>
      <c r="K868" s="220">
        <v>400</v>
      </c>
      <c r="L868" s="220">
        <f>I868-J868+K868</f>
        <v>400</v>
      </c>
      <c r="M868" s="182"/>
      <c r="N868" s="182"/>
      <c r="O868" s="182"/>
      <c r="P868" s="182"/>
      <c r="Q868" s="182"/>
    </row>
    <row r="869" spans="1:17" customFormat="1" ht="14.4" hidden="1" x14ac:dyDescent="0.3">
      <c r="A869" s="180">
        <v>3225</v>
      </c>
      <c r="B869" s="181" t="s">
        <v>21</v>
      </c>
      <c r="C869" s="182">
        <v>12000</v>
      </c>
      <c r="D869" s="182"/>
      <c r="E869" s="182"/>
      <c r="F869" s="182">
        <f t="shared" si="914"/>
        <v>12000</v>
      </c>
      <c r="G869" s="182">
        <v>8000</v>
      </c>
      <c r="H869" s="182"/>
      <c r="I869" s="182">
        <v>10000</v>
      </c>
      <c r="J869" s="220">
        <v>10000</v>
      </c>
      <c r="K869" s="220"/>
      <c r="L869" s="220">
        <f>I869-J869+K869</f>
        <v>0</v>
      </c>
      <c r="M869" s="182"/>
      <c r="N869" s="182"/>
      <c r="O869" s="182"/>
      <c r="P869" s="182"/>
      <c r="Q869" s="182"/>
    </row>
    <row r="870" spans="1:17" customFormat="1" ht="14.4" hidden="1" x14ac:dyDescent="0.3">
      <c r="A870" s="177">
        <v>323</v>
      </c>
      <c r="B870" s="178" t="s">
        <v>23</v>
      </c>
      <c r="C870" s="179">
        <f t="shared" ref="C870:F870" si="915">SUM(C871:C879)</f>
        <v>469000</v>
      </c>
      <c r="D870" s="179">
        <f t="shared" si="915"/>
        <v>150000</v>
      </c>
      <c r="E870" s="179">
        <f t="shared" si="915"/>
        <v>238000</v>
      </c>
      <c r="F870" s="179">
        <f t="shared" si="915"/>
        <v>557000</v>
      </c>
      <c r="G870" s="179">
        <f t="shared" ref="G870:H870" si="916">SUM(G871:G879)</f>
        <v>315000</v>
      </c>
      <c r="H870" s="179">
        <f t="shared" si="916"/>
        <v>0</v>
      </c>
      <c r="I870" s="179">
        <f t="shared" ref="I870:M870" si="917">SUM(I871:I879)</f>
        <v>350000</v>
      </c>
      <c r="J870" s="179">
        <f t="shared" si="917"/>
        <v>349100</v>
      </c>
      <c r="K870" s="179">
        <f t="shared" si="917"/>
        <v>8700</v>
      </c>
      <c r="L870" s="179">
        <f t="shared" si="917"/>
        <v>9600</v>
      </c>
      <c r="M870" s="179">
        <f t="shared" si="917"/>
        <v>0</v>
      </c>
      <c r="N870" s="179">
        <f t="shared" ref="N870:O870" si="918">SUM(N871:N879)</f>
        <v>0</v>
      </c>
      <c r="O870" s="179">
        <f t="shared" si="918"/>
        <v>0</v>
      </c>
      <c r="P870" s="179">
        <f t="shared" ref="P870:Q870" si="919">SUM(P871:P879)</f>
        <v>0</v>
      </c>
      <c r="Q870" s="179">
        <f t="shared" si="919"/>
        <v>0</v>
      </c>
    </row>
    <row r="871" spans="1:17" customFormat="1" ht="14.4" hidden="1" x14ac:dyDescent="0.3">
      <c r="A871" s="180">
        <v>3231</v>
      </c>
      <c r="B871" s="181" t="s">
        <v>24</v>
      </c>
      <c r="C871" s="182">
        <v>54000</v>
      </c>
      <c r="D871" s="182">
        <v>52000</v>
      </c>
      <c r="E871" s="182"/>
      <c r="F871" s="182">
        <f t="shared" si="914"/>
        <v>2000</v>
      </c>
      <c r="G871" s="182">
        <v>28000</v>
      </c>
      <c r="H871" s="182"/>
      <c r="I871" s="182">
        <v>10000</v>
      </c>
      <c r="J871" s="220">
        <v>10000</v>
      </c>
      <c r="K871" s="220"/>
      <c r="L871" s="220">
        <f>I871-J871+K871</f>
        <v>0</v>
      </c>
      <c r="M871" s="182"/>
      <c r="N871" s="182"/>
      <c r="O871" s="182"/>
      <c r="P871" s="182"/>
      <c r="Q871" s="182"/>
    </row>
    <row r="872" spans="1:17" customFormat="1" ht="14.4" hidden="1" x14ac:dyDescent="0.3">
      <c r="A872" s="180">
        <v>3232</v>
      </c>
      <c r="B872" s="181" t="s">
        <v>25</v>
      </c>
      <c r="C872" s="182">
        <v>193000</v>
      </c>
      <c r="D872" s="182"/>
      <c r="E872" s="182">
        <v>7000</v>
      </c>
      <c r="F872" s="182">
        <f t="shared" si="914"/>
        <v>200000</v>
      </c>
      <c r="G872" s="182">
        <v>40000</v>
      </c>
      <c r="H872" s="182"/>
      <c r="I872" s="182">
        <v>10000</v>
      </c>
      <c r="J872" s="220">
        <v>10000</v>
      </c>
      <c r="K872" s="220"/>
      <c r="L872" s="220">
        <f>I872-J872+K872</f>
        <v>0</v>
      </c>
      <c r="M872" s="182"/>
      <c r="N872" s="182"/>
      <c r="O872" s="182"/>
      <c r="P872" s="182"/>
      <c r="Q872" s="182"/>
    </row>
    <row r="873" spans="1:17" customFormat="1" ht="14.4" hidden="1" x14ac:dyDescent="0.3">
      <c r="A873" s="180">
        <v>3233</v>
      </c>
      <c r="B873" s="181" t="s">
        <v>26</v>
      </c>
      <c r="C873" s="182">
        <v>9000</v>
      </c>
      <c r="D873" s="182"/>
      <c r="E873" s="182">
        <v>11000</v>
      </c>
      <c r="F873" s="182">
        <f t="shared" si="914"/>
        <v>20000</v>
      </c>
      <c r="G873" s="182">
        <v>6000</v>
      </c>
      <c r="H873" s="182"/>
      <c r="I873" s="182">
        <v>30000</v>
      </c>
      <c r="J873" s="220">
        <v>29100</v>
      </c>
      <c r="K873" s="220"/>
      <c r="L873" s="220">
        <f>I873-J873+K873</f>
        <v>900</v>
      </c>
      <c r="M873" s="182"/>
      <c r="N873" s="182"/>
      <c r="O873" s="182"/>
      <c r="P873" s="182"/>
      <c r="Q873" s="182"/>
    </row>
    <row r="874" spans="1:17" customFormat="1" ht="14.4" hidden="1" x14ac:dyDescent="0.3">
      <c r="A874" s="180">
        <v>3234</v>
      </c>
      <c r="B874" s="181" t="s">
        <v>27</v>
      </c>
      <c r="C874" s="182">
        <v>14000</v>
      </c>
      <c r="D874" s="182"/>
      <c r="E874" s="182">
        <v>70000</v>
      </c>
      <c r="F874" s="182">
        <f t="shared" si="914"/>
        <v>84000</v>
      </c>
      <c r="G874" s="182">
        <v>10000</v>
      </c>
      <c r="H874" s="182"/>
      <c r="I874" s="182"/>
      <c r="J874" s="220"/>
      <c r="K874" s="220">
        <v>5400</v>
      </c>
      <c r="L874" s="220">
        <f t="shared" ref="L874:L876" si="920">I874-J874+K874</f>
        <v>5400</v>
      </c>
      <c r="M874" s="182"/>
      <c r="N874" s="182"/>
      <c r="O874" s="182"/>
      <c r="P874" s="182"/>
      <c r="Q874" s="182"/>
    </row>
    <row r="875" spans="1:17" customFormat="1" ht="15" hidden="1" customHeight="1" x14ac:dyDescent="0.3">
      <c r="A875" s="180">
        <v>3235</v>
      </c>
      <c r="B875" s="181" t="s">
        <v>28</v>
      </c>
      <c r="C875" s="182">
        <v>10000</v>
      </c>
      <c r="D875" s="182"/>
      <c r="E875" s="182"/>
      <c r="F875" s="182">
        <f t="shared" si="914"/>
        <v>10000</v>
      </c>
      <c r="G875" s="182"/>
      <c r="H875" s="182"/>
      <c r="I875" s="182"/>
      <c r="J875" s="220"/>
      <c r="K875" s="220"/>
      <c r="L875" s="220">
        <f t="shared" si="920"/>
        <v>0</v>
      </c>
      <c r="M875" s="182"/>
      <c r="N875" s="182"/>
      <c r="O875" s="182"/>
      <c r="P875" s="182"/>
      <c r="Q875" s="182"/>
    </row>
    <row r="876" spans="1:17" customFormat="1" ht="14.4" hidden="1" x14ac:dyDescent="0.3">
      <c r="A876" s="180">
        <v>3236</v>
      </c>
      <c r="B876" s="181" t="s">
        <v>29</v>
      </c>
      <c r="C876" s="182">
        <v>7000</v>
      </c>
      <c r="D876" s="182">
        <v>5000</v>
      </c>
      <c r="E876" s="182"/>
      <c r="F876" s="182">
        <f t="shared" si="914"/>
        <v>2000</v>
      </c>
      <c r="G876" s="182">
        <v>4000</v>
      </c>
      <c r="H876" s="182"/>
      <c r="I876" s="182"/>
      <c r="J876" s="220"/>
      <c r="K876" s="220"/>
      <c r="L876" s="220">
        <f t="shared" si="920"/>
        <v>0</v>
      </c>
      <c r="M876" s="182"/>
      <c r="N876" s="182"/>
      <c r="O876" s="182"/>
      <c r="P876" s="182"/>
      <c r="Q876" s="182"/>
    </row>
    <row r="877" spans="1:17" customFormat="1" ht="14.4" hidden="1" x14ac:dyDescent="0.3">
      <c r="A877" s="180">
        <v>3237</v>
      </c>
      <c r="B877" s="181" t="s">
        <v>30</v>
      </c>
      <c r="C877" s="182">
        <v>152000</v>
      </c>
      <c r="D877" s="182">
        <v>93000</v>
      </c>
      <c r="E877" s="182"/>
      <c r="F877" s="182">
        <f t="shared" si="914"/>
        <v>59000</v>
      </c>
      <c r="G877" s="182">
        <v>25000</v>
      </c>
      <c r="H877" s="182"/>
      <c r="I877" s="182">
        <v>100000</v>
      </c>
      <c r="J877" s="220">
        <v>100000</v>
      </c>
      <c r="K877" s="220"/>
      <c r="L877" s="220">
        <f>I877-J877+K877</f>
        <v>0</v>
      </c>
      <c r="M877" s="182"/>
      <c r="N877" s="182"/>
      <c r="O877" s="182"/>
      <c r="P877" s="182"/>
      <c r="Q877" s="182"/>
    </row>
    <row r="878" spans="1:17" customFormat="1" ht="14.4" hidden="1" x14ac:dyDescent="0.3">
      <c r="A878" s="180">
        <v>3238</v>
      </c>
      <c r="B878" s="181" t="s">
        <v>70</v>
      </c>
      <c r="C878" s="182">
        <v>10000</v>
      </c>
      <c r="D878" s="182"/>
      <c r="E878" s="182">
        <v>150000</v>
      </c>
      <c r="F878" s="182">
        <f t="shared" si="914"/>
        <v>160000</v>
      </c>
      <c r="G878" s="182">
        <v>120000</v>
      </c>
      <c r="H878" s="182"/>
      <c r="I878" s="191">
        <f>800000-600000</f>
        <v>200000</v>
      </c>
      <c r="J878" s="233">
        <v>200000</v>
      </c>
      <c r="K878" s="233"/>
      <c r="L878" s="220">
        <f>I878-J878+K878</f>
        <v>0</v>
      </c>
      <c r="M878" s="182"/>
      <c r="N878" s="182"/>
      <c r="O878" s="182"/>
      <c r="P878" s="182"/>
      <c r="Q878" s="182"/>
    </row>
    <row r="879" spans="1:17" customFormat="1" ht="14.4" hidden="1" x14ac:dyDescent="0.3">
      <c r="A879" s="180">
        <v>3239</v>
      </c>
      <c r="B879" s="181" t="s">
        <v>31</v>
      </c>
      <c r="C879" s="182">
        <v>20000</v>
      </c>
      <c r="D879" s="182"/>
      <c r="E879" s="182"/>
      <c r="F879" s="182">
        <f t="shared" si="914"/>
        <v>20000</v>
      </c>
      <c r="G879" s="182">
        <v>82000</v>
      </c>
      <c r="H879" s="182"/>
      <c r="I879" s="182"/>
      <c r="J879" s="220"/>
      <c r="K879" s="220">
        <v>3300</v>
      </c>
      <c r="L879" s="220">
        <f>I879-J879+K879</f>
        <v>3300</v>
      </c>
      <c r="M879" s="182"/>
      <c r="N879" s="182"/>
      <c r="O879" s="182"/>
      <c r="P879" s="182"/>
      <c r="Q879" s="182"/>
    </row>
    <row r="880" spans="1:17" customFormat="1" ht="25.5" hidden="1" customHeight="1" x14ac:dyDescent="0.3">
      <c r="A880" s="188" t="s">
        <v>168</v>
      </c>
      <c r="B880" s="192" t="s">
        <v>32</v>
      </c>
      <c r="C880" s="179">
        <f>SUM(C881)</f>
        <v>10000</v>
      </c>
      <c r="D880" s="179">
        <f t="shared" ref="D880:F880" si="921">SUM(D881)</f>
        <v>10000</v>
      </c>
      <c r="E880" s="179">
        <f t="shared" si="921"/>
        <v>0</v>
      </c>
      <c r="F880" s="179">
        <f t="shared" si="921"/>
        <v>0</v>
      </c>
      <c r="G880" s="179">
        <f t="shared" ref="G880:H880" si="922">SUM(G881:G883)</f>
        <v>80000</v>
      </c>
      <c r="H880" s="179">
        <f t="shared" si="922"/>
        <v>0</v>
      </c>
      <c r="I880" s="179">
        <f>SUM(I881)</f>
        <v>0</v>
      </c>
      <c r="J880" s="179">
        <f t="shared" ref="J880:L880" si="923">SUM(J881)</f>
        <v>0</v>
      </c>
      <c r="K880" s="179">
        <f t="shared" si="923"/>
        <v>0</v>
      </c>
      <c r="L880" s="179">
        <f t="shared" si="923"/>
        <v>0</v>
      </c>
      <c r="M880" s="179">
        <f t="shared" ref="M880" si="924">SUM(M881:M883)</f>
        <v>0</v>
      </c>
      <c r="N880" s="179">
        <f t="shared" ref="N880:O880" si="925">SUM(N881:N883)</f>
        <v>0</v>
      </c>
      <c r="O880" s="179">
        <f t="shared" si="925"/>
        <v>0</v>
      </c>
      <c r="P880" s="179">
        <f t="shared" ref="P880:Q880" si="926">SUM(P881:P883)</f>
        <v>0</v>
      </c>
      <c r="Q880" s="179">
        <f t="shared" si="926"/>
        <v>0</v>
      </c>
    </row>
    <row r="881" spans="1:17" customFormat="1" ht="26.4" hidden="1" x14ac:dyDescent="0.3">
      <c r="A881" s="189" t="s">
        <v>169</v>
      </c>
      <c r="B881" s="190" t="s">
        <v>32</v>
      </c>
      <c r="C881" s="182">
        <v>10000</v>
      </c>
      <c r="D881" s="182">
        <v>10000</v>
      </c>
      <c r="E881" s="182"/>
      <c r="F881" s="182">
        <f t="shared" si="914"/>
        <v>0</v>
      </c>
      <c r="G881" s="182">
        <v>80000</v>
      </c>
      <c r="H881" s="182"/>
      <c r="I881" s="182"/>
      <c r="J881" s="220"/>
      <c r="K881" s="220"/>
      <c r="L881" s="220"/>
      <c r="M881" s="182"/>
      <c r="N881" s="182"/>
      <c r="O881" s="182"/>
      <c r="P881" s="182"/>
      <c r="Q881" s="182"/>
    </row>
    <row r="882" spans="1:17" customFormat="1" ht="14.4" hidden="1" x14ac:dyDescent="0.3">
      <c r="A882" s="198" t="s">
        <v>170</v>
      </c>
      <c r="B882" s="198" t="s">
        <v>33</v>
      </c>
      <c r="C882" s="248">
        <f>SUM(C883)</f>
        <v>3000</v>
      </c>
      <c r="D882" s="248">
        <f t="shared" ref="D882:F882" si="927">SUM(D883)</f>
        <v>0</v>
      </c>
      <c r="E882" s="248">
        <f t="shared" si="927"/>
        <v>2000</v>
      </c>
      <c r="F882" s="248">
        <f t="shared" si="927"/>
        <v>5000</v>
      </c>
      <c r="G882" s="248"/>
      <c r="H882" s="248"/>
      <c r="I882" s="248">
        <f>SUM(I883)</f>
        <v>0</v>
      </c>
      <c r="J882" s="248">
        <f t="shared" ref="J882:K882" si="928">SUM(J883)</f>
        <v>0</v>
      </c>
      <c r="K882" s="248">
        <f t="shared" si="928"/>
        <v>300</v>
      </c>
      <c r="L882" s="248">
        <f>SUM(L883)</f>
        <v>300</v>
      </c>
      <c r="M882" s="248">
        <f t="shared" ref="M882:Q882" si="929">SUM(M883)</f>
        <v>0</v>
      </c>
      <c r="N882" s="248">
        <f t="shared" si="929"/>
        <v>0</v>
      </c>
      <c r="O882" s="248">
        <f t="shared" si="929"/>
        <v>0</v>
      </c>
      <c r="P882" s="248">
        <f t="shared" si="929"/>
        <v>0</v>
      </c>
      <c r="Q882" s="248">
        <f t="shared" si="929"/>
        <v>0</v>
      </c>
    </row>
    <row r="883" spans="1:17" customFormat="1" ht="13.5" hidden="1" customHeight="1" x14ac:dyDescent="0.3">
      <c r="A883" s="189" t="s">
        <v>172</v>
      </c>
      <c r="B883" s="190" t="s">
        <v>36</v>
      </c>
      <c r="C883" s="182">
        <v>3000</v>
      </c>
      <c r="D883" s="182"/>
      <c r="E883" s="182">
        <v>2000</v>
      </c>
      <c r="F883" s="182">
        <f t="shared" si="914"/>
        <v>5000</v>
      </c>
      <c r="G883" s="182"/>
      <c r="H883" s="182"/>
      <c r="I883" s="182"/>
      <c r="J883" s="220"/>
      <c r="K883" s="220">
        <v>300</v>
      </c>
      <c r="L883" s="220">
        <f>I883-J883+K883</f>
        <v>300</v>
      </c>
      <c r="M883" s="182"/>
      <c r="N883" s="182"/>
      <c r="O883" s="182"/>
      <c r="P883" s="182"/>
      <c r="Q883" s="182"/>
    </row>
    <row r="884" spans="1:17" customFormat="1" ht="1.5" hidden="1" customHeight="1" x14ac:dyDescent="0.3">
      <c r="A884" s="189">
        <v>3299</v>
      </c>
      <c r="B884" s="190" t="s">
        <v>33</v>
      </c>
      <c r="C884" s="182"/>
      <c r="D884" s="182"/>
      <c r="E884" s="182"/>
      <c r="F884" s="182"/>
      <c r="G884" s="182"/>
      <c r="H884" s="182"/>
      <c r="I884" s="182"/>
      <c r="J884" s="220"/>
      <c r="K884" s="220"/>
      <c r="L884" s="220"/>
      <c r="M884" s="182"/>
      <c r="N884" s="182"/>
      <c r="O884" s="182"/>
      <c r="P884" s="182"/>
      <c r="Q884" s="182"/>
    </row>
    <row r="885" spans="1:17" customFormat="1" ht="26.4" hidden="1" x14ac:dyDescent="0.3">
      <c r="A885" s="205">
        <v>36</v>
      </c>
      <c r="B885" s="206" t="s">
        <v>334</v>
      </c>
      <c r="C885" s="245">
        <f>SUM(C886)</f>
        <v>0</v>
      </c>
      <c r="D885" s="245">
        <f t="shared" ref="D885:Q885" si="930">SUM(D886)</f>
        <v>0</v>
      </c>
      <c r="E885" s="245">
        <f t="shared" si="930"/>
        <v>0</v>
      </c>
      <c r="F885" s="245">
        <f t="shared" si="930"/>
        <v>0</v>
      </c>
      <c r="G885" s="245">
        <f t="shared" si="930"/>
        <v>709000</v>
      </c>
      <c r="H885" s="245">
        <f t="shared" si="930"/>
        <v>0</v>
      </c>
      <c r="I885" s="245">
        <f t="shared" si="930"/>
        <v>0</v>
      </c>
      <c r="J885" s="396"/>
      <c r="K885" s="396"/>
      <c r="L885" s="396"/>
      <c r="M885" s="245">
        <f t="shared" si="930"/>
        <v>0</v>
      </c>
      <c r="N885" s="245">
        <f t="shared" si="930"/>
        <v>0</v>
      </c>
      <c r="O885" s="245">
        <f t="shared" si="930"/>
        <v>0</v>
      </c>
      <c r="P885" s="245">
        <f t="shared" si="930"/>
        <v>0</v>
      </c>
      <c r="Q885" s="245">
        <f t="shared" si="930"/>
        <v>0</v>
      </c>
    </row>
    <row r="886" spans="1:17" customFormat="1" ht="26.4" hidden="1" x14ac:dyDescent="0.3">
      <c r="A886" s="177">
        <v>369</v>
      </c>
      <c r="B886" s="178" t="s">
        <v>242</v>
      </c>
      <c r="C886" s="248">
        <f t="shared" ref="C886:Q886" si="931">SUM(C887)</f>
        <v>0</v>
      </c>
      <c r="D886" s="248">
        <f t="shared" si="931"/>
        <v>0</v>
      </c>
      <c r="E886" s="248">
        <f t="shared" si="931"/>
        <v>0</v>
      </c>
      <c r="F886" s="248">
        <f t="shared" si="931"/>
        <v>0</v>
      </c>
      <c r="G886" s="248">
        <f t="shared" si="931"/>
        <v>709000</v>
      </c>
      <c r="H886" s="248">
        <f t="shared" si="931"/>
        <v>0</v>
      </c>
      <c r="I886" s="248">
        <f t="shared" si="931"/>
        <v>0</v>
      </c>
      <c r="J886" s="254"/>
      <c r="K886" s="254"/>
      <c r="L886" s="254"/>
      <c r="M886" s="248">
        <f t="shared" si="931"/>
        <v>0</v>
      </c>
      <c r="N886" s="248">
        <f t="shared" si="931"/>
        <v>0</v>
      </c>
      <c r="O886" s="248">
        <f t="shared" si="931"/>
        <v>0</v>
      </c>
      <c r="P886" s="248">
        <f t="shared" si="931"/>
        <v>0</v>
      </c>
      <c r="Q886" s="248">
        <f t="shared" si="931"/>
        <v>0</v>
      </c>
    </row>
    <row r="887" spans="1:17" customFormat="1" ht="39.6" hidden="1" x14ac:dyDescent="0.3">
      <c r="A887" s="189">
        <v>3693</v>
      </c>
      <c r="B887" s="190" t="s">
        <v>365</v>
      </c>
      <c r="C887" s="182"/>
      <c r="D887" s="182"/>
      <c r="E887" s="182"/>
      <c r="F887" s="182">
        <f t="shared" ref="F887" si="932">C887-D887+E887</f>
        <v>0</v>
      </c>
      <c r="G887" s="182">
        <v>709000</v>
      </c>
      <c r="H887" s="182"/>
      <c r="I887" s="182"/>
      <c r="J887" s="220"/>
      <c r="K887" s="220"/>
      <c r="L887" s="220"/>
      <c r="M887" s="182"/>
      <c r="N887" s="182"/>
      <c r="O887" s="182"/>
      <c r="P887" s="182"/>
      <c r="Q887" s="182"/>
    </row>
    <row r="888" spans="1:17" customFormat="1" ht="0.6" hidden="1" customHeight="1" x14ac:dyDescent="0.3">
      <c r="A888" s="174">
        <v>38</v>
      </c>
      <c r="B888" s="186" t="s">
        <v>314</v>
      </c>
      <c r="C888" s="218">
        <f>SUM(C889)</f>
        <v>337000</v>
      </c>
      <c r="D888" s="218">
        <f t="shared" ref="D888:Q888" si="933">SUM(D889)</f>
        <v>225000</v>
      </c>
      <c r="E888" s="218">
        <f t="shared" si="933"/>
        <v>0</v>
      </c>
      <c r="F888" s="218">
        <f t="shared" si="933"/>
        <v>112000</v>
      </c>
      <c r="G888" s="218">
        <f t="shared" si="933"/>
        <v>31000</v>
      </c>
      <c r="H888" s="218">
        <f t="shared" si="933"/>
        <v>0</v>
      </c>
      <c r="I888" s="218">
        <f t="shared" si="933"/>
        <v>0</v>
      </c>
      <c r="J888" s="218">
        <f t="shared" si="933"/>
        <v>0</v>
      </c>
      <c r="K888" s="218">
        <f t="shared" si="933"/>
        <v>0</v>
      </c>
      <c r="L888" s="218">
        <f t="shared" si="933"/>
        <v>0</v>
      </c>
      <c r="M888" s="218">
        <f t="shared" si="933"/>
        <v>0</v>
      </c>
      <c r="N888" s="218">
        <f t="shared" si="933"/>
        <v>0</v>
      </c>
      <c r="O888" s="218">
        <f t="shared" si="933"/>
        <v>0</v>
      </c>
      <c r="P888" s="218">
        <f t="shared" si="933"/>
        <v>0</v>
      </c>
      <c r="Q888" s="218">
        <f t="shared" si="933"/>
        <v>0</v>
      </c>
    </row>
    <row r="889" spans="1:17" customFormat="1" ht="14.4" hidden="1" x14ac:dyDescent="0.3">
      <c r="A889" s="177">
        <v>381</v>
      </c>
      <c r="B889" s="178" t="s">
        <v>46</v>
      </c>
      <c r="C889" s="179">
        <f t="shared" ref="C889:Q889" si="934">SUM(C890)</f>
        <v>337000</v>
      </c>
      <c r="D889" s="179">
        <f t="shared" si="934"/>
        <v>225000</v>
      </c>
      <c r="E889" s="179">
        <f t="shared" si="934"/>
        <v>0</v>
      </c>
      <c r="F889" s="179">
        <f t="shared" si="934"/>
        <v>112000</v>
      </c>
      <c r="G889" s="179">
        <f t="shared" si="934"/>
        <v>31000</v>
      </c>
      <c r="H889" s="179">
        <f t="shared" si="934"/>
        <v>0</v>
      </c>
      <c r="I889" s="179">
        <f t="shared" si="934"/>
        <v>0</v>
      </c>
      <c r="J889" s="179">
        <f t="shared" si="934"/>
        <v>0</v>
      </c>
      <c r="K889" s="179">
        <f t="shared" si="934"/>
        <v>0</v>
      </c>
      <c r="L889" s="179">
        <f t="shared" si="934"/>
        <v>0</v>
      </c>
      <c r="M889" s="179">
        <f t="shared" si="934"/>
        <v>0</v>
      </c>
      <c r="N889" s="179">
        <f t="shared" si="934"/>
        <v>0</v>
      </c>
      <c r="O889" s="179">
        <f t="shared" si="934"/>
        <v>0</v>
      </c>
      <c r="P889" s="179">
        <f t="shared" si="934"/>
        <v>0</v>
      </c>
      <c r="Q889" s="179">
        <f t="shared" si="934"/>
        <v>0</v>
      </c>
    </row>
    <row r="890" spans="1:17" customFormat="1" ht="14.4" hidden="1" x14ac:dyDescent="0.3">
      <c r="A890" s="180">
        <v>3813</v>
      </c>
      <c r="B890" s="204" t="s">
        <v>119</v>
      </c>
      <c r="C890" s="182">
        <v>337000</v>
      </c>
      <c r="D890" s="182">
        <v>225000</v>
      </c>
      <c r="E890" s="182"/>
      <c r="F890" s="182">
        <f t="shared" ref="F890" si="935">C890-D890+E890</f>
        <v>112000</v>
      </c>
      <c r="G890" s="182">
        <v>31000</v>
      </c>
      <c r="H890" s="182"/>
      <c r="I890" s="182"/>
      <c r="J890" s="220"/>
      <c r="K890" s="220"/>
      <c r="L890" s="220">
        <f>I890-J890+K890</f>
        <v>0</v>
      </c>
      <c r="M890" s="182"/>
      <c r="N890" s="182"/>
      <c r="O890" s="182"/>
      <c r="P890" s="182"/>
      <c r="Q890" s="182"/>
    </row>
    <row r="891" spans="1:17" customFormat="1" ht="25.5" hidden="1" customHeight="1" x14ac:dyDescent="0.3">
      <c r="A891" s="174" t="s">
        <v>323</v>
      </c>
      <c r="B891" s="186" t="s">
        <v>324</v>
      </c>
      <c r="C891" s="176">
        <f>SUM(C892,C895,C902)</f>
        <v>1513000</v>
      </c>
      <c r="D891" s="176">
        <f t="shared" ref="D891:F891" si="936">SUM(D892,D895,D902)</f>
        <v>592000</v>
      </c>
      <c r="E891" s="176">
        <f t="shared" si="936"/>
        <v>393000</v>
      </c>
      <c r="F891" s="176">
        <f t="shared" si="936"/>
        <v>1314000</v>
      </c>
      <c r="G891" s="176">
        <f t="shared" ref="G891:H891" si="937">SUM(G892,G895,G902)</f>
        <v>230000</v>
      </c>
      <c r="H891" s="176">
        <f t="shared" si="937"/>
        <v>0</v>
      </c>
      <c r="I891" s="176">
        <f>SUM(I892,I895,I902)</f>
        <v>500000</v>
      </c>
      <c r="J891" s="176">
        <f t="shared" ref="J891:M891" si="938">SUM(J892,J895,J902)</f>
        <v>487800</v>
      </c>
      <c r="K891" s="176">
        <f t="shared" si="938"/>
        <v>8900</v>
      </c>
      <c r="L891" s="176">
        <f t="shared" si="938"/>
        <v>21100</v>
      </c>
      <c r="M891" s="176">
        <f t="shared" si="938"/>
        <v>0</v>
      </c>
      <c r="N891" s="176">
        <f t="shared" ref="N891:O891" si="939">SUM(N892,N895,N902)</f>
        <v>0</v>
      </c>
      <c r="O891" s="176">
        <f t="shared" si="939"/>
        <v>0</v>
      </c>
      <c r="P891" s="176">
        <f t="shared" ref="P891:Q891" si="940">SUM(P892,P895,P902)</f>
        <v>0</v>
      </c>
      <c r="Q891" s="176">
        <f t="shared" si="940"/>
        <v>0</v>
      </c>
    </row>
    <row r="892" spans="1:17" customFormat="1" ht="14.4" hidden="1" x14ac:dyDescent="0.3">
      <c r="A892" s="188">
        <v>421</v>
      </c>
      <c r="B892" s="192" t="s">
        <v>51</v>
      </c>
      <c r="C892" s="179">
        <f t="shared" ref="C892:F892" si="941">SUM(C894)</f>
        <v>18000</v>
      </c>
      <c r="D892" s="179">
        <f t="shared" si="941"/>
        <v>0</v>
      </c>
      <c r="E892" s="179">
        <f t="shared" si="941"/>
        <v>382000</v>
      </c>
      <c r="F892" s="179">
        <f t="shared" si="941"/>
        <v>400000</v>
      </c>
      <c r="G892" s="179">
        <f t="shared" ref="G892:H892" si="942">SUM(G894)</f>
        <v>68000</v>
      </c>
      <c r="H892" s="179">
        <f t="shared" si="942"/>
        <v>0</v>
      </c>
      <c r="I892" s="179">
        <f t="shared" ref="I892:M892" si="943">SUM(I894)</f>
        <v>0</v>
      </c>
      <c r="J892" s="179">
        <f t="shared" si="943"/>
        <v>0</v>
      </c>
      <c r="K892" s="179">
        <f t="shared" si="943"/>
        <v>0</v>
      </c>
      <c r="L892" s="179">
        <f t="shared" si="943"/>
        <v>0</v>
      </c>
      <c r="M892" s="179">
        <f t="shared" si="943"/>
        <v>0</v>
      </c>
      <c r="N892" s="179">
        <f t="shared" ref="N892:O892" si="944">SUM(N894)</f>
        <v>0</v>
      </c>
      <c r="O892" s="179">
        <f t="shared" si="944"/>
        <v>0</v>
      </c>
      <c r="P892" s="179">
        <f t="shared" ref="P892:Q892" si="945">SUM(P894)</f>
        <v>0</v>
      </c>
      <c r="Q892" s="179">
        <f t="shared" si="945"/>
        <v>0</v>
      </c>
    </row>
    <row r="893" spans="1:17" customFormat="1" ht="14.4" hidden="1" x14ac:dyDescent="0.3">
      <c r="A893" s="189">
        <v>4211</v>
      </c>
      <c r="B893" s="190" t="s">
        <v>224</v>
      </c>
      <c r="C893" s="182"/>
      <c r="D893" s="182"/>
      <c r="E893" s="182"/>
      <c r="F893" s="182"/>
      <c r="G893" s="182"/>
      <c r="H893" s="182"/>
      <c r="I893" s="182"/>
      <c r="J893" s="220"/>
      <c r="K893" s="220"/>
      <c r="L893" s="220"/>
      <c r="M893" s="182"/>
      <c r="N893" s="182"/>
      <c r="O893" s="182"/>
      <c r="P893" s="182"/>
      <c r="Q893" s="182"/>
    </row>
    <row r="894" spans="1:17" customFormat="1" ht="14.4" hidden="1" x14ac:dyDescent="0.3">
      <c r="A894" s="189">
        <v>4212</v>
      </c>
      <c r="B894" s="190" t="s">
        <v>52</v>
      </c>
      <c r="C894" s="182">
        <v>18000</v>
      </c>
      <c r="D894" s="182"/>
      <c r="E894" s="182">
        <v>382000</v>
      </c>
      <c r="F894" s="182">
        <f t="shared" ref="F894:F901" si="946">C894-D894+E894</f>
        <v>400000</v>
      </c>
      <c r="G894" s="182">
        <v>68000</v>
      </c>
      <c r="H894" s="182"/>
      <c r="I894" s="182"/>
      <c r="J894" s="220"/>
      <c r="K894" s="220"/>
      <c r="L894" s="220"/>
      <c r="M894" s="182"/>
      <c r="N894" s="182"/>
      <c r="O894" s="182"/>
      <c r="P894" s="182"/>
      <c r="Q894" s="182"/>
    </row>
    <row r="895" spans="1:17" customFormat="1" ht="14.4" hidden="1" x14ac:dyDescent="0.3">
      <c r="A895" s="188">
        <v>422</v>
      </c>
      <c r="B895" s="192" t="s">
        <v>53</v>
      </c>
      <c r="C895" s="179">
        <f t="shared" ref="C895:F895" si="947">SUM(C896:C901)</f>
        <v>1489000</v>
      </c>
      <c r="D895" s="179">
        <f t="shared" si="947"/>
        <v>586000</v>
      </c>
      <c r="E895" s="179">
        <f t="shared" si="947"/>
        <v>11000</v>
      </c>
      <c r="F895" s="179">
        <f t="shared" si="947"/>
        <v>914000</v>
      </c>
      <c r="G895" s="179">
        <f t="shared" ref="G895:H895" si="948">SUM(G896:G901)</f>
        <v>156000</v>
      </c>
      <c r="H895" s="179">
        <f t="shared" si="948"/>
        <v>0</v>
      </c>
      <c r="I895" s="179">
        <f t="shared" ref="I895:M895" si="949">SUM(I896:I901)</f>
        <v>500000</v>
      </c>
      <c r="J895" s="179">
        <f t="shared" si="949"/>
        <v>487800</v>
      </c>
      <c r="K895" s="179">
        <f t="shared" si="949"/>
        <v>8900</v>
      </c>
      <c r="L895" s="179">
        <f t="shared" si="949"/>
        <v>21100</v>
      </c>
      <c r="M895" s="179">
        <f t="shared" si="949"/>
        <v>0</v>
      </c>
      <c r="N895" s="179">
        <f t="shared" ref="N895:O895" si="950">SUM(N896:N901)</f>
        <v>0</v>
      </c>
      <c r="O895" s="179">
        <f t="shared" si="950"/>
        <v>0</v>
      </c>
      <c r="P895" s="179">
        <f t="shared" ref="P895:Q895" si="951">SUM(P896:P901)</f>
        <v>0</v>
      </c>
      <c r="Q895" s="179">
        <f t="shared" si="951"/>
        <v>0</v>
      </c>
    </row>
    <row r="896" spans="1:17" customFormat="1" ht="14.4" hidden="1" x14ac:dyDescent="0.3">
      <c r="A896" s="189">
        <v>4221</v>
      </c>
      <c r="B896" s="190" t="s">
        <v>54</v>
      </c>
      <c r="C896" s="182">
        <v>1079000</v>
      </c>
      <c r="D896" s="182">
        <v>300000</v>
      </c>
      <c r="E896" s="182"/>
      <c r="F896" s="182">
        <f t="shared" si="946"/>
        <v>779000</v>
      </c>
      <c r="G896" s="182">
        <v>28000</v>
      </c>
      <c r="H896" s="182"/>
      <c r="I896" s="182">
        <v>250000</v>
      </c>
      <c r="J896" s="220">
        <v>250000</v>
      </c>
      <c r="K896" s="220"/>
      <c r="L896" s="220">
        <f>I896-J896+K896</f>
        <v>0</v>
      </c>
      <c r="M896" s="182"/>
      <c r="N896" s="182"/>
      <c r="O896" s="182"/>
      <c r="P896" s="182"/>
      <c r="Q896" s="182"/>
    </row>
    <row r="897" spans="1:17" customFormat="1" ht="14.4" hidden="1" x14ac:dyDescent="0.3">
      <c r="A897" s="189">
        <v>4222</v>
      </c>
      <c r="B897" s="190" t="s">
        <v>58</v>
      </c>
      <c r="C897" s="182">
        <v>109000</v>
      </c>
      <c r="D897" s="182">
        <v>100000</v>
      </c>
      <c r="E897" s="182"/>
      <c r="F897" s="182">
        <f t="shared" si="946"/>
        <v>9000</v>
      </c>
      <c r="G897" s="182">
        <v>57000</v>
      </c>
      <c r="H897" s="182"/>
      <c r="I897" s="182">
        <v>50000</v>
      </c>
      <c r="J897" s="220">
        <v>37800</v>
      </c>
      <c r="K897" s="220"/>
      <c r="L897" s="220">
        <f>I897-J897+K897</f>
        <v>12200</v>
      </c>
      <c r="M897" s="182"/>
      <c r="N897" s="182"/>
      <c r="O897" s="182"/>
      <c r="P897" s="182"/>
      <c r="Q897" s="182"/>
    </row>
    <row r="898" spans="1:17" customFormat="1" ht="14.1" hidden="1" customHeight="1" x14ac:dyDescent="0.3">
      <c r="A898" s="189">
        <v>4223</v>
      </c>
      <c r="B898" s="190" t="s">
        <v>59</v>
      </c>
      <c r="C898" s="182">
        <v>160000</v>
      </c>
      <c r="D898" s="182">
        <v>150000</v>
      </c>
      <c r="E898" s="182"/>
      <c r="F898" s="182">
        <f t="shared" si="946"/>
        <v>10000</v>
      </c>
      <c r="G898" s="182">
        <v>53000</v>
      </c>
      <c r="H898" s="182"/>
      <c r="I898" s="182">
        <v>50000</v>
      </c>
      <c r="J898" s="220">
        <v>50000</v>
      </c>
      <c r="K898" s="220"/>
      <c r="L898" s="220">
        <f>I898-J898+K898</f>
        <v>0</v>
      </c>
      <c r="M898" s="182"/>
      <c r="N898" s="182"/>
      <c r="O898" s="182"/>
      <c r="P898" s="182"/>
      <c r="Q898" s="182"/>
    </row>
    <row r="899" spans="1:17" customFormat="1" ht="0.6" hidden="1" customHeight="1" x14ac:dyDescent="0.3">
      <c r="A899" s="189">
        <v>4224</v>
      </c>
      <c r="B899" s="190" t="s">
        <v>283</v>
      </c>
      <c r="C899" s="182">
        <v>6000</v>
      </c>
      <c r="D899" s="182">
        <v>6000</v>
      </c>
      <c r="E899" s="182"/>
      <c r="F899" s="182">
        <f t="shared" si="946"/>
        <v>0</v>
      </c>
      <c r="G899" s="182">
        <v>4000</v>
      </c>
      <c r="H899" s="182"/>
      <c r="I899" s="182"/>
      <c r="J899" s="220"/>
      <c r="K899" s="220"/>
      <c r="L899" s="220">
        <f t="shared" ref="L899:L901" si="952">I899-J899+K899</f>
        <v>0</v>
      </c>
      <c r="M899" s="182"/>
      <c r="N899" s="182"/>
      <c r="O899" s="182"/>
      <c r="P899" s="182"/>
      <c r="Q899" s="182"/>
    </row>
    <row r="900" spans="1:17" customFormat="1" ht="14.25" hidden="1" customHeight="1" x14ac:dyDescent="0.3">
      <c r="A900" s="189">
        <v>4225</v>
      </c>
      <c r="B900" s="190" t="s">
        <v>105</v>
      </c>
      <c r="C900" s="182">
        <v>30000</v>
      </c>
      <c r="D900" s="182">
        <v>30000</v>
      </c>
      <c r="E900" s="182"/>
      <c r="F900" s="182">
        <f t="shared" si="946"/>
        <v>0</v>
      </c>
      <c r="G900" s="182">
        <v>14000</v>
      </c>
      <c r="H900" s="182"/>
      <c r="I900" s="182">
        <v>150000</v>
      </c>
      <c r="J900" s="220">
        <v>150000</v>
      </c>
      <c r="K900" s="220"/>
      <c r="L900" s="220">
        <f t="shared" si="952"/>
        <v>0</v>
      </c>
      <c r="M900" s="182"/>
      <c r="N900" s="182"/>
      <c r="O900" s="182"/>
      <c r="P900" s="182"/>
      <c r="Q900" s="182"/>
    </row>
    <row r="901" spans="1:17" customFormat="1" ht="13.5" hidden="1" customHeight="1" x14ac:dyDescent="0.3">
      <c r="A901" s="189" t="s">
        <v>180</v>
      </c>
      <c r="B901" s="190" t="s">
        <v>60</v>
      </c>
      <c r="C901" s="182">
        <v>105000</v>
      </c>
      <c r="D901" s="182"/>
      <c r="E901" s="182">
        <v>11000</v>
      </c>
      <c r="F901" s="182">
        <f t="shared" si="946"/>
        <v>116000</v>
      </c>
      <c r="G901" s="182"/>
      <c r="H901" s="182"/>
      <c r="I901" s="182"/>
      <c r="J901" s="220"/>
      <c r="K901" s="220">
        <v>8900</v>
      </c>
      <c r="L901" s="220">
        <f t="shared" si="952"/>
        <v>8900</v>
      </c>
      <c r="M901" s="182"/>
      <c r="N901" s="182"/>
      <c r="O901" s="182"/>
      <c r="P901" s="182"/>
      <c r="Q901" s="182"/>
    </row>
    <row r="902" spans="1:17" customFormat="1" ht="14.4" hidden="1" x14ac:dyDescent="0.3">
      <c r="A902" s="188">
        <v>423</v>
      </c>
      <c r="B902" s="192" t="s">
        <v>61</v>
      </c>
      <c r="C902" s="179">
        <f t="shared" ref="C902:Q902" si="953">SUM(C903:C903)</f>
        <v>6000</v>
      </c>
      <c r="D902" s="179">
        <f t="shared" si="953"/>
        <v>6000</v>
      </c>
      <c r="E902" s="179">
        <f t="shared" si="953"/>
        <v>0</v>
      </c>
      <c r="F902" s="179">
        <f t="shared" si="953"/>
        <v>0</v>
      </c>
      <c r="G902" s="179">
        <f t="shared" si="953"/>
        <v>6000</v>
      </c>
      <c r="H902" s="179">
        <f t="shared" si="953"/>
        <v>0</v>
      </c>
      <c r="I902" s="179">
        <f t="shared" si="953"/>
        <v>0</v>
      </c>
      <c r="J902" s="179">
        <f t="shared" si="953"/>
        <v>0</v>
      </c>
      <c r="K902" s="179">
        <f t="shared" si="953"/>
        <v>0</v>
      </c>
      <c r="L902" s="179">
        <f t="shared" si="953"/>
        <v>0</v>
      </c>
      <c r="M902" s="179">
        <f t="shared" si="953"/>
        <v>0</v>
      </c>
      <c r="N902" s="179">
        <f t="shared" si="953"/>
        <v>0</v>
      </c>
      <c r="O902" s="179">
        <f t="shared" si="953"/>
        <v>0</v>
      </c>
      <c r="P902" s="179">
        <f t="shared" si="953"/>
        <v>0</v>
      </c>
      <c r="Q902" s="179">
        <f t="shared" si="953"/>
        <v>0</v>
      </c>
    </row>
    <row r="903" spans="1:17" customFormat="1" ht="14.4" hidden="1" x14ac:dyDescent="0.3">
      <c r="A903" s="189">
        <v>4231</v>
      </c>
      <c r="B903" s="190" t="s">
        <v>62</v>
      </c>
      <c r="C903" s="182">
        <v>6000</v>
      </c>
      <c r="D903" s="182">
        <v>6000</v>
      </c>
      <c r="E903" s="182"/>
      <c r="F903" s="182">
        <f t="shared" ref="F903" si="954">C903-D903+E903</f>
        <v>0</v>
      </c>
      <c r="G903" s="182">
        <v>6000</v>
      </c>
      <c r="H903" s="182"/>
      <c r="I903" s="182"/>
      <c r="J903" s="220"/>
      <c r="K903" s="220"/>
      <c r="L903" s="220"/>
      <c r="M903" s="182"/>
      <c r="N903" s="182"/>
      <c r="O903" s="182"/>
      <c r="P903" s="182"/>
      <c r="Q903" s="182"/>
    </row>
    <row r="904" spans="1:17" customFormat="1" ht="26.4" hidden="1" x14ac:dyDescent="0.3">
      <c r="A904" s="209" t="s">
        <v>325</v>
      </c>
      <c r="B904" s="210" t="s">
        <v>326</v>
      </c>
      <c r="C904" s="176">
        <f>SUM(C905)</f>
        <v>1000000</v>
      </c>
      <c r="D904" s="176">
        <f t="shared" ref="D904:Q904" si="955">SUM(D905)</f>
        <v>600000</v>
      </c>
      <c r="E904" s="176">
        <f t="shared" si="955"/>
        <v>0</v>
      </c>
      <c r="F904" s="176">
        <f t="shared" si="955"/>
        <v>400000</v>
      </c>
      <c r="G904" s="176">
        <f t="shared" si="955"/>
        <v>133000</v>
      </c>
      <c r="H904" s="176">
        <f t="shared" si="955"/>
        <v>0</v>
      </c>
      <c r="I904" s="176">
        <f>SUM(I905)</f>
        <v>500000</v>
      </c>
      <c r="J904" s="176">
        <f t="shared" si="955"/>
        <v>0</v>
      </c>
      <c r="K904" s="176">
        <f t="shared" si="955"/>
        <v>276700</v>
      </c>
      <c r="L904" s="176">
        <f t="shared" si="955"/>
        <v>776700</v>
      </c>
      <c r="M904" s="176">
        <f t="shared" si="955"/>
        <v>0</v>
      </c>
      <c r="N904" s="176">
        <f t="shared" si="955"/>
        <v>0</v>
      </c>
      <c r="O904" s="176">
        <f t="shared" si="955"/>
        <v>0</v>
      </c>
      <c r="P904" s="176">
        <f t="shared" si="955"/>
        <v>0</v>
      </c>
      <c r="Q904" s="176">
        <f t="shared" si="955"/>
        <v>0</v>
      </c>
    </row>
    <row r="905" spans="1:17" customFormat="1" ht="26.4" hidden="1" x14ac:dyDescent="0.3">
      <c r="A905" s="188">
        <v>451</v>
      </c>
      <c r="B905" s="192" t="s">
        <v>55</v>
      </c>
      <c r="C905" s="179">
        <f t="shared" ref="C905:Q905" si="956">SUM(C906)</f>
        <v>1000000</v>
      </c>
      <c r="D905" s="179">
        <f t="shared" si="956"/>
        <v>600000</v>
      </c>
      <c r="E905" s="179">
        <f t="shared" si="956"/>
        <v>0</v>
      </c>
      <c r="F905" s="179">
        <f t="shared" si="956"/>
        <v>400000</v>
      </c>
      <c r="G905" s="179">
        <f t="shared" si="956"/>
        <v>133000</v>
      </c>
      <c r="H905" s="179">
        <f t="shared" si="956"/>
        <v>0</v>
      </c>
      <c r="I905" s="179">
        <f t="shared" si="956"/>
        <v>500000</v>
      </c>
      <c r="J905" s="179">
        <f t="shared" si="956"/>
        <v>0</v>
      </c>
      <c r="K905" s="179">
        <f t="shared" si="956"/>
        <v>276700</v>
      </c>
      <c r="L905" s="179">
        <f t="shared" si="956"/>
        <v>776700</v>
      </c>
      <c r="M905" s="179">
        <f t="shared" si="956"/>
        <v>0</v>
      </c>
      <c r="N905" s="179">
        <f t="shared" si="956"/>
        <v>0</v>
      </c>
      <c r="O905" s="179">
        <f t="shared" si="956"/>
        <v>0</v>
      </c>
      <c r="P905" s="179">
        <f t="shared" si="956"/>
        <v>0</v>
      </c>
      <c r="Q905" s="179">
        <f t="shared" si="956"/>
        <v>0</v>
      </c>
    </row>
    <row r="906" spans="1:17" customFormat="1" ht="12.75" hidden="1" customHeight="1" x14ac:dyDescent="0.3">
      <c r="A906" s="189">
        <v>4511</v>
      </c>
      <c r="B906" s="190" t="s">
        <v>55</v>
      </c>
      <c r="C906" s="182">
        <v>1000000</v>
      </c>
      <c r="D906" s="182">
        <v>600000</v>
      </c>
      <c r="E906" s="182"/>
      <c r="F906" s="182">
        <f t="shared" ref="F906" si="957">C906-D906+E906</f>
        <v>400000</v>
      </c>
      <c r="G906" s="182">
        <v>133000</v>
      </c>
      <c r="H906" s="182"/>
      <c r="I906" s="182">
        <v>500000</v>
      </c>
      <c r="J906" s="220"/>
      <c r="K906" s="220">
        <v>276700</v>
      </c>
      <c r="L906" s="220">
        <f>I906-J906+K906</f>
        <v>776700</v>
      </c>
      <c r="M906" s="182"/>
      <c r="N906" s="182"/>
      <c r="O906" s="182"/>
      <c r="P906" s="182"/>
      <c r="Q906" s="182"/>
    </row>
    <row r="907" spans="1:17" customFormat="1" ht="46.5" hidden="1" customHeight="1" x14ac:dyDescent="0.3">
      <c r="A907" s="170" t="s">
        <v>263</v>
      </c>
      <c r="B907" s="171" t="s">
        <v>264</v>
      </c>
      <c r="C907" s="172">
        <f t="shared" ref="C907:D907" si="958">SUM(C908)</f>
        <v>0</v>
      </c>
      <c r="D907" s="172">
        <f t="shared" si="958"/>
        <v>0</v>
      </c>
      <c r="E907" s="172"/>
      <c r="F907" s="172"/>
      <c r="G907" s="172"/>
      <c r="H907" s="172"/>
      <c r="I907" s="172"/>
      <c r="J907" s="384"/>
      <c r="K907" s="384"/>
      <c r="L907" s="384"/>
      <c r="M907" s="172"/>
      <c r="N907" s="172"/>
      <c r="O907" s="172"/>
      <c r="P907" s="172"/>
      <c r="Q907" s="172"/>
    </row>
    <row r="908" spans="1:17" customFormat="1" ht="15" hidden="1" customHeight="1" x14ac:dyDescent="0.3">
      <c r="A908" s="721" t="s">
        <v>118</v>
      </c>
      <c r="B908" s="721"/>
      <c r="C908" s="173">
        <f t="shared" ref="C908:D908" si="959">SUM(C909,C912)</f>
        <v>0</v>
      </c>
      <c r="D908" s="173">
        <f t="shared" si="959"/>
        <v>0</v>
      </c>
      <c r="E908" s="173"/>
      <c r="F908" s="173"/>
      <c r="G908" s="173"/>
      <c r="H908" s="173"/>
      <c r="I908" s="173"/>
      <c r="J908" s="385"/>
      <c r="K908" s="385"/>
      <c r="L908" s="385"/>
      <c r="M908" s="173"/>
      <c r="N908" s="173"/>
      <c r="O908" s="173"/>
      <c r="P908" s="173"/>
      <c r="Q908" s="173"/>
    </row>
    <row r="909" spans="1:17" customFormat="1" ht="14.4" hidden="1" x14ac:dyDescent="0.3">
      <c r="A909" s="177">
        <v>323</v>
      </c>
      <c r="B909" s="178" t="s">
        <v>23</v>
      </c>
      <c r="C909" s="179">
        <f t="shared" ref="C909:D909" si="960">SUM(C910:C911)</f>
        <v>0</v>
      </c>
      <c r="D909" s="179">
        <f t="shared" si="960"/>
        <v>0</v>
      </c>
      <c r="E909" s="179"/>
      <c r="F909" s="179"/>
      <c r="G909" s="179"/>
      <c r="H909" s="179"/>
      <c r="I909" s="179"/>
      <c r="J909" s="219"/>
      <c r="K909" s="219"/>
      <c r="L909" s="219"/>
      <c r="M909" s="179"/>
      <c r="N909" s="179"/>
      <c r="O909" s="179"/>
      <c r="P909" s="179"/>
      <c r="Q909" s="179"/>
    </row>
    <row r="910" spans="1:17" customFormat="1" ht="14.4" hidden="1" x14ac:dyDescent="0.3">
      <c r="A910" s="180">
        <v>3231</v>
      </c>
      <c r="B910" s="181" t="s">
        <v>24</v>
      </c>
      <c r="C910" s="182"/>
      <c r="D910" s="182"/>
      <c r="E910" s="182"/>
      <c r="F910" s="182"/>
      <c r="G910" s="182"/>
      <c r="H910" s="182"/>
      <c r="I910" s="182"/>
      <c r="J910" s="220"/>
      <c r="K910" s="220"/>
      <c r="L910" s="220"/>
      <c r="M910" s="182"/>
      <c r="N910" s="182"/>
      <c r="O910" s="182"/>
      <c r="P910" s="182"/>
      <c r="Q910" s="182"/>
    </row>
    <row r="911" spans="1:17" customFormat="1" ht="14.4" hidden="1" x14ac:dyDescent="0.3">
      <c r="A911" s="189">
        <v>3235</v>
      </c>
      <c r="B911" s="190" t="s">
        <v>28</v>
      </c>
      <c r="C911" s="182"/>
      <c r="D911" s="182"/>
      <c r="E911" s="182"/>
      <c r="F911" s="182"/>
      <c r="G911" s="182"/>
      <c r="H911" s="182"/>
      <c r="I911" s="182"/>
      <c r="J911" s="220"/>
      <c r="K911" s="220"/>
      <c r="L911" s="220"/>
      <c r="M911" s="182"/>
      <c r="N911" s="182"/>
      <c r="O911" s="182"/>
      <c r="P911" s="182"/>
      <c r="Q911" s="182"/>
    </row>
    <row r="912" spans="1:17" customFormat="1" ht="14.4" hidden="1" x14ac:dyDescent="0.3">
      <c r="A912" s="177">
        <v>329</v>
      </c>
      <c r="B912" s="178" t="s">
        <v>33</v>
      </c>
      <c r="C912" s="179">
        <f t="shared" ref="C912:D912" si="961">SUM(C913)</f>
        <v>0</v>
      </c>
      <c r="D912" s="179">
        <f t="shared" si="961"/>
        <v>0</v>
      </c>
      <c r="E912" s="179"/>
      <c r="F912" s="179"/>
      <c r="G912" s="179"/>
      <c r="H912" s="179"/>
      <c r="I912" s="179"/>
      <c r="J912" s="219"/>
      <c r="K912" s="219"/>
      <c r="L912" s="219"/>
      <c r="M912" s="179"/>
      <c r="N912" s="179"/>
      <c r="O912" s="179"/>
      <c r="P912" s="179"/>
      <c r="Q912" s="179"/>
    </row>
    <row r="913" spans="1:17" customFormat="1" ht="14.4" hidden="1" x14ac:dyDescent="0.3">
      <c r="A913" s="189">
        <v>3299</v>
      </c>
      <c r="B913" s="190" t="s">
        <v>33</v>
      </c>
      <c r="C913" s="182"/>
      <c r="D913" s="182"/>
      <c r="E913" s="182"/>
      <c r="F913" s="182"/>
      <c r="G913" s="182"/>
      <c r="H913" s="182"/>
      <c r="I913" s="182"/>
      <c r="J913" s="220"/>
      <c r="K913" s="220"/>
      <c r="L913" s="220"/>
      <c r="M913" s="182"/>
      <c r="N913" s="182"/>
      <c r="O913" s="182"/>
      <c r="P913" s="182"/>
      <c r="Q913" s="182"/>
    </row>
    <row r="914" spans="1:17" customFormat="1" ht="64.5" hidden="1" customHeight="1" x14ac:dyDescent="0.3">
      <c r="A914" s="170" t="s">
        <v>265</v>
      </c>
      <c r="B914" s="171" t="s">
        <v>266</v>
      </c>
      <c r="C914" s="172">
        <f t="shared" ref="C914:D914" si="962">SUM(C915)</f>
        <v>0</v>
      </c>
      <c r="D914" s="172">
        <f t="shared" si="962"/>
        <v>0</v>
      </c>
      <c r="E914" s="172"/>
      <c r="F914" s="172"/>
      <c r="G914" s="172"/>
      <c r="H914" s="172"/>
      <c r="I914" s="172"/>
      <c r="J914" s="384"/>
      <c r="K914" s="384"/>
      <c r="L914" s="384"/>
      <c r="M914" s="172"/>
      <c r="N914" s="172"/>
      <c r="O914" s="172"/>
      <c r="P914" s="172"/>
      <c r="Q914" s="172"/>
    </row>
    <row r="915" spans="1:17" customFormat="1" ht="18" hidden="1" customHeight="1" x14ac:dyDescent="0.3">
      <c r="A915" s="721" t="s">
        <v>118</v>
      </c>
      <c r="B915" s="721"/>
      <c r="C915" s="173">
        <f t="shared" ref="C915:D915" si="963">SUM(C916,C919,C923,C927,C934,C942,C944,C949)</f>
        <v>0</v>
      </c>
      <c r="D915" s="173">
        <f t="shared" si="963"/>
        <v>0</v>
      </c>
      <c r="E915" s="173"/>
      <c r="F915" s="173"/>
      <c r="G915" s="173"/>
      <c r="H915" s="173"/>
      <c r="I915" s="173"/>
      <c r="J915" s="385"/>
      <c r="K915" s="385"/>
      <c r="L915" s="385"/>
      <c r="M915" s="173"/>
      <c r="N915" s="173"/>
      <c r="O915" s="173"/>
      <c r="P915" s="173"/>
      <c r="Q915" s="173"/>
    </row>
    <row r="916" spans="1:17" customFormat="1" ht="14.4" hidden="1" x14ac:dyDescent="0.3">
      <c r="A916" s="177">
        <v>311</v>
      </c>
      <c r="B916" s="178" t="s">
        <v>4</v>
      </c>
      <c r="C916" s="179">
        <f t="shared" ref="C916:D916" si="964">SUM(C917:C918)</f>
        <v>0</v>
      </c>
      <c r="D916" s="179">
        <f t="shared" si="964"/>
        <v>0</v>
      </c>
      <c r="E916" s="179"/>
      <c r="F916" s="179"/>
      <c r="G916" s="179"/>
      <c r="H916" s="179"/>
      <c r="I916" s="179"/>
      <c r="J916" s="219"/>
      <c r="K916" s="219"/>
      <c r="L916" s="219"/>
      <c r="M916" s="179"/>
      <c r="N916" s="179"/>
      <c r="O916" s="179"/>
      <c r="P916" s="179"/>
      <c r="Q916" s="179"/>
    </row>
    <row r="917" spans="1:17" customFormat="1" ht="14.4" hidden="1" x14ac:dyDescent="0.3">
      <c r="A917" s="180">
        <v>3111</v>
      </c>
      <c r="B917" s="181" t="s">
        <v>5</v>
      </c>
      <c r="C917" s="182"/>
      <c r="D917" s="182"/>
      <c r="E917" s="182"/>
      <c r="F917" s="182"/>
      <c r="G917" s="182"/>
      <c r="H917" s="182"/>
      <c r="I917" s="182"/>
      <c r="J917" s="220"/>
      <c r="K917" s="220"/>
      <c r="L917" s="220"/>
      <c r="M917" s="182"/>
      <c r="N917" s="182"/>
      <c r="O917" s="182"/>
      <c r="P917" s="182"/>
      <c r="Q917" s="182"/>
    </row>
    <row r="918" spans="1:17" customFormat="1" ht="14.4" hidden="1" x14ac:dyDescent="0.3">
      <c r="A918" s="180">
        <v>3113</v>
      </c>
      <c r="B918" s="181" t="s">
        <v>6</v>
      </c>
      <c r="C918" s="182"/>
      <c r="D918" s="182"/>
      <c r="E918" s="182"/>
      <c r="F918" s="182"/>
      <c r="G918" s="182"/>
      <c r="H918" s="182"/>
      <c r="I918" s="182"/>
      <c r="J918" s="220"/>
      <c r="K918" s="220"/>
      <c r="L918" s="220"/>
      <c r="M918" s="182"/>
      <c r="N918" s="182"/>
      <c r="O918" s="182"/>
      <c r="P918" s="182"/>
      <c r="Q918" s="182"/>
    </row>
    <row r="919" spans="1:17" customFormat="1" ht="14.4" hidden="1" x14ac:dyDescent="0.3">
      <c r="A919" s="177">
        <v>313</v>
      </c>
      <c r="B919" s="178" t="s">
        <v>8</v>
      </c>
      <c r="C919" s="179">
        <f t="shared" ref="C919:D919" si="965">SUM(C920:C922)</f>
        <v>0</v>
      </c>
      <c r="D919" s="179">
        <f t="shared" si="965"/>
        <v>0</v>
      </c>
      <c r="E919" s="179"/>
      <c r="F919" s="179"/>
      <c r="G919" s="179"/>
      <c r="H919" s="179"/>
      <c r="I919" s="179"/>
      <c r="J919" s="219"/>
      <c r="K919" s="219"/>
      <c r="L919" s="219"/>
      <c r="M919" s="179"/>
      <c r="N919" s="179"/>
      <c r="O919" s="179"/>
      <c r="P919" s="179"/>
      <c r="Q919" s="179"/>
    </row>
    <row r="920" spans="1:17" customFormat="1" ht="14.4" hidden="1" x14ac:dyDescent="0.3">
      <c r="A920" s="180">
        <v>3131</v>
      </c>
      <c r="B920" s="181" t="s">
        <v>9</v>
      </c>
      <c r="C920" s="182"/>
      <c r="D920" s="182"/>
      <c r="E920" s="182"/>
      <c r="F920" s="182"/>
      <c r="G920" s="182"/>
      <c r="H920" s="182"/>
      <c r="I920" s="182"/>
      <c r="J920" s="220"/>
      <c r="K920" s="220"/>
      <c r="L920" s="220"/>
      <c r="M920" s="182"/>
      <c r="N920" s="182"/>
      <c r="O920" s="182"/>
      <c r="P920" s="182"/>
      <c r="Q920" s="182"/>
    </row>
    <row r="921" spans="1:17" customFormat="1" ht="14.4" hidden="1" x14ac:dyDescent="0.3">
      <c r="A921" s="180">
        <v>3132</v>
      </c>
      <c r="B921" s="181" t="s">
        <v>10</v>
      </c>
      <c r="C921" s="182"/>
      <c r="D921" s="182"/>
      <c r="E921" s="182"/>
      <c r="F921" s="182"/>
      <c r="G921" s="182"/>
      <c r="H921" s="182"/>
      <c r="I921" s="182"/>
      <c r="J921" s="220"/>
      <c r="K921" s="220"/>
      <c r="L921" s="220"/>
      <c r="M921" s="182"/>
      <c r="N921" s="182"/>
      <c r="O921" s="182"/>
      <c r="P921" s="182"/>
      <c r="Q921" s="182"/>
    </row>
    <row r="922" spans="1:17" customFormat="1" ht="14.4" hidden="1" x14ac:dyDescent="0.3">
      <c r="A922" s="180">
        <v>3133</v>
      </c>
      <c r="B922" s="181" t="s">
        <v>11</v>
      </c>
      <c r="C922" s="182"/>
      <c r="D922" s="182"/>
      <c r="E922" s="182"/>
      <c r="F922" s="182"/>
      <c r="G922" s="182"/>
      <c r="H922" s="182"/>
      <c r="I922" s="182"/>
      <c r="J922" s="220"/>
      <c r="K922" s="220"/>
      <c r="L922" s="220"/>
      <c r="M922" s="182"/>
      <c r="N922" s="182"/>
      <c r="O922" s="182"/>
      <c r="P922" s="182"/>
      <c r="Q922" s="182"/>
    </row>
    <row r="923" spans="1:17" customFormat="1" ht="13.5" hidden="1" customHeight="1" x14ac:dyDescent="0.3">
      <c r="A923" s="177">
        <v>321</v>
      </c>
      <c r="B923" s="178" t="s">
        <v>12</v>
      </c>
      <c r="C923" s="179">
        <f t="shared" ref="C923:D923" si="966">SUM(C924:C926)</f>
        <v>0</v>
      </c>
      <c r="D923" s="179">
        <f t="shared" si="966"/>
        <v>0</v>
      </c>
      <c r="E923" s="179"/>
      <c r="F923" s="179"/>
      <c r="G923" s="179"/>
      <c r="H923" s="179"/>
      <c r="I923" s="179"/>
      <c r="J923" s="219"/>
      <c r="K923" s="219"/>
      <c r="L923" s="219"/>
      <c r="M923" s="179"/>
      <c r="N923" s="179"/>
      <c r="O923" s="179"/>
      <c r="P923" s="179"/>
      <c r="Q923" s="179"/>
    </row>
    <row r="924" spans="1:17" customFormat="1" ht="14.4" hidden="1" x14ac:dyDescent="0.3">
      <c r="A924" s="180">
        <v>3211</v>
      </c>
      <c r="B924" s="181" t="s">
        <v>13</v>
      </c>
      <c r="C924" s="182"/>
      <c r="D924" s="182"/>
      <c r="E924" s="182"/>
      <c r="F924" s="182"/>
      <c r="G924" s="182"/>
      <c r="H924" s="182"/>
      <c r="I924" s="182"/>
      <c r="J924" s="220"/>
      <c r="K924" s="220"/>
      <c r="L924" s="220"/>
      <c r="M924" s="182"/>
      <c r="N924" s="182"/>
      <c r="O924" s="182"/>
      <c r="P924" s="182"/>
      <c r="Q924" s="182"/>
    </row>
    <row r="925" spans="1:17" customFormat="1" ht="26.4" hidden="1" x14ac:dyDescent="0.3">
      <c r="A925" s="180">
        <v>3212</v>
      </c>
      <c r="B925" s="181" t="s">
        <v>14</v>
      </c>
      <c r="C925" s="182"/>
      <c r="D925" s="182"/>
      <c r="E925" s="182"/>
      <c r="F925" s="182"/>
      <c r="G925" s="182"/>
      <c r="H925" s="182"/>
      <c r="I925" s="182"/>
      <c r="J925" s="220"/>
      <c r="K925" s="220"/>
      <c r="L925" s="220"/>
      <c r="M925" s="182"/>
      <c r="N925" s="182"/>
      <c r="O925" s="182"/>
      <c r="P925" s="182"/>
      <c r="Q925" s="182"/>
    </row>
    <row r="926" spans="1:17" customFormat="1" ht="14.4" hidden="1" x14ac:dyDescent="0.3">
      <c r="A926" s="180">
        <v>3213</v>
      </c>
      <c r="B926" s="181" t="s">
        <v>15</v>
      </c>
      <c r="C926" s="182"/>
      <c r="D926" s="182"/>
      <c r="E926" s="182"/>
      <c r="F926" s="182"/>
      <c r="G926" s="182"/>
      <c r="H926" s="182"/>
      <c r="I926" s="182"/>
      <c r="J926" s="220"/>
      <c r="K926" s="220"/>
      <c r="L926" s="220"/>
      <c r="M926" s="182"/>
      <c r="N926" s="182"/>
      <c r="O926" s="182"/>
      <c r="P926" s="182"/>
      <c r="Q926" s="182"/>
    </row>
    <row r="927" spans="1:17" customFormat="1" ht="14.4" hidden="1" x14ac:dyDescent="0.3">
      <c r="A927" s="177">
        <v>322</v>
      </c>
      <c r="B927" s="178" t="s">
        <v>16</v>
      </c>
      <c r="C927" s="179">
        <f t="shared" ref="C927:D927" si="967">SUM(C928:C933)</f>
        <v>0</v>
      </c>
      <c r="D927" s="179">
        <f t="shared" si="967"/>
        <v>0</v>
      </c>
      <c r="E927" s="179"/>
      <c r="F927" s="179"/>
      <c r="G927" s="179"/>
      <c r="H927" s="179"/>
      <c r="I927" s="179"/>
      <c r="J927" s="219"/>
      <c r="K927" s="219"/>
      <c r="L927" s="219"/>
      <c r="M927" s="179"/>
      <c r="N927" s="179"/>
      <c r="O927" s="179"/>
      <c r="P927" s="179"/>
      <c r="Q927" s="179"/>
    </row>
    <row r="928" spans="1:17" customFormat="1" ht="14.4" hidden="1" x14ac:dyDescent="0.3">
      <c r="A928" s="180">
        <v>3221</v>
      </c>
      <c r="B928" s="181" t="s">
        <v>17</v>
      </c>
      <c r="C928" s="182"/>
      <c r="D928" s="182"/>
      <c r="E928" s="182"/>
      <c r="F928" s="182"/>
      <c r="G928" s="182"/>
      <c r="H928" s="182"/>
      <c r="I928" s="182"/>
      <c r="J928" s="220"/>
      <c r="K928" s="220"/>
      <c r="L928" s="220"/>
      <c r="M928" s="182"/>
      <c r="N928" s="182"/>
      <c r="O928" s="182"/>
      <c r="P928" s="182"/>
      <c r="Q928" s="182"/>
    </row>
    <row r="929" spans="1:17" customFormat="1" ht="14.4" hidden="1" x14ac:dyDescent="0.3">
      <c r="A929" s="180">
        <v>3222</v>
      </c>
      <c r="B929" s="181" t="s">
        <v>18</v>
      </c>
      <c r="C929" s="182"/>
      <c r="D929" s="182"/>
      <c r="E929" s="182"/>
      <c r="F929" s="182"/>
      <c r="G929" s="182"/>
      <c r="H929" s="182"/>
      <c r="I929" s="182"/>
      <c r="J929" s="220"/>
      <c r="K929" s="220"/>
      <c r="L929" s="220"/>
      <c r="M929" s="182"/>
      <c r="N929" s="182"/>
      <c r="O929" s="182"/>
      <c r="P929" s="182"/>
      <c r="Q929" s="182"/>
    </row>
    <row r="930" spans="1:17" customFormat="1" ht="14.4" hidden="1" x14ac:dyDescent="0.3">
      <c r="A930" s="180">
        <v>3223</v>
      </c>
      <c r="B930" s="181" t="s">
        <v>19</v>
      </c>
      <c r="C930" s="182"/>
      <c r="D930" s="182"/>
      <c r="E930" s="182"/>
      <c r="F930" s="182"/>
      <c r="G930" s="182"/>
      <c r="H930" s="182"/>
      <c r="I930" s="182"/>
      <c r="J930" s="220"/>
      <c r="K930" s="220"/>
      <c r="L930" s="220"/>
      <c r="M930" s="182"/>
      <c r="N930" s="182"/>
      <c r="O930" s="182"/>
      <c r="P930" s="182"/>
      <c r="Q930" s="182"/>
    </row>
    <row r="931" spans="1:17" customFormat="1" ht="24.75" hidden="1" customHeight="1" x14ac:dyDescent="0.3">
      <c r="A931" s="180">
        <v>3224</v>
      </c>
      <c r="B931" s="181" t="s">
        <v>112</v>
      </c>
      <c r="C931" s="182"/>
      <c r="D931" s="182"/>
      <c r="E931" s="182"/>
      <c r="F931" s="182"/>
      <c r="G931" s="182"/>
      <c r="H931" s="182"/>
      <c r="I931" s="182"/>
      <c r="J931" s="220"/>
      <c r="K931" s="220"/>
      <c r="L931" s="220"/>
      <c r="M931" s="182"/>
      <c r="N931" s="182"/>
      <c r="O931" s="182"/>
      <c r="P931" s="182"/>
      <c r="Q931" s="182"/>
    </row>
    <row r="932" spans="1:17" customFormat="1" ht="13.5" hidden="1" customHeight="1" x14ac:dyDescent="0.3">
      <c r="A932" s="180">
        <v>3225</v>
      </c>
      <c r="B932" s="181" t="s">
        <v>21</v>
      </c>
      <c r="C932" s="182"/>
      <c r="D932" s="182"/>
      <c r="E932" s="182"/>
      <c r="F932" s="182"/>
      <c r="G932" s="182"/>
      <c r="H932" s="182"/>
      <c r="I932" s="182"/>
      <c r="J932" s="220"/>
      <c r="K932" s="220"/>
      <c r="L932" s="220"/>
      <c r="M932" s="182"/>
      <c r="N932" s="182"/>
      <c r="O932" s="182"/>
      <c r="P932" s="182"/>
      <c r="Q932" s="182"/>
    </row>
    <row r="933" spans="1:17" customFormat="1" ht="14.4" hidden="1" x14ac:dyDescent="0.3">
      <c r="A933" s="180">
        <v>3227</v>
      </c>
      <c r="B933" s="181" t="s">
        <v>22</v>
      </c>
      <c r="C933" s="182"/>
      <c r="D933" s="182"/>
      <c r="E933" s="182"/>
      <c r="F933" s="182"/>
      <c r="G933" s="182"/>
      <c r="H933" s="182"/>
      <c r="I933" s="182"/>
      <c r="J933" s="220"/>
      <c r="K933" s="220"/>
      <c r="L933" s="220"/>
      <c r="M933" s="182"/>
      <c r="N933" s="182"/>
      <c r="O933" s="182"/>
      <c r="P933" s="182"/>
      <c r="Q933" s="182"/>
    </row>
    <row r="934" spans="1:17" customFormat="1" ht="14.4" hidden="1" x14ac:dyDescent="0.3">
      <c r="A934" s="177">
        <v>323</v>
      </c>
      <c r="B934" s="178" t="s">
        <v>23</v>
      </c>
      <c r="C934" s="179">
        <f t="shared" ref="C934:D934" si="968">SUM(C935:C941)</f>
        <v>0</v>
      </c>
      <c r="D934" s="179">
        <f t="shared" si="968"/>
        <v>0</v>
      </c>
      <c r="E934" s="179"/>
      <c r="F934" s="179"/>
      <c r="G934" s="179"/>
      <c r="H934" s="179"/>
      <c r="I934" s="179"/>
      <c r="J934" s="219"/>
      <c r="K934" s="219"/>
      <c r="L934" s="219"/>
      <c r="M934" s="179"/>
      <c r="N934" s="179"/>
      <c r="O934" s="179"/>
      <c r="P934" s="179"/>
      <c r="Q934" s="179"/>
    </row>
    <row r="935" spans="1:17" customFormat="1" ht="14.4" hidden="1" x14ac:dyDescent="0.3">
      <c r="A935" s="180">
        <v>3231</v>
      </c>
      <c r="B935" s="181" t="s">
        <v>24</v>
      </c>
      <c r="C935" s="179"/>
      <c r="D935" s="179"/>
      <c r="E935" s="179"/>
      <c r="F935" s="179"/>
      <c r="G935" s="179"/>
      <c r="H935" s="179"/>
      <c r="I935" s="179"/>
      <c r="J935" s="219"/>
      <c r="K935" s="219"/>
      <c r="L935" s="219"/>
      <c r="M935" s="179"/>
      <c r="N935" s="179"/>
      <c r="O935" s="179"/>
      <c r="P935" s="179"/>
      <c r="Q935" s="179"/>
    </row>
    <row r="936" spans="1:17" customFormat="1" ht="14.25" hidden="1" customHeight="1" x14ac:dyDescent="0.3">
      <c r="A936" s="180">
        <v>3232</v>
      </c>
      <c r="B936" s="181" t="s">
        <v>25</v>
      </c>
      <c r="C936" s="182"/>
      <c r="D936" s="182"/>
      <c r="E936" s="182"/>
      <c r="F936" s="182"/>
      <c r="G936" s="182"/>
      <c r="H936" s="182"/>
      <c r="I936" s="182"/>
      <c r="J936" s="220"/>
      <c r="K936" s="220"/>
      <c r="L936" s="220"/>
      <c r="M936" s="182"/>
      <c r="N936" s="182"/>
      <c r="O936" s="182"/>
      <c r="P936" s="182"/>
      <c r="Q936" s="182"/>
    </row>
    <row r="937" spans="1:17" customFormat="1" ht="14.25" hidden="1" customHeight="1" x14ac:dyDescent="0.3">
      <c r="A937" s="180">
        <v>3234</v>
      </c>
      <c r="B937" s="181" t="s">
        <v>27</v>
      </c>
      <c r="C937" s="182"/>
      <c r="D937" s="182"/>
      <c r="E937" s="182"/>
      <c r="F937" s="182"/>
      <c r="G937" s="182"/>
      <c r="H937" s="182"/>
      <c r="I937" s="182"/>
      <c r="J937" s="220"/>
      <c r="K937" s="220"/>
      <c r="L937" s="220"/>
      <c r="M937" s="182"/>
      <c r="N937" s="182"/>
      <c r="O937" s="182"/>
      <c r="P937" s="182"/>
      <c r="Q937" s="182"/>
    </row>
    <row r="938" spans="1:17" customFormat="1" ht="14.4" hidden="1" x14ac:dyDescent="0.3">
      <c r="A938" s="180">
        <v>3235</v>
      </c>
      <c r="B938" s="181" t="s">
        <v>28</v>
      </c>
      <c r="C938" s="182"/>
      <c r="D938" s="182"/>
      <c r="E938" s="182"/>
      <c r="F938" s="182"/>
      <c r="G938" s="182"/>
      <c r="H938" s="182"/>
      <c r="I938" s="182"/>
      <c r="J938" s="220"/>
      <c r="K938" s="220"/>
      <c r="L938" s="220"/>
      <c r="M938" s="182"/>
      <c r="N938" s="182"/>
      <c r="O938" s="182"/>
      <c r="P938" s="182"/>
      <c r="Q938" s="182"/>
    </row>
    <row r="939" spans="1:17" customFormat="1" ht="14.4" hidden="1" x14ac:dyDescent="0.3">
      <c r="A939" s="180">
        <v>3236</v>
      </c>
      <c r="B939" s="181" t="s">
        <v>29</v>
      </c>
      <c r="C939" s="182"/>
      <c r="D939" s="182"/>
      <c r="E939" s="182"/>
      <c r="F939" s="182"/>
      <c r="G939" s="182"/>
      <c r="H939" s="182"/>
      <c r="I939" s="182"/>
      <c r="J939" s="220"/>
      <c r="K939" s="220"/>
      <c r="L939" s="220"/>
      <c r="M939" s="182"/>
      <c r="N939" s="182"/>
      <c r="O939" s="182"/>
      <c r="P939" s="182"/>
      <c r="Q939" s="182"/>
    </row>
    <row r="940" spans="1:17" customFormat="1" ht="14.4" hidden="1" x14ac:dyDescent="0.3">
      <c r="A940" s="180">
        <v>3237</v>
      </c>
      <c r="B940" s="181" t="s">
        <v>30</v>
      </c>
      <c r="C940" s="182"/>
      <c r="D940" s="182"/>
      <c r="E940" s="182"/>
      <c r="F940" s="182"/>
      <c r="G940" s="182"/>
      <c r="H940" s="182"/>
      <c r="I940" s="182"/>
      <c r="J940" s="220"/>
      <c r="K940" s="220"/>
      <c r="L940" s="220"/>
      <c r="M940" s="182"/>
      <c r="N940" s="182"/>
      <c r="O940" s="182"/>
      <c r="P940" s="182"/>
      <c r="Q940" s="182"/>
    </row>
    <row r="941" spans="1:17" customFormat="1" ht="14.4" hidden="1" x14ac:dyDescent="0.3">
      <c r="A941" s="180">
        <v>3239</v>
      </c>
      <c r="B941" s="181" t="s">
        <v>31</v>
      </c>
      <c r="C941" s="182"/>
      <c r="D941" s="182"/>
      <c r="E941" s="182"/>
      <c r="F941" s="182"/>
      <c r="G941" s="182"/>
      <c r="H941" s="182"/>
      <c r="I941" s="182"/>
      <c r="J941" s="220"/>
      <c r="K941" s="220"/>
      <c r="L941" s="220"/>
      <c r="M941" s="182"/>
      <c r="N941" s="182"/>
      <c r="O941" s="182"/>
      <c r="P941" s="182"/>
      <c r="Q941" s="182"/>
    </row>
    <row r="942" spans="1:17" customFormat="1" ht="14.4" hidden="1" x14ac:dyDescent="0.3">
      <c r="A942" s="188">
        <v>412</v>
      </c>
      <c r="B942" s="192" t="s">
        <v>67</v>
      </c>
      <c r="C942" s="179">
        <f t="shared" ref="C942:D942" si="969">SUM(C943)</f>
        <v>0</v>
      </c>
      <c r="D942" s="179">
        <f t="shared" si="969"/>
        <v>0</v>
      </c>
      <c r="E942" s="179"/>
      <c r="F942" s="179"/>
      <c r="G942" s="179"/>
      <c r="H942" s="179"/>
      <c r="I942" s="179"/>
      <c r="J942" s="219"/>
      <c r="K942" s="219"/>
      <c r="L942" s="219"/>
      <c r="M942" s="179"/>
      <c r="N942" s="179"/>
      <c r="O942" s="179"/>
      <c r="P942" s="179"/>
      <c r="Q942" s="179"/>
    </row>
    <row r="943" spans="1:17" customFormat="1" ht="14.4" hidden="1" x14ac:dyDescent="0.3">
      <c r="A943" s="189">
        <v>4123</v>
      </c>
      <c r="B943" s="190" t="s">
        <v>68</v>
      </c>
      <c r="C943" s="182"/>
      <c r="D943" s="182"/>
      <c r="E943" s="182"/>
      <c r="F943" s="182"/>
      <c r="G943" s="182"/>
      <c r="H943" s="182"/>
      <c r="I943" s="182"/>
      <c r="J943" s="220"/>
      <c r="K943" s="220"/>
      <c r="L943" s="220"/>
      <c r="M943" s="182"/>
      <c r="N943" s="182"/>
      <c r="O943" s="182"/>
      <c r="P943" s="182"/>
      <c r="Q943" s="182"/>
    </row>
    <row r="944" spans="1:17" customFormat="1" ht="14.4" hidden="1" x14ac:dyDescent="0.3">
      <c r="A944" s="188">
        <v>422</v>
      </c>
      <c r="B944" s="192" t="s">
        <v>53</v>
      </c>
      <c r="C944" s="179">
        <f t="shared" ref="C944:D944" si="970">SUM(C945:C948)</f>
        <v>0</v>
      </c>
      <c r="D944" s="179">
        <f t="shared" si="970"/>
        <v>0</v>
      </c>
      <c r="E944" s="179"/>
      <c r="F944" s="179"/>
      <c r="G944" s="179"/>
      <c r="H944" s="179"/>
      <c r="I944" s="179"/>
      <c r="J944" s="219"/>
      <c r="K944" s="219"/>
      <c r="L944" s="219"/>
      <c r="M944" s="179"/>
      <c r="N944" s="179"/>
      <c r="O944" s="179"/>
      <c r="P944" s="179"/>
      <c r="Q944" s="179"/>
    </row>
    <row r="945" spans="1:18" customFormat="1" ht="14.4" hidden="1" x14ac:dyDescent="0.3">
      <c r="A945" s="189">
        <v>4221</v>
      </c>
      <c r="B945" s="190" t="s">
        <v>54</v>
      </c>
      <c r="C945" s="182"/>
      <c r="D945" s="182"/>
      <c r="E945" s="182"/>
      <c r="F945" s="182"/>
      <c r="G945" s="182"/>
      <c r="H945" s="182"/>
      <c r="I945" s="182"/>
      <c r="J945" s="220"/>
      <c r="K945" s="220"/>
      <c r="L945" s="220"/>
      <c r="M945" s="182"/>
      <c r="N945" s="182"/>
      <c r="O945" s="182"/>
      <c r="P945" s="182"/>
      <c r="Q945" s="182"/>
    </row>
    <row r="946" spans="1:18" customFormat="1" ht="14.4" hidden="1" x14ac:dyDescent="0.3">
      <c r="A946" s="189">
        <v>4222</v>
      </c>
      <c r="B946" s="190" t="s">
        <v>58</v>
      </c>
      <c r="C946" s="182"/>
      <c r="D946" s="182"/>
      <c r="E946" s="182"/>
      <c r="F946" s="182"/>
      <c r="G946" s="182"/>
      <c r="H946" s="182"/>
      <c r="I946" s="182"/>
      <c r="J946" s="220"/>
      <c r="K946" s="220"/>
      <c r="L946" s="220"/>
      <c r="M946" s="182"/>
      <c r="N946" s="182"/>
      <c r="O946" s="182"/>
      <c r="P946" s="182"/>
      <c r="Q946" s="182"/>
    </row>
    <row r="947" spans="1:18" customFormat="1" ht="14.4" hidden="1" x14ac:dyDescent="0.3">
      <c r="A947" s="189">
        <v>4223</v>
      </c>
      <c r="B947" s="190" t="s">
        <v>59</v>
      </c>
      <c r="C947" s="182"/>
      <c r="D947" s="182"/>
      <c r="E947" s="182"/>
      <c r="F947" s="182"/>
      <c r="G947" s="182"/>
      <c r="H947" s="182"/>
      <c r="I947" s="182"/>
      <c r="J947" s="220"/>
      <c r="K947" s="220"/>
      <c r="L947" s="220"/>
      <c r="M947" s="182"/>
      <c r="N947" s="182"/>
      <c r="O947" s="182"/>
      <c r="P947" s="182"/>
      <c r="Q947" s="182"/>
    </row>
    <row r="948" spans="1:18" customFormat="1" ht="14.4" hidden="1" x14ac:dyDescent="0.3">
      <c r="A948" s="189">
        <v>4227</v>
      </c>
      <c r="B948" s="190" t="s">
        <v>60</v>
      </c>
      <c r="C948" s="182"/>
      <c r="D948" s="182"/>
      <c r="E948" s="182"/>
      <c r="F948" s="182"/>
      <c r="G948" s="182"/>
      <c r="H948" s="182"/>
      <c r="I948" s="182"/>
      <c r="J948" s="220"/>
      <c r="K948" s="220"/>
      <c r="L948" s="220"/>
      <c r="M948" s="182"/>
      <c r="N948" s="182"/>
      <c r="O948" s="182"/>
      <c r="P948" s="182"/>
      <c r="Q948" s="182"/>
    </row>
    <row r="949" spans="1:18" s="6" customFormat="1" ht="26.4" hidden="1" x14ac:dyDescent="0.3">
      <c r="A949" s="188">
        <v>451</v>
      </c>
      <c r="B949" s="192" t="s">
        <v>55</v>
      </c>
      <c r="C949" s="179">
        <f t="shared" ref="C949:D949" si="971">SUM(C950)</f>
        <v>0</v>
      </c>
      <c r="D949" s="179">
        <f t="shared" si="971"/>
        <v>0</v>
      </c>
      <c r="E949" s="179"/>
      <c r="F949" s="179"/>
      <c r="G949" s="179"/>
      <c r="H949" s="179"/>
      <c r="I949" s="179"/>
      <c r="J949" s="219"/>
      <c r="K949" s="219"/>
      <c r="L949" s="219"/>
      <c r="M949" s="179"/>
      <c r="N949" s="179"/>
      <c r="O949" s="179"/>
      <c r="P949" s="179"/>
      <c r="Q949" s="179"/>
    </row>
    <row r="950" spans="1:18" customFormat="1" ht="14.4" hidden="1" x14ac:dyDescent="0.3">
      <c r="A950" s="189">
        <v>4511</v>
      </c>
      <c r="B950" s="190" t="s">
        <v>55</v>
      </c>
      <c r="C950" s="182"/>
      <c r="D950" s="182"/>
      <c r="E950" s="182"/>
      <c r="F950" s="182"/>
      <c r="G950" s="182"/>
      <c r="H950" s="182"/>
      <c r="I950" s="182"/>
      <c r="J950" s="220"/>
      <c r="K950" s="220"/>
      <c r="L950" s="220"/>
      <c r="M950" s="182"/>
      <c r="N950" s="182"/>
      <c r="O950" s="182"/>
      <c r="P950" s="182"/>
      <c r="Q950" s="182"/>
    </row>
    <row r="951" spans="1:18" customFormat="1" ht="23.25" customHeight="1" x14ac:dyDescent="0.3">
      <c r="A951" s="170" t="s">
        <v>312</v>
      </c>
      <c r="B951" s="171" t="s">
        <v>294</v>
      </c>
      <c r="C951" s="172">
        <f t="shared" ref="C951:Q952" si="972">SUM(C952)</f>
        <v>1247000</v>
      </c>
      <c r="D951" s="172">
        <f t="shared" si="972"/>
        <v>0</v>
      </c>
      <c r="E951" s="172">
        <f t="shared" si="972"/>
        <v>0</v>
      </c>
      <c r="F951" s="172">
        <f t="shared" si="972"/>
        <v>1247000</v>
      </c>
      <c r="G951" s="172">
        <f t="shared" si="972"/>
        <v>1247000</v>
      </c>
      <c r="H951" s="172">
        <f t="shared" si="972"/>
        <v>1247000</v>
      </c>
      <c r="I951" s="172">
        <f t="shared" si="972"/>
        <v>1247000</v>
      </c>
      <c r="J951" s="172">
        <f t="shared" si="972"/>
        <v>0</v>
      </c>
      <c r="K951" s="172">
        <f t="shared" si="972"/>
        <v>290000</v>
      </c>
      <c r="L951" s="172">
        <f t="shared" si="972"/>
        <v>1537000</v>
      </c>
      <c r="M951" s="172">
        <f t="shared" si="972"/>
        <v>1247000</v>
      </c>
      <c r="N951" s="172">
        <f t="shared" si="972"/>
        <v>1247000</v>
      </c>
      <c r="O951" s="172">
        <f t="shared" si="972"/>
        <v>1537000</v>
      </c>
      <c r="P951" s="172">
        <f t="shared" si="972"/>
        <v>1537000</v>
      </c>
      <c r="Q951" s="172">
        <f t="shared" si="972"/>
        <v>1537000</v>
      </c>
      <c r="R951" s="452"/>
    </row>
    <row r="952" spans="1:18" customFormat="1" ht="20.25" customHeight="1" x14ac:dyDescent="0.3">
      <c r="A952" s="726" t="s">
        <v>118</v>
      </c>
      <c r="B952" s="726"/>
      <c r="C952" s="263">
        <f>SUM(C953)</f>
        <v>1247000</v>
      </c>
      <c r="D952" s="263">
        <f t="shared" si="972"/>
        <v>0</v>
      </c>
      <c r="E952" s="263">
        <f t="shared" si="972"/>
        <v>0</v>
      </c>
      <c r="F952" s="263">
        <f t="shared" si="972"/>
        <v>1247000</v>
      </c>
      <c r="G952" s="263">
        <f>SUM(G953)</f>
        <v>1247000</v>
      </c>
      <c r="H952" s="263">
        <f>SUM(H953)</f>
        <v>1247000</v>
      </c>
      <c r="I952" s="263">
        <f t="shared" si="972"/>
        <v>1247000</v>
      </c>
      <c r="J952" s="263">
        <f t="shared" si="972"/>
        <v>0</v>
      </c>
      <c r="K952" s="263">
        <f t="shared" si="972"/>
        <v>290000</v>
      </c>
      <c r="L952" s="263">
        <f t="shared" si="972"/>
        <v>1537000</v>
      </c>
      <c r="M952" s="263">
        <f t="shared" si="972"/>
        <v>1247000</v>
      </c>
      <c r="N952" s="263">
        <f t="shared" si="972"/>
        <v>1247000</v>
      </c>
      <c r="O952" s="263">
        <f t="shared" si="972"/>
        <v>1537000</v>
      </c>
      <c r="P952" s="263">
        <f t="shared" si="972"/>
        <v>1537000</v>
      </c>
      <c r="Q952" s="263">
        <f t="shared" si="972"/>
        <v>1537000</v>
      </c>
    </row>
    <row r="953" spans="1:18" customFormat="1" ht="20.25" customHeight="1" x14ac:dyDescent="0.3">
      <c r="A953" s="185" t="s">
        <v>317</v>
      </c>
      <c r="B953" s="185" t="s">
        <v>318</v>
      </c>
      <c r="C953" s="218">
        <f>SUM(C954,C957,C960)</f>
        <v>1247000</v>
      </c>
      <c r="D953" s="218">
        <f t="shared" ref="D953:F953" si="973">SUM(D954,D957,D960)</f>
        <v>0</v>
      </c>
      <c r="E953" s="218">
        <f t="shared" si="973"/>
        <v>0</v>
      </c>
      <c r="F953" s="218">
        <f t="shared" si="973"/>
        <v>1247000</v>
      </c>
      <c r="G953" s="218">
        <f>SUM(G954,G957,G960)</f>
        <v>1247000</v>
      </c>
      <c r="H953" s="218">
        <f>SUM(H954,H957,H960)</f>
        <v>1247000</v>
      </c>
      <c r="I953" s="218">
        <f t="shared" ref="I953:N953" si="974">SUM(I954,I957,I960)</f>
        <v>1247000</v>
      </c>
      <c r="J953" s="218">
        <f t="shared" si="974"/>
        <v>0</v>
      </c>
      <c r="K953" s="218">
        <f t="shared" si="974"/>
        <v>290000</v>
      </c>
      <c r="L953" s="218">
        <f t="shared" si="974"/>
        <v>1537000</v>
      </c>
      <c r="M953" s="218">
        <f t="shared" si="974"/>
        <v>1247000</v>
      </c>
      <c r="N953" s="218">
        <f t="shared" si="974"/>
        <v>1247000</v>
      </c>
      <c r="O953" s="218">
        <f t="shared" ref="O953:P953" si="975">SUM(O954,O957,O960)</f>
        <v>1537000</v>
      </c>
      <c r="P953" s="218">
        <f t="shared" si="975"/>
        <v>1537000</v>
      </c>
      <c r="Q953" s="218">
        <f t="shared" ref="Q953" si="976">SUM(Q954,Q957,Q960)</f>
        <v>1537000</v>
      </c>
    </row>
    <row r="954" spans="1:18" customFormat="1" ht="14.4" x14ac:dyDescent="0.3">
      <c r="A954" s="177">
        <v>322</v>
      </c>
      <c r="B954" s="178" t="s">
        <v>16</v>
      </c>
      <c r="C954" s="179">
        <f t="shared" ref="C954:F954" si="977">SUM(C955:C956)</f>
        <v>292000</v>
      </c>
      <c r="D954" s="179">
        <f t="shared" si="977"/>
        <v>0</v>
      </c>
      <c r="E954" s="179">
        <f t="shared" si="977"/>
        <v>0</v>
      </c>
      <c r="F954" s="179">
        <f t="shared" si="977"/>
        <v>292000</v>
      </c>
      <c r="G954" s="179">
        <f t="shared" ref="G954:H954" si="978">SUM(G955:G956)</f>
        <v>292000</v>
      </c>
      <c r="H954" s="179">
        <f t="shared" si="978"/>
        <v>292000</v>
      </c>
      <c r="I954" s="179">
        <f t="shared" ref="I954:N954" si="979">SUM(I955:I956)</f>
        <v>292000</v>
      </c>
      <c r="J954" s="179">
        <f t="shared" si="979"/>
        <v>0</v>
      </c>
      <c r="K954" s="179">
        <f t="shared" si="979"/>
        <v>23000</v>
      </c>
      <c r="L954" s="179">
        <f t="shared" si="979"/>
        <v>315000</v>
      </c>
      <c r="M954" s="179">
        <f t="shared" si="979"/>
        <v>292000</v>
      </c>
      <c r="N954" s="179">
        <f t="shared" si="979"/>
        <v>292000</v>
      </c>
      <c r="O954" s="179">
        <f t="shared" ref="O954:P954" si="980">SUM(O955:O956)</f>
        <v>315000</v>
      </c>
      <c r="P954" s="179">
        <f t="shared" si="980"/>
        <v>315000</v>
      </c>
      <c r="Q954" s="179">
        <f t="shared" ref="Q954" si="981">SUM(Q955:Q956)</f>
        <v>315000</v>
      </c>
    </row>
    <row r="955" spans="1:18" customFormat="1" ht="14.4" x14ac:dyDescent="0.3">
      <c r="A955" s="180">
        <v>3223</v>
      </c>
      <c r="B955" s="181" t="s">
        <v>19</v>
      </c>
      <c r="C955" s="182">
        <v>27000</v>
      </c>
      <c r="D955" s="182"/>
      <c r="E955" s="182"/>
      <c r="F955" s="182">
        <f t="shared" ref="F955:F961" si="982">C955-D955+E955</f>
        <v>27000</v>
      </c>
      <c r="G955" s="182">
        <v>27000</v>
      </c>
      <c r="H955" s="182">
        <v>27000</v>
      </c>
      <c r="I955" s="182">
        <v>27000</v>
      </c>
      <c r="J955" s="220"/>
      <c r="K955" s="233">
        <v>23000</v>
      </c>
      <c r="L955" s="220">
        <f>I955-J955+K955</f>
        <v>50000</v>
      </c>
      <c r="M955" s="182">
        <v>27000</v>
      </c>
      <c r="N955" s="182">
        <v>27000</v>
      </c>
      <c r="O955" s="182">
        <v>50000</v>
      </c>
      <c r="P955" s="182">
        <v>50000</v>
      </c>
      <c r="Q955" s="182">
        <v>50000</v>
      </c>
    </row>
    <row r="956" spans="1:18" customFormat="1" ht="14.4" x14ac:dyDescent="0.3">
      <c r="A956" s="180">
        <v>3224</v>
      </c>
      <c r="B956" s="204" t="s">
        <v>112</v>
      </c>
      <c r="C956" s="182">
        <v>265000</v>
      </c>
      <c r="D956" s="182"/>
      <c r="E956" s="182"/>
      <c r="F956" s="182">
        <f t="shared" si="982"/>
        <v>265000</v>
      </c>
      <c r="G956" s="182">
        <v>265000</v>
      </c>
      <c r="H956" s="182">
        <v>265000</v>
      </c>
      <c r="I956" s="182">
        <v>265000</v>
      </c>
      <c r="J956" s="220"/>
      <c r="K956" s="220"/>
      <c r="L956" s="220">
        <f>I956-J956+K956</f>
        <v>265000</v>
      </c>
      <c r="M956" s="182">
        <v>265000</v>
      </c>
      <c r="N956" s="182">
        <v>265000</v>
      </c>
      <c r="O956" s="182">
        <v>265000</v>
      </c>
      <c r="P956" s="182">
        <v>265000</v>
      </c>
      <c r="Q956" s="182">
        <v>265000</v>
      </c>
    </row>
    <row r="957" spans="1:18" customFormat="1" ht="14.4" x14ac:dyDescent="0.3">
      <c r="A957" s="177">
        <v>323</v>
      </c>
      <c r="B957" s="178" t="s">
        <v>23</v>
      </c>
      <c r="C957" s="179">
        <f t="shared" ref="C957:F957" si="983">SUM(C958:C959)</f>
        <v>557000</v>
      </c>
      <c r="D957" s="179">
        <f t="shared" si="983"/>
        <v>0</v>
      </c>
      <c r="E957" s="179">
        <f t="shared" si="983"/>
        <v>0</v>
      </c>
      <c r="F957" s="179">
        <f t="shared" si="983"/>
        <v>557000</v>
      </c>
      <c r="G957" s="179">
        <f t="shared" ref="G957:H957" si="984">SUM(G958:G959)</f>
        <v>557000</v>
      </c>
      <c r="H957" s="179">
        <f t="shared" si="984"/>
        <v>557000</v>
      </c>
      <c r="I957" s="179">
        <f t="shared" ref="I957:N957" si="985">SUM(I958:I959)</f>
        <v>557000</v>
      </c>
      <c r="J957" s="179">
        <f t="shared" si="985"/>
        <v>0</v>
      </c>
      <c r="K957" s="179">
        <f t="shared" si="985"/>
        <v>267000</v>
      </c>
      <c r="L957" s="179">
        <f t="shared" si="985"/>
        <v>824000</v>
      </c>
      <c r="M957" s="179">
        <f t="shared" si="985"/>
        <v>557000</v>
      </c>
      <c r="N957" s="179">
        <f t="shared" si="985"/>
        <v>557000</v>
      </c>
      <c r="O957" s="179">
        <f t="shared" ref="O957:P957" si="986">SUM(O958:O959)</f>
        <v>824000</v>
      </c>
      <c r="P957" s="179">
        <f t="shared" si="986"/>
        <v>824000</v>
      </c>
      <c r="Q957" s="179">
        <f t="shared" ref="Q957" si="987">SUM(Q958:Q959)</f>
        <v>824000</v>
      </c>
    </row>
    <row r="958" spans="1:18" customFormat="1" ht="14.4" x14ac:dyDescent="0.3">
      <c r="A958" s="180">
        <v>3232</v>
      </c>
      <c r="B958" s="181" t="s">
        <v>25</v>
      </c>
      <c r="C958" s="182">
        <v>530000</v>
      </c>
      <c r="D958" s="182"/>
      <c r="E958" s="182"/>
      <c r="F958" s="182">
        <f t="shared" si="982"/>
        <v>530000</v>
      </c>
      <c r="G958" s="182">
        <v>530000</v>
      </c>
      <c r="H958" s="182">
        <v>530000</v>
      </c>
      <c r="I958" s="182">
        <v>530000</v>
      </c>
      <c r="J958" s="220"/>
      <c r="K958" s="233">
        <v>267000</v>
      </c>
      <c r="L958" s="220">
        <f>I958-J958+K958</f>
        <v>797000</v>
      </c>
      <c r="M958" s="182">
        <v>530000</v>
      </c>
      <c r="N958" s="182">
        <v>530000</v>
      </c>
      <c r="O958" s="182">
        <v>797000</v>
      </c>
      <c r="P958" s="182">
        <v>797000</v>
      </c>
      <c r="Q958" s="182">
        <v>797000</v>
      </c>
    </row>
    <row r="959" spans="1:18" customFormat="1" ht="14.4" x14ac:dyDescent="0.3">
      <c r="A959" s="189">
        <v>3239</v>
      </c>
      <c r="B959" s="190" t="s">
        <v>31</v>
      </c>
      <c r="C959" s="182">
        <v>27000</v>
      </c>
      <c r="D959" s="182"/>
      <c r="E959" s="182"/>
      <c r="F959" s="182">
        <f t="shared" si="982"/>
        <v>27000</v>
      </c>
      <c r="G959" s="182">
        <v>27000</v>
      </c>
      <c r="H959" s="182">
        <v>27000</v>
      </c>
      <c r="I959" s="182">
        <v>27000</v>
      </c>
      <c r="J959" s="220"/>
      <c r="K959" s="220"/>
      <c r="L959" s="220">
        <f>I959-J959+K959</f>
        <v>27000</v>
      </c>
      <c r="M959" s="182">
        <v>27000</v>
      </c>
      <c r="N959" s="182">
        <v>27000</v>
      </c>
      <c r="O959" s="182">
        <v>27000</v>
      </c>
      <c r="P959" s="182">
        <v>27000</v>
      </c>
      <c r="Q959" s="182">
        <v>27000</v>
      </c>
    </row>
    <row r="960" spans="1:18" customFormat="1" ht="14.4" x14ac:dyDescent="0.3">
      <c r="A960" s="177">
        <v>324</v>
      </c>
      <c r="B960" s="178" t="s">
        <v>32</v>
      </c>
      <c r="C960" s="179">
        <f t="shared" ref="C960:Q960" si="988">SUM(C961)</f>
        <v>398000</v>
      </c>
      <c r="D960" s="179">
        <f t="shared" si="988"/>
        <v>0</v>
      </c>
      <c r="E960" s="179">
        <f t="shared" si="988"/>
        <v>0</v>
      </c>
      <c r="F960" s="179">
        <f t="shared" si="988"/>
        <v>398000</v>
      </c>
      <c r="G960" s="179">
        <f t="shared" si="988"/>
        <v>398000</v>
      </c>
      <c r="H960" s="179">
        <f t="shared" si="988"/>
        <v>398000</v>
      </c>
      <c r="I960" s="179">
        <f t="shared" si="988"/>
        <v>398000</v>
      </c>
      <c r="J960" s="179">
        <f t="shared" si="988"/>
        <v>0</v>
      </c>
      <c r="K960" s="179">
        <f t="shared" si="988"/>
        <v>0</v>
      </c>
      <c r="L960" s="179">
        <f t="shared" si="988"/>
        <v>398000</v>
      </c>
      <c r="M960" s="179">
        <f t="shared" si="988"/>
        <v>398000</v>
      </c>
      <c r="N960" s="179">
        <f t="shared" si="988"/>
        <v>398000</v>
      </c>
      <c r="O960" s="179">
        <f t="shared" si="988"/>
        <v>398000</v>
      </c>
      <c r="P960" s="179">
        <f t="shared" si="988"/>
        <v>398000</v>
      </c>
      <c r="Q960" s="179">
        <f t="shared" si="988"/>
        <v>398000</v>
      </c>
    </row>
    <row r="961" spans="1:17" customFormat="1" ht="14.4" x14ac:dyDescent="0.3">
      <c r="A961" s="180">
        <v>3241</v>
      </c>
      <c r="B961" s="181" t="s">
        <v>32</v>
      </c>
      <c r="C961" s="182">
        <v>398000</v>
      </c>
      <c r="D961" s="182"/>
      <c r="E961" s="182"/>
      <c r="F961" s="182">
        <f t="shared" si="982"/>
        <v>398000</v>
      </c>
      <c r="G961" s="182">
        <v>398000</v>
      </c>
      <c r="H961" s="182">
        <v>398000</v>
      </c>
      <c r="I961" s="182">
        <v>398000</v>
      </c>
      <c r="J961" s="220"/>
      <c r="K961" s="220"/>
      <c r="L961" s="220">
        <f>I961-J961+K961</f>
        <v>398000</v>
      </c>
      <c r="M961" s="182">
        <v>398000</v>
      </c>
      <c r="N961" s="182">
        <v>398000</v>
      </c>
      <c r="O961" s="182">
        <v>398000</v>
      </c>
      <c r="P961" s="182">
        <v>398000</v>
      </c>
      <c r="Q961" s="182">
        <v>398000</v>
      </c>
    </row>
    <row r="962" spans="1:17" customFormat="1" ht="34.5" customHeight="1" x14ac:dyDescent="0.3">
      <c r="A962" s="170" t="s">
        <v>443</v>
      </c>
      <c r="B962" s="171" t="s">
        <v>267</v>
      </c>
      <c r="C962" s="172">
        <f t="shared" ref="C962:Q962" si="989">SUM(C963)</f>
        <v>147000</v>
      </c>
      <c r="D962" s="172">
        <f t="shared" si="989"/>
        <v>53000</v>
      </c>
      <c r="E962" s="172">
        <f t="shared" si="989"/>
        <v>0</v>
      </c>
      <c r="F962" s="172">
        <f t="shared" si="989"/>
        <v>94000</v>
      </c>
      <c r="G962" s="172">
        <f t="shared" si="989"/>
        <v>147000</v>
      </c>
      <c r="H962" s="172">
        <f t="shared" si="989"/>
        <v>147000</v>
      </c>
      <c r="I962" s="172">
        <f t="shared" si="989"/>
        <v>147000</v>
      </c>
      <c r="J962" s="172">
        <f t="shared" si="989"/>
        <v>70000</v>
      </c>
      <c r="K962" s="172">
        <f t="shared" si="989"/>
        <v>6000</v>
      </c>
      <c r="L962" s="172">
        <f t="shared" si="989"/>
        <v>83000</v>
      </c>
      <c r="M962" s="172">
        <f t="shared" si="989"/>
        <v>147000</v>
      </c>
      <c r="N962" s="172">
        <f t="shared" si="989"/>
        <v>147000</v>
      </c>
      <c r="O962" s="172">
        <f t="shared" si="989"/>
        <v>147000</v>
      </c>
      <c r="P962" s="172">
        <f t="shared" si="989"/>
        <v>147000</v>
      </c>
      <c r="Q962" s="172">
        <f t="shared" si="989"/>
        <v>147000</v>
      </c>
    </row>
    <row r="963" spans="1:17" customFormat="1" ht="18" customHeight="1" x14ac:dyDescent="0.3">
      <c r="A963" s="721" t="s">
        <v>118</v>
      </c>
      <c r="B963" s="721"/>
      <c r="C963" s="173">
        <f>SUM(C964,C971)</f>
        <v>147000</v>
      </c>
      <c r="D963" s="173">
        <f t="shared" ref="D963:F963" si="990">SUM(D964,D971)</f>
        <v>53000</v>
      </c>
      <c r="E963" s="173">
        <f t="shared" si="990"/>
        <v>0</v>
      </c>
      <c r="F963" s="173">
        <f t="shared" si="990"/>
        <v>94000</v>
      </c>
      <c r="G963" s="173">
        <f>SUM(G964,G971)</f>
        <v>147000</v>
      </c>
      <c r="H963" s="173">
        <f>SUM(H964,H971)</f>
        <v>147000</v>
      </c>
      <c r="I963" s="173">
        <f t="shared" ref="I963:M963" si="991">SUM(I964,I971)</f>
        <v>147000</v>
      </c>
      <c r="J963" s="173">
        <f t="shared" si="991"/>
        <v>70000</v>
      </c>
      <c r="K963" s="173">
        <f t="shared" si="991"/>
        <v>6000</v>
      </c>
      <c r="L963" s="173">
        <f t="shared" si="991"/>
        <v>83000</v>
      </c>
      <c r="M963" s="173">
        <f t="shared" si="991"/>
        <v>147000</v>
      </c>
      <c r="N963" s="173">
        <f t="shared" ref="N963:O963" si="992">SUM(N964,N971)</f>
        <v>147000</v>
      </c>
      <c r="O963" s="173">
        <f t="shared" si="992"/>
        <v>147000</v>
      </c>
      <c r="P963" s="173">
        <f t="shared" ref="P963:Q963" si="993">SUM(P964,P971)</f>
        <v>147000</v>
      </c>
      <c r="Q963" s="173">
        <f t="shared" si="993"/>
        <v>147000</v>
      </c>
    </row>
    <row r="964" spans="1:17" customFormat="1" ht="18" customHeight="1" x14ac:dyDescent="0.3">
      <c r="A964" s="185" t="s">
        <v>315</v>
      </c>
      <c r="B964" s="186" t="s">
        <v>316</v>
      </c>
      <c r="C964" s="187">
        <f>SUM(C965)</f>
        <v>27000</v>
      </c>
      <c r="D964" s="187">
        <f t="shared" ref="D964:Q964" si="994">SUM(D965)</f>
        <v>0</v>
      </c>
      <c r="E964" s="187">
        <f t="shared" si="994"/>
        <v>0</v>
      </c>
      <c r="F964" s="187">
        <f t="shared" si="994"/>
        <v>27000</v>
      </c>
      <c r="G964" s="187">
        <f>SUM(G965)</f>
        <v>27000</v>
      </c>
      <c r="H964" s="187">
        <f>SUM(H965)</f>
        <v>27000</v>
      </c>
      <c r="I964" s="187">
        <f t="shared" si="994"/>
        <v>27000</v>
      </c>
      <c r="J964" s="187">
        <f t="shared" si="994"/>
        <v>0</v>
      </c>
      <c r="K964" s="187">
        <f t="shared" si="994"/>
        <v>0</v>
      </c>
      <c r="L964" s="187">
        <f t="shared" si="994"/>
        <v>27000</v>
      </c>
      <c r="M964" s="187">
        <f t="shared" si="994"/>
        <v>27000</v>
      </c>
      <c r="N964" s="187">
        <f t="shared" si="994"/>
        <v>27000</v>
      </c>
      <c r="O964" s="187">
        <f t="shared" si="994"/>
        <v>27000</v>
      </c>
      <c r="P964" s="187">
        <f t="shared" si="994"/>
        <v>27000</v>
      </c>
      <c r="Q964" s="187">
        <f t="shared" si="994"/>
        <v>27000</v>
      </c>
    </row>
    <row r="965" spans="1:17" customFormat="1" ht="14.4" x14ac:dyDescent="0.3">
      <c r="A965" s="177">
        <v>311</v>
      </c>
      <c r="B965" s="178" t="s">
        <v>4</v>
      </c>
      <c r="C965" s="179">
        <f t="shared" ref="C965" si="995">SUM(C966:C967)</f>
        <v>27000</v>
      </c>
      <c r="D965" s="179">
        <f t="shared" ref="D965:F965" si="996">SUM(D966:D967)</f>
        <v>0</v>
      </c>
      <c r="E965" s="179">
        <f t="shared" si="996"/>
        <v>0</v>
      </c>
      <c r="F965" s="179">
        <f t="shared" si="996"/>
        <v>27000</v>
      </c>
      <c r="G965" s="179">
        <f t="shared" ref="G965:H965" si="997">SUM(G966:G967)</f>
        <v>27000</v>
      </c>
      <c r="H965" s="179">
        <f t="shared" si="997"/>
        <v>27000</v>
      </c>
      <c r="I965" s="179">
        <f t="shared" ref="I965:M965" si="998">SUM(I966:I967)</f>
        <v>27000</v>
      </c>
      <c r="J965" s="179">
        <f t="shared" si="998"/>
        <v>0</v>
      </c>
      <c r="K965" s="179">
        <f t="shared" si="998"/>
        <v>0</v>
      </c>
      <c r="L965" s="179">
        <f t="shared" si="998"/>
        <v>27000</v>
      </c>
      <c r="M965" s="179">
        <f t="shared" si="998"/>
        <v>27000</v>
      </c>
      <c r="N965" s="179">
        <f t="shared" ref="N965:O965" si="999">SUM(N966:N967)</f>
        <v>27000</v>
      </c>
      <c r="O965" s="179">
        <f t="shared" si="999"/>
        <v>27000</v>
      </c>
      <c r="P965" s="179">
        <f t="shared" ref="P965:Q965" si="1000">SUM(P966:P967)</f>
        <v>27000</v>
      </c>
      <c r="Q965" s="179">
        <f t="shared" si="1000"/>
        <v>27000</v>
      </c>
    </row>
    <row r="966" spans="1:17" customFormat="1" ht="13.5" customHeight="1" x14ac:dyDescent="0.3">
      <c r="A966" s="180">
        <v>3111</v>
      </c>
      <c r="B966" s="181" t="s">
        <v>5</v>
      </c>
      <c r="C966" s="182">
        <v>27000</v>
      </c>
      <c r="D966" s="182"/>
      <c r="E966" s="182"/>
      <c r="F966" s="182">
        <f t="shared" ref="F966" si="1001">C966-D966+E966</f>
        <v>27000</v>
      </c>
      <c r="G966" s="182">
        <v>27000</v>
      </c>
      <c r="H966" s="182">
        <v>27000</v>
      </c>
      <c r="I966" s="182">
        <v>27000</v>
      </c>
      <c r="J966" s="220"/>
      <c r="K966" s="220"/>
      <c r="L966" s="220">
        <f>I966-J966+K966</f>
        <v>27000</v>
      </c>
      <c r="M966" s="182">
        <v>27000</v>
      </c>
      <c r="N966" s="182">
        <v>27000</v>
      </c>
      <c r="O966" s="182">
        <v>27000</v>
      </c>
      <c r="P966" s="182">
        <v>27000</v>
      </c>
      <c r="Q966" s="182">
        <v>27000</v>
      </c>
    </row>
    <row r="967" spans="1:17" customFormat="1" ht="14.4" hidden="1" x14ac:dyDescent="0.3">
      <c r="A967" s="180">
        <v>3113</v>
      </c>
      <c r="B967" s="181" t="s">
        <v>6</v>
      </c>
      <c r="C967" s="182"/>
      <c r="D967" s="182"/>
      <c r="E967" s="182"/>
      <c r="F967" s="182"/>
      <c r="G967" s="182"/>
      <c r="H967" s="182"/>
      <c r="I967" s="182"/>
      <c r="J967" s="220"/>
      <c r="K967" s="220"/>
      <c r="L967" s="220"/>
      <c r="M967" s="182"/>
      <c r="N967" s="182"/>
      <c r="O967" s="182"/>
      <c r="P967" s="182"/>
      <c r="Q967" s="182"/>
    </row>
    <row r="968" spans="1:17" customFormat="1" ht="14.4" hidden="1" x14ac:dyDescent="0.3">
      <c r="A968" s="177">
        <v>313</v>
      </c>
      <c r="B968" s="178" t="s">
        <v>8</v>
      </c>
      <c r="C968" s="179">
        <f t="shared" ref="C968:D968" si="1002">SUM(C969:C970)</f>
        <v>0</v>
      </c>
      <c r="D968" s="179">
        <f t="shared" si="1002"/>
        <v>0</v>
      </c>
      <c r="E968" s="179"/>
      <c r="F968" s="179"/>
      <c r="G968" s="179">
        <f t="shared" ref="G968:H968" si="1003">SUM(G969:G970)</f>
        <v>0</v>
      </c>
      <c r="H968" s="179">
        <f t="shared" si="1003"/>
        <v>0</v>
      </c>
      <c r="I968" s="179"/>
      <c r="J968" s="219"/>
      <c r="K968" s="219"/>
      <c r="L968" s="219"/>
      <c r="M968" s="179"/>
      <c r="N968" s="179"/>
      <c r="O968" s="179"/>
      <c r="P968" s="179"/>
      <c r="Q968" s="179"/>
    </row>
    <row r="969" spans="1:17" customFormat="1" ht="14.4" hidden="1" x14ac:dyDescent="0.3">
      <c r="A969" s="180">
        <v>3131</v>
      </c>
      <c r="B969" s="181" t="s">
        <v>9</v>
      </c>
      <c r="C969" s="182"/>
      <c r="D969" s="182"/>
      <c r="E969" s="182"/>
      <c r="F969" s="182"/>
      <c r="G969" s="182"/>
      <c r="H969" s="182"/>
      <c r="I969" s="182"/>
      <c r="J969" s="220"/>
      <c r="K969" s="220"/>
      <c r="L969" s="220"/>
      <c r="M969" s="182"/>
      <c r="N969" s="182"/>
      <c r="O969" s="182"/>
      <c r="P969" s="182"/>
      <c r="Q969" s="182"/>
    </row>
    <row r="970" spans="1:17" customFormat="1" ht="14.4" hidden="1" x14ac:dyDescent="0.3">
      <c r="A970" s="180">
        <v>3132</v>
      </c>
      <c r="B970" s="181" t="s">
        <v>10</v>
      </c>
      <c r="C970" s="182"/>
      <c r="D970" s="182"/>
      <c r="E970" s="182"/>
      <c r="F970" s="182"/>
      <c r="G970" s="182"/>
      <c r="H970" s="182"/>
      <c r="I970" s="182"/>
      <c r="J970" s="220"/>
      <c r="K970" s="220"/>
      <c r="L970" s="220"/>
      <c r="M970" s="182"/>
      <c r="N970" s="182"/>
      <c r="O970" s="182"/>
      <c r="P970" s="182"/>
      <c r="Q970" s="182"/>
    </row>
    <row r="971" spans="1:17" customFormat="1" ht="14.4" x14ac:dyDescent="0.3">
      <c r="A971" s="185" t="s">
        <v>317</v>
      </c>
      <c r="B971" s="185" t="s">
        <v>318</v>
      </c>
      <c r="C971" s="218">
        <f>SUM(C972,C976,C980,C986,C988)</f>
        <v>120000</v>
      </c>
      <c r="D971" s="218">
        <f t="shared" ref="D971:F971" si="1004">SUM(D972,D976,D980,D986,D988)</f>
        <v>53000</v>
      </c>
      <c r="E971" s="218">
        <f t="shared" si="1004"/>
        <v>0</v>
      </c>
      <c r="F971" s="218">
        <f t="shared" si="1004"/>
        <v>67000</v>
      </c>
      <c r="G971" s="218">
        <f>SUM(G972,G976,G980,G986,G988)</f>
        <v>120000</v>
      </c>
      <c r="H971" s="218">
        <f>SUM(H972,H976,H980,H986,H988)</f>
        <v>120000</v>
      </c>
      <c r="I971" s="218">
        <f t="shared" ref="I971:N971" si="1005">SUM(I972,I976,I980,I986,I988)</f>
        <v>120000</v>
      </c>
      <c r="J971" s="218">
        <f t="shared" si="1005"/>
        <v>70000</v>
      </c>
      <c r="K971" s="218">
        <f t="shared" si="1005"/>
        <v>6000</v>
      </c>
      <c r="L971" s="218">
        <f t="shared" si="1005"/>
        <v>56000</v>
      </c>
      <c r="M971" s="218">
        <f t="shared" si="1005"/>
        <v>120000</v>
      </c>
      <c r="N971" s="218">
        <f t="shared" si="1005"/>
        <v>120000</v>
      </c>
      <c r="O971" s="218">
        <f t="shared" ref="O971:P971" si="1006">SUM(O972,O976,O980,O986,O988)</f>
        <v>120000</v>
      </c>
      <c r="P971" s="218">
        <f t="shared" si="1006"/>
        <v>120000</v>
      </c>
      <c r="Q971" s="218">
        <f t="shared" ref="Q971" si="1007">SUM(Q972,Q976,Q980,Q986,Q988)</f>
        <v>120000</v>
      </c>
    </row>
    <row r="972" spans="1:17" customFormat="1" ht="14.4" x14ac:dyDescent="0.3">
      <c r="A972" s="177">
        <v>321</v>
      </c>
      <c r="B972" s="178" t="s">
        <v>12</v>
      </c>
      <c r="C972" s="179">
        <f t="shared" ref="C972:F972" si="1008">SUM(C973:C975)</f>
        <v>21000</v>
      </c>
      <c r="D972" s="179">
        <f t="shared" si="1008"/>
        <v>10000</v>
      </c>
      <c r="E972" s="179">
        <f t="shared" si="1008"/>
        <v>0</v>
      </c>
      <c r="F972" s="179">
        <f t="shared" si="1008"/>
        <v>11000</v>
      </c>
      <c r="G972" s="179">
        <f t="shared" ref="G972:H972" si="1009">SUM(G973:G975)</f>
        <v>21000</v>
      </c>
      <c r="H972" s="179">
        <f t="shared" si="1009"/>
        <v>21000</v>
      </c>
      <c r="I972" s="179">
        <f t="shared" ref="I972:N972" si="1010">SUM(I973:I975)</f>
        <v>21000</v>
      </c>
      <c r="J972" s="179">
        <f t="shared" si="1010"/>
        <v>0</v>
      </c>
      <c r="K972" s="179">
        <f t="shared" si="1010"/>
        <v>0</v>
      </c>
      <c r="L972" s="179">
        <f t="shared" si="1010"/>
        <v>21000</v>
      </c>
      <c r="M972" s="179">
        <f t="shared" si="1010"/>
        <v>21000</v>
      </c>
      <c r="N972" s="179">
        <f t="shared" si="1010"/>
        <v>21000</v>
      </c>
      <c r="O972" s="179">
        <f t="shared" ref="O972:P972" si="1011">SUM(O973:O975)</f>
        <v>21000</v>
      </c>
      <c r="P972" s="179">
        <f t="shared" si="1011"/>
        <v>21000</v>
      </c>
      <c r="Q972" s="179">
        <f t="shared" ref="Q972" si="1012">SUM(Q973:Q975)</f>
        <v>21000</v>
      </c>
    </row>
    <row r="973" spans="1:17" customFormat="1" ht="14.4" x14ac:dyDescent="0.3">
      <c r="A973" s="180">
        <v>3211</v>
      </c>
      <c r="B973" s="181" t="s">
        <v>13</v>
      </c>
      <c r="C973" s="182">
        <v>20000</v>
      </c>
      <c r="D973" s="182">
        <v>10000</v>
      </c>
      <c r="E973" s="182"/>
      <c r="F973" s="182">
        <f t="shared" ref="F973:F974" si="1013">C973-D973+E973</f>
        <v>10000</v>
      </c>
      <c r="G973" s="182">
        <v>20000</v>
      </c>
      <c r="H973" s="182">
        <v>20000</v>
      </c>
      <c r="I973" s="182">
        <v>20000</v>
      </c>
      <c r="J973" s="220"/>
      <c r="K973" s="220"/>
      <c r="L973" s="220">
        <f>I973-J973+K973</f>
        <v>20000</v>
      </c>
      <c r="M973" s="182">
        <v>20000</v>
      </c>
      <c r="N973" s="182">
        <v>20000</v>
      </c>
      <c r="O973" s="182">
        <v>20000</v>
      </c>
      <c r="P973" s="182">
        <v>20000</v>
      </c>
      <c r="Q973" s="182">
        <v>20000</v>
      </c>
    </row>
    <row r="974" spans="1:17" customFormat="1" ht="14.4" x14ac:dyDescent="0.3">
      <c r="A974" s="180">
        <v>3212</v>
      </c>
      <c r="B974" s="181" t="s">
        <v>14</v>
      </c>
      <c r="C974" s="182">
        <v>1000</v>
      </c>
      <c r="D974" s="182"/>
      <c r="E974" s="182"/>
      <c r="F974" s="182">
        <f t="shared" si="1013"/>
        <v>1000</v>
      </c>
      <c r="G974" s="182">
        <v>1000</v>
      </c>
      <c r="H974" s="182">
        <v>1000</v>
      </c>
      <c r="I974" s="182">
        <v>1000</v>
      </c>
      <c r="J974" s="220"/>
      <c r="K974" s="220"/>
      <c r="L974" s="220">
        <f>I974-J974+K974</f>
        <v>1000</v>
      </c>
      <c r="M974" s="182">
        <v>1000</v>
      </c>
      <c r="N974" s="182">
        <v>1000</v>
      </c>
      <c r="O974" s="182">
        <v>1000</v>
      </c>
      <c r="P974" s="182">
        <v>1000</v>
      </c>
      <c r="Q974" s="182">
        <v>1000</v>
      </c>
    </row>
    <row r="975" spans="1:17" customFormat="1" ht="14.4" hidden="1" x14ac:dyDescent="0.3">
      <c r="A975" s="180">
        <v>3213</v>
      </c>
      <c r="B975" s="181" t="s">
        <v>15</v>
      </c>
      <c r="C975" s="182"/>
      <c r="D975" s="182"/>
      <c r="E975" s="182"/>
      <c r="F975" s="182"/>
      <c r="G975" s="182"/>
      <c r="H975" s="182"/>
      <c r="I975" s="182"/>
      <c r="J975" s="220"/>
      <c r="K975" s="220"/>
      <c r="L975" s="220"/>
      <c r="M975" s="182"/>
      <c r="N975" s="182"/>
      <c r="O975" s="182"/>
      <c r="P975" s="182"/>
      <c r="Q975" s="182"/>
    </row>
    <row r="976" spans="1:17" customFormat="1" ht="14.4" x14ac:dyDescent="0.3">
      <c r="A976" s="177">
        <v>322</v>
      </c>
      <c r="B976" s="178" t="s">
        <v>16</v>
      </c>
      <c r="C976" s="179">
        <f t="shared" ref="C976:F976" si="1014">SUM(C977:C979)</f>
        <v>1000</v>
      </c>
      <c r="D976" s="179">
        <f t="shared" si="1014"/>
        <v>0</v>
      </c>
      <c r="E976" s="179">
        <f t="shared" si="1014"/>
        <v>0</v>
      </c>
      <c r="F976" s="179">
        <f t="shared" si="1014"/>
        <v>1000</v>
      </c>
      <c r="G976" s="179">
        <f t="shared" ref="G976:H976" si="1015">SUM(G977:G979)</f>
        <v>1000</v>
      </c>
      <c r="H976" s="179">
        <f t="shared" si="1015"/>
        <v>1000</v>
      </c>
      <c r="I976" s="179">
        <f t="shared" ref="I976:M976" si="1016">SUM(I977:I979)</f>
        <v>1000</v>
      </c>
      <c r="J976" s="179">
        <f t="shared" si="1016"/>
        <v>0</v>
      </c>
      <c r="K976" s="179">
        <f t="shared" si="1016"/>
        <v>0</v>
      </c>
      <c r="L976" s="179">
        <f t="shared" si="1016"/>
        <v>1000</v>
      </c>
      <c r="M976" s="179">
        <f t="shared" si="1016"/>
        <v>1000</v>
      </c>
      <c r="N976" s="179">
        <f t="shared" ref="N976:O976" si="1017">SUM(N977:N979)</f>
        <v>1000</v>
      </c>
      <c r="O976" s="179">
        <f t="shared" si="1017"/>
        <v>1000</v>
      </c>
      <c r="P976" s="179">
        <f t="shared" ref="P976:Q976" si="1018">SUM(P977:P979)</f>
        <v>1000</v>
      </c>
      <c r="Q976" s="179">
        <f t="shared" si="1018"/>
        <v>1000</v>
      </c>
    </row>
    <row r="977" spans="1:23" customFormat="1" ht="14.4" x14ac:dyDescent="0.3">
      <c r="A977" s="180">
        <v>3221</v>
      </c>
      <c r="B977" s="181" t="s">
        <v>17</v>
      </c>
      <c r="C977" s="182">
        <v>1000</v>
      </c>
      <c r="D977" s="182"/>
      <c r="E977" s="182"/>
      <c r="F977" s="182">
        <f t="shared" ref="F977" si="1019">C977-D977+E977</f>
        <v>1000</v>
      </c>
      <c r="G977" s="182">
        <v>1000</v>
      </c>
      <c r="H977" s="182">
        <v>1000</v>
      </c>
      <c r="I977" s="182">
        <v>1000</v>
      </c>
      <c r="J977" s="220"/>
      <c r="K977" s="220"/>
      <c r="L977" s="220">
        <f>I977-J977+K977</f>
        <v>1000</v>
      </c>
      <c r="M977" s="182">
        <v>1000</v>
      </c>
      <c r="N977" s="182">
        <v>1000</v>
      </c>
      <c r="O977" s="182">
        <v>1000</v>
      </c>
      <c r="P977" s="182">
        <v>1000</v>
      </c>
      <c r="Q977" s="182">
        <v>1000</v>
      </c>
    </row>
    <row r="978" spans="1:23" customFormat="1" ht="14.4" hidden="1" x14ac:dyDescent="0.3">
      <c r="A978" s="180">
        <v>3223</v>
      </c>
      <c r="B978" s="181" t="s">
        <v>19</v>
      </c>
      <c r="C978" s="182"/>
      <c r="D978" s="182"/>
      <c r="E978" s="182"/>
      <c r="F978" s="182"/>
      <c r="G978" s="182"/>
      <c r="H978" s="182"/>
      <c r="I978" s="182"/>
      <c r="J978" s="220"/>
      <c r="K978" s="220"/>
      <c r="L978" s="220"/>
      <c r="M978" s="182"/>
      <c r="N978" s="182"/>
      <c r="O978" s="182"/>
      <c r="P978" s="182"/>
      <c r="Q978" s="182"/>
    </row>
    <row r="979" spans="1:23" customFormat="1" ht="14.4" hidden="1" x14ac:dyDescent="0.3">
      <c r="A979" s="180">
        <v>3225</v>
      </c>
      <c r="B979" s="181" t="s">
        <v>21</v>
      </c>
      <c r="C979" s="182"/>
      <c r="D979" s="182"/>
      <c r="E979" s="182"/>
      <c r="F979" s="182"/>
      <c r="G979" s="182"/>
      <c r="H979" s="182"/>
      <c r="I979" s="182"/>
      <c r="J979" s="220"/>
      <c r="K979" s="220"/>
      <c r="L979" s="220"/>
      <c r="M979" s="182"/>
      <c r="N979" s="182"/>
      <c r="O979" s="182"/>
      <c r="P979" s="182"/>
      <c r="Q979" s="182"/>
    </row>
    <row r="980" spans="1:23" customFormat="1" ht="14.4" x14ac:dyDescent="0.3">
      <c r="A980" s="177">
        <v>323</v>
      </c>
      <c r="B980" s="178" t="s">
        <v>23</v>
      </c>
      <c r="C980" s="179">
        <f t="shared" ref="C980:F980" si="1020">SUM(C981:C985)</f>
        <v>86000</v>
      </c>
      <c r="D980" s="179">
        <f t="shared" si="1020"/>
        <v>36000</v>
      </c>
      <c r="E980" s="179">
        <f t="shared" si="1020"/>
        <v>0</v>
      </c>
      <c r="F980" s="179">
        <f t="shared" si="1020"/>
        <v>50000</v>
      </c>
      <c r="G980" s="179">
        <f t="shared" ref="G980:H980" si="1021">SUM(G981:G985)</f>
        <v>86000</v>
      </c>
      <c r="H980" s="179">
        <f t="shared" si="1021"/>
        <v>86000</v>
      </c>
      <c r="I980" s="179">
        <f t="shared" ref="I980:N980" si="1022">SUM(I981:I985)</f>
        <v>86000</v>
      </c>
      <c r="J980" s="179">
        <f t="shared" si="1022"/>
        <v>70000</v>
      </c>
      <c r="K980" s="179">
        <f t="shared" si="1022"/>
        <v>6000</v>
      </c>
      <c r="L980" s="179">
        <f t="shared" si="1022"/>
        <v>22000</v>
      </c>
      <c r="M980" s="179">
        <f t="shared" si="1022"/>
        <v>86000</v>
      </c>
      <c r="N980" s="179">
        <f t="shared" si="1022"/>
        <v>86000</v>
      </c>
      <c r="O980" s="179">
        <f t="shared" ref="O980:P980" si="1023">SUM(O981:O985)</f>
        <v>86000</v>
      </c>
      <c r="P980" s="179">
        <f t="shared" si="1023"/>
        <v>86000</v>
      </c>
      <c r="Q980" s="179">
        <f t="shared" ref="Q980" si="1024">SUM(Q981:Q985)</f>
        <v>86000</v>
      </c>
    </row>
    <row r="981" spans="1:23" customFormat="1" ht="14.4" hidden="1" x14ac:dyDescent="0.3">
      <c r="A981" s="180">
        <v>3231</v>
      </c>
      <c r="B981" s="181" t="s">
        <v>24</v>
      </c>
      <c r="C981" s="182"/>
      <c r="D981" s="182"/>
      <c r="E981" s="182"/>
      <c r="F981" s="182"/>
      <c r="G981" s="182"/>
      <c r="H981" s="182"/>
      <c r="I981" s="182"/>
      <c r="J981" s="220"/>
      <c r="K981" s="220"/>
      <c r="L981" s="220"/>
      <c r="M981" s="182"/>
      <c r="N981" s="182"/>
      <c r="O981" s="182"/>
      <c r="P981" s="182"/>
      <c r="Q981" s="182"/>
    </row>
    <row r="982" spans="1:23" customFormat="1" ht="14.4" x14ac:dyDescent="0.3">
      <c r="A982" s="180">
        <v>3233</v>
      </c>
      <c r="B982" s="181" t="s">
        <v>26</v>
      </c>
      <c r="C982" s="182">
        <v>4000</v>
      </c>
      <c r="D982" s="182">
        <v>3000</v>
      </c>
      <c r="E982" s="182"/>
      <c r="F982" s="182">
        <f t="shared" ref="F982:F989" si="1025">C982-D982+E982</f>
        <v>1000</v>
      </c>
      <c r="G982" s="182">
        <v>4000</v>
      </c>
      <c r="H982" s="182">
        <v>4000</v>
      </c>
      <c r="I982" s="182">
        <v>4000</v>
      </c>
      <c r="J982" s="220"/>
      <c r="K982" s="220"/>
      <c r="L982" s="220">
        <f>I982-J982+K982</f>
        <v>4000</v>
      </c>
      <c r="M982" s="182">
        <v>4000</v>
      </c>
      <c r="N982" s="182">
        <v>4000</v>
      </c>
      <c r="O982" s="182">
        <v>4000</v>
      </c>
      <c r="P982" s="182">
        <v>4000</v>
      </c>
      <c r="Q982" s="182">
        <v>4000</v>
      </c>
    </row>
    <row r="983" spans="1:23" customFormat="1" ht="14.4" x14ac:dyDescent="0.3">
      <c r="A983" s="180">
        <v>3235</v>
      </c>
      <c r="B983" s="181" t="s">
        <v>28</v>
      </c>
      <c r="C983" s="182">
        <v>7000</v>
      </c>
      <c r="D983" s="182">
        <v>6000</v>
      </c>
      <c r="E983" s="182"/>
      <c r="F983" s="182">
        <f t="shared" si="1025"/>
        <v>1000</v>
      </c>
      <c r="G983" s="182">
        <v>7000</v>
      </c>
      <c r="H983" s="182">
        <v>7000</v>
      </c>
      <c r="I983" s="182">
        <v>7000</v>
      </c>
      <c r="J983" s="220"/>
      <c r="K983" s="220"/>
      <c r="L983" s="220">
        <f>I983-J983+K983</f>
        <v>7000</v>
      </c>
      <c r="M983" s="182">
        <v>7000</v>
      </c>
      <c r="N983" s="182">
        <v>7000</v>
      </c>
      <c r="O983" s="182">
        <v>7000</v>
      </c>
      <c r="P983" s="182">
        <v>7000</v>
      </c>
      <c r="Q983" s="182">
        <v>7000</v>
      </c>
    </row>
    <row r="984" spans="1:23" customFormat="1" ht="14.4" x14ac:dyDescent="0.3">
      <c r="A984" s="180">
        <v>3237</v>
      </c>
      <c r="B984" s="181" t="s">
        <v>30</v>
      </c>
      <c r="C984" s="182">
        <v>65000</v>
      </c>
      <c r="D984" s="182">
        <v>25000</v>
      </c>
      <c r="E984" s="182"/>
      <c r="F984" s="182">
        <f t="shared" si="1025"/>
        <v>40000</v>
      </c>
      <c r="G984" s="182">
        <v>71000</v>
      </c>
      <c r="H984" s="182">
        <v>71000</v>
      </c>
      <c r="I984" s="182">
        <v>71000</v>
      </c>
      <c r="J984" s="220">
        <v>70000</v>
      </c>
      <c r="K984" s="220"/>
      <c r="L984" s="220">
        <f>I984-J984+K984</f>
        <v>1000</v>
      </c>
      <c r="M984" s="182">
        <v>71000</v>
      </c>
      <c r="N984" s="182">
        <v>71000</v>
      </c>
      <c r="O984" s="182">
        <v>71000</v>
      </c>
      <c r="P984" s="182">
        <v>71000</v>
      </c>
      <c r="Q984" s="182">
        <v>71000</v>
      </c>
    </row>
    <row r="985" spans="1:23" customFormat="1" ht="14.4" x14ac:dyDescent="0.3">
      <c r="A985" s="180">
        <v>3239</v>
      </c>
      <c r="B985" s="181" t="s">
        <v>31</v>
      </c>
      <c r="C985" s="182">
        <v>10000</v>
      </c>
      <c r="D985" s="182">
        <v>2000</v>
      </c>
      <c r="E985" s="182"/>
      <c r="F985" s="182">
        <f t="shared" si="1025"/>
        <v>8000</v>
      </c>
      <c r="G985" s="182">
        <v>4000</v>
      </c>
      <c r="H985" s="182">
        <v>4000</v>
      </c>
      <c r="I985" s="182">
        <v>4000</v>
      </c>
      <c r="J985" s="220"/>
      <c r="K985" s="220">
        <v>6000</v>
      </c>
      <c r="L985" s="220">
        <f>I985-J985+K985</f>
        <v>10000</v>
      </c>
      <c r="M985" s="182">
        <v>4000</v>
      </c>
      <c r="N985" s="182">
        <v>4000</v>
      </c>
      <c r="O985" s="182">
        <v>4000</v>
      </c>
      <c r="P985" s="182">
        <v>4000</v>
      </c>
      <c r="Q985" s="182">
        <v>4000</v>
      </c>
    </row>
    <row r="986" spans="1:23" customFormat="1" ht="14.4" x14ac:dyDescent="0.3">
      <c r="A986" s="188" t="s">
        <v>168</v>
      </c>
      <c r="B986" s="192" t="s">
        <v>32</v>
      </c>
      <c r="C986" s="179">
        <f t="shared" ref="C986:Q986" si="1026">SUM(C987)</f>
        <v>5000</v>
      </c>
      <c r="D986" s="179">
        <f t="shared" si="1026"/>
        <v>1000</v>
      </c>
      <c r="E986" s="179">
        <f t="shared" si="1026"/>
        <v>0</v>
      </c>
      <c r="F986" s="179">
        <f t="shared" si="1026"/>
        <v>4000</v>
      </c>
      <c r="G986" s="179">
        <f t="shared" si="1026"/>
        <v>5000</v>
      </c>
      <c r="H986" s="179">
        <f t="shared" si="1026"/>
        <v>5000</v>
      </c>
      <c r="I986" s="179">
        <f t="shared" si="1026"/>
        <v>5000</v>
      </c>
      <c r="J986" s="179">
        <f t="shared" si="1026"/>
        <v>0</v>
      </c>
      <c r="K986" s="179">
        <f t="shared" si="1026"/>
        <v>0</v>
      </c>
      <c r="L986" s="179">
        <f t="shared" si="1026"/>
        <v>5000</v>
      </c>
      <c r="M986" s="179">
        <f t="shared" si="1026"/>
        <v>5000</v>
      </c>
      <c r="N986" s="179">
        <f t="shared" si="1026"/>
        <v>5000</v>
      </c>
      <c r="O986" s="179">
        <f t="shared" si="1026"/>
        <v>5000</v>
      </c>
      <c r="P986" s="179">
        <f t="shared" si="1026"/>
        <v>5000</v>
      </c>
      <c r="Q986" s="179">
        <f t="shared" si="1026"/>
        <v>5000</v>
      </c>
    </row>
    <row r="987" spans="1:23" customFormat="1" ht="14.4" x14ac:dyDescent="0.3">
      <c r="A987" s="189" t="s">
        <v>169</v>
      </c>
      <c r="B987" s="190" t="s">
        <v>32</v>
      </c>
      <c r="C987" s="182">
        <v>5000</v>
      </c>
      <c r="D987" s="182">
        <v>1000</v>
      </c>
      <c r="E987" s="182"/>
      <c r="F987" s="182">
        <f t="shared" si="1025"/>
        <v>4000</v>
      </c>
      <c r="G987" s="182">
        <v>5000</v>
      </c>
      <c r="H987" s="182">
        <v>5000</v>
      </c>
      <c r="I987" s="182">
        <v>5000</v>
      </c>
      <c r="J987" s="220"/>
      <c r="K987" s="220"/>
      <c r="L987" s="220">
        <f>I987-J987+K987</f>
        <v>5000</v>
      </c>
      <c r="M987" s="182">
        <v>5000</v>
      </c>
      <c r="N987" s="182">
        <v>5000</v>
      </c>
      <c r="O987" s="182">
        <v>5000</v>
      </c>
      <c r="P987" s="182">
        <v>5000</v>
      </c>
      <c r="Q987" s="182">
        <v>5000</v>
      </c>
    </row>
    <row r="988" spans="1:23" customFormat="1" ht="14.4" x14ac:dyDescent="0.3">
      <c r="A988" s="188">
        <v>329</v>
      </c>
      <c r="B988" s="178" t="s">
        <v>33</v>
      </c>
      <c r="C988" s="179">
        <f t="shared" ref="C988:Q988" si="1027">SUM(C989)</f>
        <v>7000</v>
      </c>
      <c r="D988" s="179">
        <f t="shared" si="1027"/>
        <v>6000</v>
      </c>
      <c r="E988" s="179">
        <f t="shared" si="1027"/>
        <v>0</v>
      </c>
      <c r="F988" s="179">
        <f t="shared" si="1027"/>
        <v>1000</v>
      </c>
      <c r="G988" s="179">
        <f t="shared" si="1027"/>
        <v>7000</v>
      </c>
      <c r="H988" s="179">
        <f t="shared" si="1027"/>
        <v>7000</v>
      </c>
      <c r="I988" s="179">
        <f t="shared" si="1027"/>
        <v>7000</v>
      </c>
      <c r="J988" s="179">
        <f t="shared" si="1027"/>
        <v>0</v>
      </c>
      <c r="K988" s="179">
        <f t="shared" si="1027"/>
        <v>0</v>
      </c>
      <c r="L988" s="179">
        <f t="shared" si="1027"/>
        <v>7000</v>
      </c>
      <c r="M988" s="179">
        <f t="shared" si="1027"/>
        <v>7000</v>
      </c>
      <c r="N988" s="179">
        <f t="shared" si="1027"/>
        <v>7000</v>
      </c>
      <c r="O988" s="179">
        <f t="shared" si="1027"/>
        <v>7000</v>
      </c>
      <c r="P988" s="179">
        <f t="shared" si="1027"/>
        <v>7000</v>
      </c>
      <c r="Q988" s="179">
        <f t="shared" si="1027"/>
        <v>7000</v>
      </c>
    </row>
    <row r="989" spans="1:23" customFormat="1" ht="14.4" x14ac:dyDescent="0.3">
      <c r="A989" s="189">
        <v>3293</v>
      </c>
      <c r="B989" s="190" t="s">
        <v>36</v>
      </c>
      <c r="C989" s="182">
        <v>7000</v>
      </c>
      <c r="D989" s="182">
        <v>6000</v>
      </c>
      <c r="E989" s="182"/>
      <c r="F989" s="182">
        <f t="shared" si="1025"/>
        <v>1000</v>
      </c>
      <c r="G989" s="182">
        <v>7000</v>
      </c>
      <c r="H989" s="182">
        <v>7000</v>
      </c>
      <c r="I989" s="182">
        <v>7000</v>
      </c>
      <c r="J989" s="220"/>
      <c r="K989" s="220"/>
      <c r="L989" s="220">
        <f>I989-J989+K989</f>
        <v>7000</v>
      </c>
      <c r="M989" s="182">
        <v>7000</v>
      </c>
      <c r="N989" s="182">
        <v>7000</v>
      </c>
      <c r="O989" s="182">
        <v>7000</v>
      </c>
      <c r="P989" s="182">
        <v>7000</v>
      </c>
      <c r="Q989" s="182">
        <v>7000</v>
      </c>
    </row>
    <row r="990" spans="1:23" customFormat="1" ht="26.4" x14ac:dyDescent="0.3">
      <c r="A990" s="242" t="s">
        <v>349</v>
      </c>
      <c r="B990" s="231" t="s">
        <v>351</v>
      </c>
      <c r="C990" s="172">
        <f t="shared" ref="C990:Q990" si="1028">SUM(C991)</f>
        <v>7981600</v>
      </c>
      <c r="D990" s="172">
        <f t="shared" si="1028"/>
        <v>6913400</v>
      </c>
      <c r="E990" s="172">
        <f t="shared" si="1028"/>
        <v>0</v>
      </c>
      <c r="F990" s="172">
        <f t="shared" si="1028"/>
        <v>1068200</v>
      </c>
      <c r="G990" s="172">
        <f t="shared" si="1028"/>
        <v>128000</v>
      </c>
      <c r="H990" s="172">
        <f t="shared" si="1028"/>
        <v>128000</v>
      </c>
      <c r="I990" s="172">
        <f t="shared" si="1028"/>
        <v>2104000</v>
      </c>
      <c r="J990" s="172">
        <f t="shared" si="1028"/>
        <v>1700000</v>
      </c>
      <c r="K990" s="172">
        <f t="shared" si="1028"/>
        <v>390000</v>
      </c>
      <c r="L990" s="172">
        <f t="shared" si="1028"/>
        <v>794000</v>
      </c>
      <c r="M990" s="172">
        <f t="shared" si="1028"/>
        <v>137000</v>
      </c>
      <c r="N990" s="172">
        <f t="shared" si="1028"/>
        <v>55000</v>
      </c>
      <c r="O990" s="172">
        <f t="shared" si="1028"/>
        <v>6332000</v>
      </c>
      <c r="P990" s="172">
        <f t="shared" si="1028"/>
        <v>61000</v>
      </c>
      <c r="Q990" s="172">
        <f t="shared" si="1028"/>
        <v>0</v>
      </c>
    </row>
    <row r="991" spans="1:23" customFormat="1" ht="14.4" x14ac:dyDescent="0.3">
      <c r="A991" s="721" t="s">
        <v>118</v>
      </c>
      <c r="B991" s="721"/>
      <c r="C991" s="173">
        <f>SUM(C992,C995,C1007,C1003)</f>
        <v>7981600</v>
      </c>
      <c r="D991" s="173">
        <f t="shared" ref="D991:F991" si="1029">SUM(D992,D995,D1007,D1003)</f>
        <v>6913400</v>
      </c>
      <c r="E991" s="173">
        <f t="shared" si="1029"/>
        <v>0</v>
      </c>
      <c r="F991" s="173">
        <f t="shared" si="1029"/>
        <v>1068200</v>
      </c>
      <c r="G991" s="173">
        <f t="shared" ref="G991:H991" si="1030">SUM(G992,G995,G1007,G1003)</f>
        <v>128000</v>
      </c>
      <c r="H991" s="173">
        <f t="shared" si="1030"/>
        <v>128000</v>
      </c>
      <c r="I991" s="173">
        <f t="shared" ref="I991:N991" si="1031">SUM(I992,I995,I1007,I1003)</f>
        <v>2104000</v>
      </c>
      <c r="J991" s="173">
        <f t="shared" si="1031"/>
        <v>1700000</v>
      </c>
      <c r="K991" s="173">
        <f t="shared" si="1031"/>
        <v>390000</v>
      </c>
      <c r="L991" s="173">
        <f t="shared" si="1031"/>
        <v>794000</v>
      </c>
      <c r="M991" s="173">
        <f t="shared" si="1031"/>
        <v>137000</v>
      </c>
      <c r="N991" s="173">
        <f t="shared" si="1031"/>
        <v>55000</v>
      </c>
      <c r="O991" s="173">
        <f t="shared" ref="O991:P991" si="1032">SUM(O992,O995,O1007,O1003)</f>
        <v>6332000</v>
      </c>
      <c r="P991" s="173">
        <f t="shared" si="1032"/>
        <v>61000</v>
      </c>
      <c r="Q991" s="173">
        <f t="shared" ref="Q991" si="1033">SUM(Q992,Q995,Q1007,Q1003)</f>
        <v>0</v>
      </c>
      <c r="W991" s="433"/>
    </row>
    <row r="992" spans="1:23" customFormat="1" ht="14.4" x14ac:dyDescent="0.3">
      <c r="A992" s="185" t="s">
        <v>315</v>
      </c>
      <c r="B992" s="186" t="s">
        <v>316</v>
      </c>
      <c r="C992" s="187">
        <f>SUM(C993)</f>
        <v>90000</v>
      </c>
      <c r="D992" s="187">
        <f t="shared" ref="D992:Q993" si="1034">SUM(D993)</f>
        <v>10000</v>
      </c>
      <c r="E992" s="187">
        <f t="shared" si="1034"/>
        <v>0</v>
      </c>
      <c r="F992" s="187">
        <f t="shared" si="1034"/>
        <v>80000</v>
      </c>
      <c r="G992" s="187">
        <f t="shared" si="1034"/>
        <v>90000</v>
      </c>
      <c r="H992" s="187">
        <f t="shared" si="1034"/>
        <v>90000</v>
      </c>
      <c r="I992" s="187">
        <f t="shared" si="1034"/>
        <v>90000</v>
      </c>
      <c r="J992" s="187">
        <f t="shared" si="1034"/>
        <v>0</v>
      </c>
      <c r="K992" s="187">
        <f t="shared" si="1034"/>
        <v>0</v>
      </c>
      <c r="L992" s="187">
        <f t="shared" si="1034"/>
        <v>90000</v>
      </c>
      <c r="M992" s="187">
        <f t="shared" si="1034"/>
        <v>90000</v>
      </c>
      <c r="N992" s="187">
        <f t="shared" si="1034"/>
        <v>45000</v>
      </c>
      <c r="O992" s="187">
        <f t="shared" si="1034"/>
        <v>90000</v>
      </c>
      <c r="P992" s="187">
        <f t="shared" si="1034"/>
        <v>45000</v>
      </c>
      <c r="Q992" s="187">
        <f t="shared" si="1034"/>
        <v>0</v>
      </c>
    </row>
    <row r="993" spans="1:17" customFormat="1" ht="14.4" x14ac:dyDescent="0.3">
      <c r="A993" s="264">
        <v>311</v>
      </c>
      <c r="B993" s="178" t="s">
        <v>4</v>
      </c>
      <c r="C993" s="194">
        <f>SUM(C994)</f>
        <v>90000</v>
      </c>
      <c r="D993" s="194">
        <f t="shared" si="1034"/>
        <v>10000</v>
      </c>
      <c r="E993" s="194">
        <f t="shared" si="1034"/>
        <v>0</v>
      </c>
      <c r="F993" s="194">
        <f t="shared" si="1034"/>
        <v>80000</v>
      </c>
      <c r="G993" s="194">
        <f t="shared" si="1034"/>
        <v>90000</v>
      </c>
      <c r="H993" s="194">
        <f t="shared" si="1034"/>
        <v>90000</v>
      </c>
      <c r="I993" s="194">
        <f t="shared" si="1034"/>
        <v>90000</v>
      </c>
      <c r="J993" s="194">
        <f t="shared" si="1034"/>
        <v>0</v>
      </c>
      <c r="K993" s="194">
        <f t="shared" si="1034"/>
        <v>0</v>
      </c>
      <c r="L993" s="194">
        <f t="shared" si="1034"/>
        <v>90000</v>
      </c>
      <c r="M993" s="194">
        <f t="shared" si="1034"/>
        <v>90000</v>
      </c>
      <c r="N993" s="194">
        <f t="shared" si="1034"/>
        <v>45000</v>
      </c>
      <c r="O993" s="194">
        <f t="shared" si="1034"/>
        <v>90000</v>
      </c>
      <c r="P993" s="194">
        <f t="shared" si="1034"/>
        <v>45000</v>
      </c>
      <c r="Q993" s="194">
        <f t="shared" si="1034"/>
        <v>0</v>
      </c>
    </row>
    <row r="994" spans="1:17" customFormat="1" ht="14.4" x14ac:dyDescent="0.3">
      <c r="A994" s="200">
        <v>3111</v>
      </c>
      <c r="B994" s="181" t="s">
        <v>5</v>
      </c>
      <c r="C994" s="195">
        <v>90000</v>
      </c>
      <c r="D994" s="195">
        <v>10000</v>
      </c>
      <c r="E994" s="195"/>
      <c r="F994" s="182">
        <f t="shared" ref="F994" si="1035">C994-D994+E994</f>
        <v>80000</v>
      </c>
      <c r="G994" s="195">
        <v>90000</v>
      </c>
      <c r="H994" s="195">
        <v>90000</v>
      </c>
      <c r="I994" s="195">
        <v>90000</v>
      </c>
      <c r="J994" s="297"/>
      <c r="K994" s="297"/>
      <c r="L994" s="220">
        <f>I994-J994+K994</f>
        <v>90000</v>
      </c>
      <c r="M994" s="195">
        <v>90000</v>
      </c>
      <c r="N994" s="195">
        <v>45000</v>
      </c>
      <c r="O994" s="195">
        <v>90000</v>
      </c>
      <c r="P994" s="195">
        <v>45000</v>
      </c>
      <c r="Q994" s="195"/>
    </row>
    <row r="995" spans="1:17" customFormat="1" ht="14.4" x14ac:dyDescent="0.3">
      <c r="A995" s="185" t="s">
        <v>317</v>
      </c>
      <c r="B995" s="185" t="s">
        <v>318</v>
      </c>
      <c r="C995" s="218">
        <f>SUM(C996,C999,C1001)</f>
        <v>6945400</v>
      </c>
      <c r="D995" s="218">
        <f t="shared" ref="D995" si="1036">SUM(D996,D999,D1001)</f>
        <v>6903400</v>
      </c>
      <c r="E995" s="218">
        <f t="shared" ref="E995:N995" si="1037">SUM(E996,E999,E1001)</f>
        <v>0</v>
      </c>
      <c r="F995" s="218">
        <f t="shared" si="1037"/>
        <v>42000</v>
      </c>
      <c r="G995" s="218">
        <f t="shared" si="1037"/>
        <v>38000</v>
      </c>
      <c r="H995" s="218">
        <f t="shared" si="1037"/>
        <v>38000</v>
      </c>
      <c r="I995" s="218">
        <f t="shared" si="1037"/>
        <v>1947000</v>
      </c>
      <c r="J995" s="218">
        <f t="shared" si="1037"/>
        <v>1700000</v>
      </c>
      <c r="K995" s="218">
        <f t="shared" si="1037"/>
        <v>0</v>
      </c>
      <c r="L995" s="218">
        <f t="shared" si="1037"/>
        <v>247000</v>
      </c>
      <c r="M995" s="218">
        <f t="shared" si="1037"/>
        <v>47000</v>
      </c>
      <c r="N995" s="218">
        <f t="shared" si="1037"/>
        <v>10000</v>
      </c>
      <c r="O995" s="218">
        <f t="shared" ref="O995:P995" si="1038">SUM(O996,O999,O1001)</f>
        <v>6042000</v>
      </c>
      <c r="P995" s="218">
        <f t="shared" si="1038"/>
        <v>16000</v>
      </c>
      <c r="Q995" s="218">
        <f t="shared" ref="Q995" si="1039">SUM(Q996,Q999,Q1001)</f>
        <v>0</v>
      </c>
    </row>
    <row r="996" spans="1:17" customFormat="1" ht="14.4" x14ac:dyDescent="0.3">
      <c r="A996" s="246" t="s">
        <v>153</v>
      </c>
      <c r="B996" s="247" t="s">
        <v>16</v>
      </c>
      <c r="C996" s="179">
        <f>SUM(C997,C998)</f>
        <v>6900000</v>
      </c>
      <c r="D996" s="179">
        <f t="shared" ref="D996:F996" si="1040">SUM(D997,D998)</f>
        <v>6900000</v>
      </c>
      <c r="E996" s="179">
        <f t="shared" si="1040"/>
        <v>0</v>
      </c>
      <c r="F996" s="179">
        <f t="shared" si="1040"/>
        <v>0</v>
      </c>
      <c r="G996" s="179">
        <f t="shared" ref="G996:N996" si="1041">SUM(G997:G998)</f>
        <v>0</v>
      </c>
      <c r="H996" s="179">
        <f t="shared" si="1041"/>
        <v>0</v>
      </c>
      <c r="I996" s="179">
        <f t="shared" si="1041"/>
        <v>1900000</v>
      </c>
      <c r="J996" s="179">
        <f t="shared" si="1041"/>
        <v>1700000</v>
      </c>
      <c r="K996" s="179">
        <f t="shared" si="1041"/>
        <v>0</v>
      </c>
      <c r="L996" s="179">
        <f t="shared" si="1041"/>
        <v>200000</v>
      </c>
      <c r="M996" s="179">
        <f t="shared" si="1041"/>
        <v>0</v>
      </c>
      <c r="N996" s="179">
        <f t="shared" si="1041"/>
        <v>0</v>
      </c>
      <c r="O996" s="179">
        <f t="shared" ref="O996:P996" si="1042">SUM(O997:O998)</f>
        <v>6000000</v>
      </c>
      <c r="P996" s="179">
        <f t="shared" si="1042"/>
        <v>0</v>
      </c>
      <c r="Q996" s="179">
        <f t="shared" ref="Q996" si="1043">SUM(Q997:Q998)</f>
        <v>0</v>
      </c>
    </row>
    <row r="997" spans="1:17" customFormat="1" ht="14.1" customHeight="1" x14ac:dyDescent="0.3">
      <c r="A997" s="249">
        <v>3221</v>
      </c>
      <c r="B997" s="215" t="s">
        <v>17</v>
      </c>
      <c r="C997" s="182"/>
      <c r="D997" s="182"/>
      <c r="E997" s="182"/>
      <c r="F997" s="182">
        <f t="shared" ref="F997:F1002" si="1044">C997-D997+E997</f>
        <v>0</v>
      </c>
      <c r="G997" s="182"/>
      <c r="H997" s="182"/>
      <c r="I997" s="265">
        <f>6900000-5000000</f>
        <v>1900000</v>
      </c>
      <c r="J997" s="400">
        <v>1700000</v>
      </c>
      <c r="K997" s="400"/>
      <c r="L997" s="220">
        <f>I997-J997+K997</f>
        <v>200000</v>
      </c>
      <c r="M997" s="182"/>
      <c r="N997" s="182"/>
      <c r="O997" s="182">
        <v>6000000</v>
      </c>
      <c r="P997" s="182"/>
      <c r="Q997" s="182"/>
    </row>
    <row r="998" spans="1:17" customFormat="1" ht="14.4" hidden="1" x14ac:dyDescent="0.3">
      <c r="A998" s="266">
        <v>3222</v>
      </c>
      <c r="B998" s="267" t="s">
        <v>18</v>
      </c>
      <c r="C998" s="197">
        <v>6900000</v>
      </c>
      <c r="D998" s="197">
        <v>6900000</v>
      </c>
      <c r="E998" s="197"/>
      <c r="F998" s="182">
        <f t="shared" si="1044"/>
        <v>0</v>
      </c>
      <c r="G998" s="197"/>
      <c r="H998" s="197"/>
      <c r="I998" s="268"/>
      <c r="J998" s="401"/>
      <c r="K998" s="401"/>
      <c r="L998" s="401"/>
      <c r="M998" s="197"/>
      <c r="N998" s="197"/>
      <c r="O998" s="197"/>
      <c r="P998" s="197"/>
      <c r="Q998" s="197"/>
    </row>
    <row r="999" spans="1:17" customFormat="1" ht="14.4" x14ac:dyDescent="0.3">
      <c r="A999" s="269">
        <v>323</v>
      </c>
      <c r="B999" s="247" t="s">
        <v>123</v>
      </c>
      <c r="C999" s="179">
        <f>SUM(C1000)</f>
        <v>42000</v>
      </c>
      <c r="D999" s="179">
        <f t="shared" ref="D999:Q999" si="1045">SUM(D1000)</f>
        <v>0</v>
      </c>
      <c r="E999" s="179">
        <f t="shared" si="1045"/>
        <v>0</v>
      </c>
      <c r="F999" s="179">
        <f t="shared" si="1045"/>
        <v>42000</v>
      </c>
      <c r="G999" s="179">
        <f t="shared" si="1045"/>
        <v>34000</v>
      </c>
      <c r="H999" s="179">
        <f t="shared" si="1045"/>
        <v>34000</v>
      </c>
      <c r="I999" s="179">
        <f t="shared" si="1045"/>
        <v>42000</v>
      </c>
      <c r="J999" s="179">
        <f t="shared" si="1045"/>
        <v>0</v>
      </c>
      <c r="K999" s="179">
        <f t="shared" si="1045"/>
        <v>0</v>
      </c>
      <c r="L999" s="179">
        <f t="shared" si="1045"/>
        <v>42000</v>
      </c>
      <c r="M999" s="179">
        <f t="shared" si="1045"/>
        <v>42000</v>
      </c>
      <c r="N999" s="179">
        <f t="shared" si="1045"/>
        <v>7000</v>
      </c>
      <c r="O999" s="179">
        <f t="shared" si="1045"/>
        <v>30000</v>
      </c>
      <c r="P999" s="179">
        <f t="shared" si="1045"/>
        <v>12000</v>
      </c>
      <c r="Q999" s="179">
        <f t="shared" si="1045"/>
        <v>0</v>
      </c>
    </row>
    <row r="1000" spans="1:17" customFormat="1" ht="14.4" x14ac:dyDescent="0.3">
      <c r="A1000" s="249">
        <v>3237</v>
      </c>
      <c r="B1000" s="215" t="s">
        <v>30</v>
      </c>
      <c r="C1000" s="182">
        <v>42000</v>
      </c>
      <c r="D1000" s="182"/>
      <c r="E1000" s="182"/>
      <c r="F1000" s="182">
        <f t="shared" si="1044"/>
        <v>42000</v>
      </c>
      <c r="G1000" s="182">
        <v>34000</v>
      </c>
      <c r="H1000" s="182">
        <v>34000</v>
      </c>
      <c r="I1000" s="182">
        <v>42000</v>
      </c>
      <c r="J1000" s="220"/>
      <c r="K1000" s="220"/>
      <c r="L1000" s="220">
        <f>I1000-J1000+K1000</f>
        <v>42000</v>
      </c>
      <c r="M1000" s="182">
        <v>42000</v>
      </c>
      <c r="N1000" s="182">
        <v>7000</v>
      </c>
      <c r="O1000" s="182">
        <v>30000</v>
      </c>
      <c r="P1000" s="182">
        <v>12000</v>
      </c>
      <c r="Q1000" s="182"/>
    </row>
    <row r="1001" spans="1:17" customFormat="1" ht="14.4" x14ac:dyDescent="0.3">
      <c r="A1001" s="269">
        <v>329</v>
      </c>
      <c r="B1001" s="247" t="s">
        <v>33</v>
      </c>
      <c r="C1001" s="179">
        <f>SUM(C1002)</f>
        <v>3400</v>
      </c>
      <c r="D1001" s="179">
        <f t="shared" ref="D1001:Q1001" si="1046">SUM(D1002)</f>
        <v>3400</v>
      </c>
      <c r="E1001" s="179">
        <f t="shared" si="1046"/>
        <v>0</v>
      </c>
      <c r="F1001" s="179">
        <f t="shared" si="1046"/>
        <v>0</v>
      </c>
      <c r="G1001" s="179">
        <f t="shared" si="1046"/>
        <v>4000</v>
      </c>
      <c r="H1001" s="179">
        <f t="shared" si="1046"/>
        <v>4000</v>
      </c>
      <c r="I1001" s="179">
        <f t="shared" si="1046"/>
        <v>5000</v>
      </c>
      <c r="J1001" s="179">
        <f t="shared" si="1046"/>
        <v>0</v>
      </c>
      <c r="K1001" s="179">
        <f t="shared" si="1046"/>
        <v>0</v>
      </c>
      <c r="L1001" s="179">
        <f t="shared" si="1046"/>
        <v>5000</v>
      </c>
      <c r="M1001" s="179">
        <f t="shared" si="1046"/>
        <v>5000</v>
      </c>
      <c r="N1001" s="179">
        <f t="shared" si="1046"/>
        <v>3000</v>
      </c>
      <c r="O1001" s="179">
        <f t="shared" si="1046"/>
        <v>12000</v>
      </c>
      <c r="P1001" s="179">
        <f t="shared" si="1046"/>
        <v>4000</v>
      </c>
      <c r="Q1001" s="179">
        <f t="shared" si="1046"/>
        <v>0</v>
      </c>
    </row>
    <row r="1002" spans="1:17" customFormat="1" ht="14.4" x14ac:dyDescent="0.3">
      <c r="A1002" s="249">
        <v>3292</v>
      </c>
      <c r="B1002" s="215" t="s">
        <v>353</v>
      </c>
      <c r="C1002" s="182">
        <v>3400</v>
      </c>
      <c r="D1002" s="182">
        <v>3400</v>
      </c>
      <c r="E1002" s="182"/>
      <c r="F1002" s="182">
        <f t="shared" si="1044"/>
        <v>0</v>
      </c>
      <c r="G1002" s="182">
        <v>4000</v>
      </c>
      <c r="H1002" s="182">
        <v>4000</v>
      </c>
      <c r="I1002" s="182">
        <v>5000</v>
      </c>
      <c r="J1002" s="220"/>
      <c r="K1002" s="220"/>
      <c r="L1002" s="220">
        <f>I1002-J1002+K1002</f>
        <v>5000</v>
      </c>
      <c r="M1002" s="182">
        <v>5000</v>
      </c>
      <c r="N1002" s="182">
        <v>3000</v>
      </c>
      <c r="O1002" s="182">
        <v>12000</v>
      </c>
      <c r="P1002" s="182">
        <v>4000</v>
      </c>
      <c r="Q1002" s="182"/>
    </row>
    <row r="1003" spans="1:17" ht="26.4" hidden="1" x14ac:dyDescent="0.3">
      <c r="A1003" s="209" t="s">
        <v>323</v>
      </c>
      <c r="B1003" s="210" t="s">
        <v>324</v>
      </c>
      <c r="C1003" s="270">
        <f>SUM(C1004,)</f>
        <v>66200</v>
      </c>
      <c r="D1003" s="176">
        <f>SUM(D1004,)</f>
        <v>0</v>
      </c>
      <c r="E1003" s="176">
        <f t="shared" ref="E1003:G1003" si="1047">SUM(E1004,E1007)</f>
        <v>0</v>
      </c>
      <c r="F1003" s="218">
        <f>SUM(F1004,)</f>
        <v>66200</v>
      </c>
      <c r="G1003" s="176">
        <f t="shared" si="1047"/>
        <v>0</v>
      </c>
      <c r="H1003" s="176">
        <f t="shared" ref="H1003" si="1048">SUM(H1004,H1007)</f>
        <v>0</v>
      </c>
      <c r="I1003" s="176">
        <f>SUM(I1004)</f>
        <v>67000</v>
      </c>
      <c r="J1003" s="176">
        <f t="shared" ref="J1003:Q1003" si="1049">SUM(J1004)</f>
        <v>0</v>
      </c>
      <c r="K1003" s="176">
        <f t="shared" si="1049"/>
        <v>0</v>
      </c>
      <c r="L1003" s="176">
        <f t="shared" si="1049"/>
        <v>67000</v>
      </c>
      <c r="M1003" s="176">
        <f t="shared" si="1049"/>
        <v>0</v>
      </c>
      <c r="N1003" s="176">
        <f t="shared" si="1049"/>
        <v>0</v>
      </c>
      <c r="O1003" s="176">
        <f t="shared" si="1049"/>
        <v>0</v>
      </c>
      <c r="P1003" s="176">
        <f t="shared" si="1049"/>
        <v>0</v>
      </c>
      <c r="Q1003" s="176">
        <f t="shared" si="1049"/>
        <v>0</v>
      </c>
    </row>
    <row r="1004" spans="1:17" hidden="1" x14ac:dyDescent="0.3">
      <c r="A1004" s="264">
        <v>422</v>
      </c>
      <c r="B1004" s="271" t="s">
        <v>356</v>
      </c>
      <c r="C1004" s="272">
        <f>SUM(C1005:C1006)</f>
        <v>66200</v>
      </c>
      <c r="D1004" s="273">
        <f t="shared" ref="D1004:E1004" si="1050">SUM(D1005:D1006)</f>
        <v>0</v>
      </c>
      <c r="E1004" s="273">
        <f t="shared" si="1050"/>
        <v>0</v>
      </c>
      <c r="F1004" s="273">
        <f>SUM(F1005:F1006)</f>
        <v>66200</v>
      </c>
      <c r="G1004" s="273">
        <f t="shared" ref="G1004:H1004" si="1051">SUM(G1005:G1006)</f>
        <v>0</v>
      </c>
      <c r="H1004" s="273">
        <f t="shared" si="1051"/>
        <v>0</v>
      </c>
      <c r="I1004" s="273">
        <f t="shared" ref="I1004:M1004" si="1052">SUM(I1005:I1006)</f>
        <v>67000</v>
      </c>
      <c r="J1004" s="273">
        <f t="shared" si="1052"/>
        <v>0</v>
      </c>
      <c r="K1004" s="273">
        <f t="shared" si="1052"/>
        <v>0</v>
      </c>
      <c r="L1004" s="273">
        <f t="shared" si="1052"/>
        <v>67000</v>
      </c>
      <c r="M1004" s="273">
        <f t="shared" si="1052"/>
        <v>0</v>
      </c>
      <c r="N1004" s="273">
        <f t="shared" ref="N1004:O1004" si="1053">SUM(N1005:N1006)</f>
        <v>0</v>
      </c>
      <c r="O1004" s="273">
        <f t="shared" si="1053"/>
        <v>0</v>
      </c>
      <c r="P1004" s="273">
        <f t="shared" ref="P1004:Q1004" si="1054">SUM(P1005:P1006)</f>
        <v>0</v>
      </c>
      <c r="Q1004" s="273">
        <f t="shared" si="1054"/>
        <v>0</v>
      </c>
    </row>
    <row r="1005" spans="1:17" hidden="1" x14ac:dyDescent="0.3">
      <c r="A1005" s="200">
        <v>4221</v>
      </c>
      <c r="B1005" s="201" t="s">
        <v>54</v>
      </c>
      <c r="C1005" s="274">
        <v>49400</v>
      </c>
      <c r="D1005" s="275"/>
      <c r="E1005" s="275"/>
      <c r="F1005" s="182">
        <f t="shared" ref="F1005:F1006" si="1055">C1005-D1005+E1005</f>
        <v>49400</v>
      </c>
      <c r="G1005" s="275"/>
      <c r="H1005" s="275"/>
      <c r="I1005" s="275">
        <v>50000</v>
      </c>
      <c r="J1005" s="402"/>
      <c r="K1005" s="402"/>
      <c r="L1005" s="220">
        <f>I1005-J1005+K1005</f>
        <v>50000</v>
      </c>
      <c r="M1005" s="275"/>
      <c r="N1005" s="275"/>
      <c r="O1005" s="275"/>
      <c r="P1005" s="275"/>
      <c r="Q1005" s="275"/>
    </row>
    <row r="1006" spans="1:17" hidden="1" x14ac:dyDescent="0.3">
      <c r="A1006" s="200">
        <v>4227</v>
      </c>
      <c r="B1006" s="201" t="s">
        <v>60</v>
      </c>
      <c r="C1006" s="274">
        <v>16800</v>
      </c>
      <c r="D1006" s="275"/>
      <c r="E1006" s="275"/>
      <c r="F1006" s="182">
        <f t="shared" si="1055"/>
        <v>16800</v>
      </c>
      <c r="G1006" s="275"/>
      <c r="H1006" s="275"/>
      <c r="I1006" s="275">
        <v>17000</v>
      </c>
      <c r="J1006" s="402"/>
      <c r="K1006" s="402"/>
      <c r="L1006" s="220">
        <f>I1006-J1006+K1006</f>
        <v>17000</v>
      </c>
      <c r="M1006" s="275"/>
      <c r="N1006" s="275"/>
      <c r="O1006" s="275"/>
      <c r="P1006" s="275"/>
      <c r="Q1006" s="275"/>
    </row>
    <row r="1007" spans="1:17" customFormat="1" ht="26.4" x14ac:dyDescent="0.3">
      <c r="A1007" s="209" t="s">
        <v>325</v>
      </c>
      <c r="B1007" s="210" t="s">
        <v>326</v>
      </c>
      <c r="C1007" s="176">
        <f>SUM(C1008)</f>
        <v>880000</v>
      </c>
      <c r="D1007" s="176">
        <f t="shared" ref="D1007:Q1008" si="1056">SUM(D1008)</f>
        <v>0</v>
      </c>
      <c r="E1007" s="176">
        <f t="shared" si="1056"/>
        <v>0</v>
      </c>
      <c r="F1007" s="176">
        <f t="shared" si="1056"/>
        <v>880000</v>
      </c>
      <c r="G1007" s="176">
        <f t="shared" si="1056"/>
        <v>0</v>
      </c>
      <c r="H1007" s="176">
        <f t="shared" si="1056"/>
        <v>0</v>
      </c>
      <c r="I1007" s="176">
        <f t="shared" si="1056"/>
        <v>0</v>
      </c>
      <c r="J1007" s="176">
        <f t="shared" si="1056"/>
        <v>0</v>
      </c>
      <c r="K1007" s="176">
        <f t="shared" si="1056"/>
        <v>390000</v>
      </c>
      <c r="L1007" s="176">
        <f t="shared" si="1056"/>
        <v>390000</v>
      </c>
      <c r="M1007" s="176">
        <f t="shared" si="1056"/>
        <v>0</v>
      </c>
      <c r="N1007" s="176">
        <f t="shared" si="1056"/>
        <v>0</v>
      </c>
      <c r="O1007" s="176">
        <f t="shared" si="1056"/>
        <v>200000</v>
      </c>
      <c r="P1007" s="176">
        <f t="shared" si="1056"/>
        <v>0</v>
      </c>
      <c r="Q1007" s="176">
        <f t="shared" si="1056"/>
        <v>0</v>
      </c>
    </row>
    <row r="1008" spans="1:17" customFormat="1" ht="14.4" x14ac:dyDescent="0.3">
      <c r="A1008" s="269">
        <v>451</v>
      </c>
      <c r="B1008" s="247" t="s">
        <v>55</v>
      </c>
      <c r="C1008" s="179">
        <f>SUM(C1009)</f>
        <v>880000</v>
      </c>
      <c r="D1008" s="179">
        <f t="shared" si="1056"/>
        <v>0</v>
      </c>
      <c r="E1008" s="179">
        <f t="shared" si="1056"/>
        <v>0</v>
      </c>
      <c r="F1008" s="179">
        <f t="shared" si="1056"/>
        <v>880000</v>
      </c>
      <c r="G1008" s="179">
        <f t="shared" si="1056"/>
        <v>0</v>
      </c>
      <c r="H1008" s="179">
        <f t="shared" si="1056"/>
        <v>0</v>
      </c>
      <c r="I1008" s="179">
        <f t="shared" si="1056"/>
        <v>0</v>
      </c>
      <c r="J1008" s="179">
        <f t="shared" si="1056"/>
        <v>0</v>
      </c>
      <c r="K1008" s="179">
        <f t="shared" si="1056"/>
        <v>390000</v>
      </c>
      <c r="L1008" s="179">
        <f t="shared" si="1056"/>
        <v>390000</v>
      </c>
      <c r="M1008" s="179">
        <f t="shared" si="1056"/>
        <v>0</v>
      </c>
      <c r="N1008" s="179">
        <f t="shared" si="1056"/>
        <v>0</v>
      </c>
      <c r="O1008" s="179">
        <f t="shared" si="1056"/>
        <v>200000</v>
      </c>
      <c r="P1008" s="179">
        <f t="shared" si="1056"/>
        <v>0</v>
      </c>
      <c r="Q1008" s="179">
        <f t="shared" si="1056"/>
        <v>0</v>
      </c>
    </row>
    <row r="1009" spans="1:17" customFormat="1" ht="14.4" x14ac:dyDescent="0.3">
      <c r="A1009" s="249">
        <v>4511</v>
      </c>
      <c r="B1009" s="215" t="s">
        <v>55</v>
      </c>
      <c r="C1009" s="182">
        <v>880000</v>
      </c>
      <c r="D1009" s="182"/>
      <c r="E1009" s="182"/>
      <c r="F1009" s="182">
        <f t="shared" ref="F1009" si="1057">C1009-D1009+E1009</f>
        <v>880000</v>
      </c>
      <c r="G1009" s="182"/>
      <c r="H1009" s="182"/>
      <c r="I1009" s="182"/>
      <c r="J1009" s="220"/>
      <c r="K1009" s="220">
        <f>125000+253000+12000</f>
        <v>390000</v>
      </c>
      <c r="L1009" s="220">
        <f>I1009-J1009+K1009</f>
        <v>390000</v>
      </c>
      <c r="M1009" s="182"/>
      <c r="N1009" s="182"/>
      <c r="O1009" s="182">
        <v>200000</v>
      </c>
      <c r="P1009" s="182"/>
      <c r="Q1009" s="182"/>
    </row>
    <row r="1010" spans="1:17" customFormat="1" ht="26.4" x14ac:dyDescent="0.3">
      <c r="A1010" s="242" t="s">
        <v>350</v>
      </c>
      <c r="B1010" s="231" t="s">
        <v>352</v>
      </c>
      <c r="C1010" s="172">
        <f t="shared" ref="C1010:Q1010" si="1058">SUM(C1011)</f>
        <v>3100000</v>
      </c>
      <c r="D1010" s="172">
        <f t="shared" si="1058"/>
        <v>3005500</v>
      </c>
      <c r="E1010" s="172">
        <f t="shared" si="1058"/>
        <v>0</v>
      </c>
      <c r="F1010" s="172">
        <f t="shared" si="1058"/>
        <v>94500</v>
      </c>
      <c r="G1010" s="172">
        <f t="shared" si="1058"/>
        <v>2342000</v>
      </c>
      <c r="H1010" s="172">
        <f t="shared" si="1058"/>
        <v>13269000</v>
      </c>
      <c r="I1010" s="172">
        <f t="shared" si="1058"/>
        <v>3531000</v>
      </c>
      <c r="J1010" s="172">
        <f t="shared" si="1058"/>
        <v>1936000</v>
      </c>
      <c r="K1010" s="172">
        <f t="shared" si="1058"/>
        <v>45000</v>
      </c>
      <c r="L1010" s="172">
        <f t="shared" si="1058"/>
        <v>1640000</v>
      </c>
      <c r="M1010" s="172">
        <f t="shared" si="1058"/>
        <v>13190000</v>
      </c>
      <c r="N1010" s="172">
        <f t="shared" si="1058"/>
        <v>844000</v>
      </c>
      <c r="O1010" s="172">
        <f t="shared" si="1058"/>
        <v>2265500</v>
      </c>
      <c r="P1010" s="172">
        <f t="shared" si="1058"/>
        <v>12553000</v>
      </c>
      <c r="Q1010" s="172">
        <f t="shared" si="1058"/>
        <v>65000</v>
      </c>
    </row>
    <row r="1011" spans="1:17" customFormat="1" ht="14.4" x14ac:dyDescent="0.3">
      <c r="A1011" s="721" t="s">
        <v>118</v>
      </c>
      <c r="B1011" s="721"/>
      <c r="C1011" s="173">
        <f t="shared" ref="C1011:Q1011" si="1059">SUM(C1012,C1015,C1027,C1033)</f>
        <v>3100000</v>
      </c>
      <c r="D1011" s="173">
        <f t="shared" si="1059"/>
        <v>3005500</v>
      </c>
      <c r="E1011" s="173">
        <f t="shared" si="1059"/>
        <v>0</v>
      </c>
      <c r="F1011" s="173">
        <f t="shared" si="1059"/>
        <v>94500</v>
      </c>
      <c r="G1011" s="173">
        <f t="shared" si="1059"/>
        <v>2342000</v>
      </c>
      <c r="H1011" s="173">
        <f t="shared" si="1059"/>
        <v>13269000</v>
      </c>
      <c r="I1011" s="173">
        <f t="shared" si="1059"/>
        <v>3531000</v>
      </c>
      <c r="J1011" s="173">
        <f t="shared" si="1059"/>
        <v>1936000</v>
      </c>
      <c r="K1011" s="173">
        <f t="shared" si="1059"/>
        <v>45000</v>
      </c>
      <c r="L1011" s="173">
        <f t="shared" si="1059"/>
        <v>1640000</v>
      </c>
      <c r="M1011" s="173">
        <f t="shared" si="1059"/>
        <v>13190000</v>
      </c>
      <c r="N1011" s="173">
        <f t="shared" si="1059"/>
        <v>844000</v>
      </c>
      <c r="O1011" s="173">
        <f t="shared" si="1059"/>
        <v>2265500</v>
      </c>
      <c r="P1011" s="173">
        <f t="shared" si="1059"/>
        <v>12553000</v>
      </c>
      <c r="Q1011" s="173">
        <f t="shared" si="1059"/>
        <v>65000</v>
      </c>
    </row>
    <row r="1012" spans="1:17" customFormat="1" ht="14.4" x14ac:dyDescent="0.3">
      <c r="A1012" s="185" t="s">
        <v>315</v>
      </c>
      <c r="B1012" s="186" t="s">
        <v>316</v>
      </c>
      <c r="C1012" s="187">
        <f>SUM(C1013)</f>
        <v>72000</v>
      </c>
      <c r="D1012" s="187">
        <f t="shared" ref="D1012:Q1013" si="1060">SUM(D1013)</f>
        <v>22000</v>
      </c>
      <c r="E1012" s="187">
        <f t="shared" si="1060"/>
        <v>0</v>
      </c>
      <c r="F1012" s="187">
        <f t="shared" si="1060"/>
        <v>50000</v>
      </c>
      <c r="G1012" s="187">
        <f t="shared" si="1060"/>
        <v>72000</v>
      </c>
      <c r="H1012" s="187">
        <f t="shared" si="1060"/>
        <v>72000</v>
      </c>
      <c r="I1012" s="187">
        <f t="shared" si="1060"/>
        <v>48000</v>
      </c>
      <c r="J1012" s="187">
        <f t="shared" si="1060"/>
        <v>0</v>
      </c>
      <c r="K1012" s="187">
        <f t="shared" si="1060"/>
        <v>0</v>
      </c>
      <c r="L1012" s="187">
        <f t="shared" si="1060"/>
        <v>48000</v>
      </c>
      <c r="M1012" s="187">
        <f t="shared" si="1060"/>
        <v>48000</v>
      </c>
      <c r="N1012" s="187">
        <f t="shared" si="1060"/>
        <v>65000</v>
      </c>
      <c r="O1012" s="187">
        <f t="shared" si="1060"/>
        <v>48000</v>
      </c>
      <c r="P1012" s="187">
        <f t="shared" si="1060"/>
        <v>48000</v>
      </c>
      <c r="Q1012" s="187">
        <f t="shared" si="1060"/>
        <v>65000</v>
      </c>
    </row>
    <row r="1013" spans="1:17" customFormat="1" ht="14.4" x14ac:dyDescent="0.3">
      <c r="A1013" s="264">
        <v>311</v>
      </c>
      <c r="B1013" s="276" t="s">
        <v>357</v>
      </c>
      <c r="C1013" s="194">
        <f>SUM(C1014)</f>
        <v>72000</v>
      </c>
      <c r="D1013" s="194">
        <f t="shared" si="1060"/>
        <v>22000</v>
      </c>
      <c r="E1013" s="194">
        <f t="shared" si="1060"/>
        <v>0</v>
      </c>
      <c r="F1013" s="194">
        <f t="shared" si="1060"/>
        <v>50000</v>
      </c>
      <c r="G1013" s="194">
        <f t="shared" si="1060"/>
        <v>72000</v>
      </c>
      <c r="H1013" s="194">
        <f t="shared" si="1060"/>
        <v>72000</v>
      </c>
      <c r="I1013" s="194">
        <f t="shared" si="1060"/>
        <v>48000</v>
      </c>
      <c r="J1013" s="194">
        <f t="shared" si="1060"/>
        <v>0</v>
      </c>
      <c r="K1013" s="194">
        <f t="shared" si="1060"/>
        <v>0</v>
      </c>
      <c r="L1013" s="194">
        <f t="shared" si="1060"/>
        <v>48000</v>
      </c>
      <c r="M1013" s="194">
        <f t="shared" si="1060"/>
        <v>48000</v>
      </c>
      <c r="N1013" s="194">
        <f t="shared" si="1060"/>
        <v>65000</v>
      </c>
      <c r="O1013" s="194">
        <f t="shared" si="1060"/>
        <v>48000</v>
      </c>
      <c r="P1013" s="194">
        <f t="shared" si="1060"/>
        <v>48000</v>
      </c>
      <c r="Q1013" s="194">
        <f t="shared" si="1060"/>
        <v>65000</v>
      </c>
    </row>
    <row r="1014" spans="1:17" customFormat="1" ht="14.4" x14ac:dyDescent="0.3">
      <c r="A1014" s="200">
        <v>3111</v>
      </c>
      <c r="B1014" s="253" t="s">
        <v>358</v>
      </c>
      <c r="C1014" s="195">
        <v>72000</v>
      </c>
      <c r="D1014" s="195">
        <v>22000</v>
      </c>
      <c r="E1014" s="195"/>
      <c r="F1014" s="182">
        <f t="shared" ref="F1014" si="1061">C1014-D1014+E1014</f>
        <v>50000</v>
      </c>
      <c r="G1014" s="195">
        <v>72000</v>
      </c>
      <c r="H1014" s="195">
        <v>72000</v>
      </c>
      <c r="I1014" s="195">
        <v>48000</v>
      </c>
      <c r="J1014" s="297"/>
      <c r="K1014" s="297"/>
      <c r="L1014" s="220">
        <f>I1014-J1014+K1014</f>
        <v>48000</v>
      </c>
      <c r="M1014" s="195">
        <v>48000</v>
      </c>
      <c r="N1014" s="195">
        <v>65000</v>
      </c>
      <c r="O1014" s="195">
        <v>48000</v>
      </c>
      <c r="P1014" s="195">
        <v>48000</v>
      </c>
      <c r="Q1014" s="195">
        <v>65000</v>
      </c>
    </row>
    <row r="1015" spans="1:17" customFormat="1" ht="14.4" x14ac:dyDescent="0.3">
      <c r="A1015" s="185" t="s">
        <v>317</v>
      </c>
      <c r="B1015" s="185" t="s">
        <v>318</v>
      </c>
      <c r="C1015" s="218">
        <f t="shared" ref="C1015:Q1015" si="1062">SUM(C1016,C1020,C1023,C1025)</f>
        <v>538000</v>
      </c>
      <c r="D1015" s="218">
        <f t="shared" si="1062"/>
        <v>535500</v>
      </c>
      <c r="E1015" s="218">
        <f t="shared" si="1062"/>
        <v>0</v>
      </c>
      <c r="F1015" s="218">
        <f t="shared" si="1062"/>
        <v>2500</v>
      </c>
      <c r="G1015" s="218">
        <f t="shared" si="1062"/>
        <v>0</v>
      </c>
      <c r="H1015" s="218">
        <f t="shared" si="1062"/>
        <v>56000</v>
      </c>
      <c r="I1015" s="218">
        <f t="shared" si="1062"/>
        <v>892000</v>
      </c>
      <c r="J1015" s="218">
        <f t="shared" si="1062"/>
        <v>485000</v>
      </c>
      <c r="K1015" s="218">
        <f t="shared" si="1062"/>
        <v>45000</v>
      </c>
      <c r="L1015" s="218">
        <f t="shared" si="1062"/>
        <v>452000</v>
      </c>
      <c r="M1015" s="218">
        <f t="shared" si="1062"/>
        <v>434000</v>
      </c>
      <c r="N1015" s="218">
        <f t="shared" si="1062"/>
        <v>779000</v>
      </c>
      <c r="O1015" s="218">
        <f t="shared" si="1062"/>
        <v>583000</v>
      </c>
      <c r="P1015" s="218">
        <f t="shared" si="1062"/>
        <v>650000</v>
      </c>
      <c r="Q1015" s="218">
        <f t="shared" si="1062"/>
        <v>0</v>
      </c>
    </row>
    <row r="1016" spans="1:17" customFormat="1" ht="14.4" x14ac:dyDescent="0.3">
      <c r="A1016" s="246" t="s">
        <v>153</v>
      </c>
      <c r="B1016" s="247" t="s">
        <v>16</v>
      </c>
      <c r="C1016" s="179">
        <f t="shared" ref="C1016:H1016" si="1063">SUM(C1019:C1019)</f>
        <v>500000</v>
      </c>
      <c r="D1016" s="179">
        <f t="shared" si="1063"/>
        <v>500000</v>
      </c>
      <c r="E1016" s="179">
        <f t="shared" si="1063"/>
        <v>0</v>
      </c>
      <c r="F1016" s="179">
        <f t="shared" si="1063"/>
        <v>0</v>
      </c>
      <c r="G1016" s="179">
        <f t="shared" si="1063"/>
        <v>0</v>
      </c>
      <c r="H1016" s="179">
        <f t="shared" si="1063"/>
        <v>0</v>
      </c>
      <c r="I1016" s="179">
        <f>SUM(I1017:I1019)</f>
        <v>690000</v>
      </c>
      <c r="J1016" s="179">
        <f t="shared" ref="J1016:Q1016" si="1064">SUM(J1017:J1019)</f>
        <v>455000</v>
      </c>
      <c r="K1016" s="179">
        <f t="shared" si="1064"/>
        <v>45000</v>
      </c>
      <c r="L1016" s="179">
        <f t="shared" si="1064"/>
        <v>280000</v>
      </c>
      <c r="M1016" s="179">
        <f t="shared" si="1064"/>
        <v>203000</v>
      </c>
      <c r="N1016" s="179">
        <f t="shared" si="1064"/>
        <v>0</v>
      </c>
      <c r="O1016" s="179">
        <f t="shared" si="1064"/>
        <v>503000</v>
      </c>
      <c r="P1016" s="179">
        <f t="shared" si="1064"/>
        <v>500000</v>
      </c>
      <c r="Q1016" s="179">
        <f t="shared" si="1064"/>
        <v>0</v>
      </c>
    </row>
    <row r="1017" spans="1:17" customFormat="1" ht="14.4" x14ac:dyDescent="0.3">
      <c r="A1017" s="200">
        <v>3222</v>
      </c>
      <c r="B1017" s="253" t="s">
        <v>354</v>
      </c>
      <c r="C1017" s="182"/>
      <c r="D1017" s="182"/>
      <c r="E1017" s="182"/>
      <c r="F1017" s="182">
        <f>C1017-D1017+E1017</f>
        <v>0</v>
      </c>
      <c r="G1017" s="182">
        <v>1314000</v>
      </c>
      <c r="H1017" s="182"/>
      <c r="I1017" s="191">
        <f>1000000-500000</f>
        <v>500000</v>
      </c>
      <c r="J1017" s="233">
        <v>455000</v>
      </c>
      <c r="K1017" s="233"/>
      <c r="L1017" s="220">
        <f>I1017-J1017+K1017</f>
        <v>45000</v>
      </c>
      <c r="M1017" s="182"/>
      <c r="N1017" s="182"/>
      <c r="O1017" s="182">
        <v>503000</v>
      </c>
      <c r="P1017" s="182">
        <v>500000</v>
      </c>
      <c r="Q1017" s="182"/>
    </row>
    <row r="1018" spans="1:17" customFormat="1" ht="14.4" hidden="1" x14ac:dyDescent="0.3">
      <c r="A1018" s="180">
        <v>3225</v>
      </c>
      <c r="B1018" s="181" t="s">
        <v>21</v>
      </c>
      <c r="C1018" s="182">
        <v>12000</v>
      </c>
      <c r="D1018" s="182"/>
      <c r="E1018" s="182"/>
      <c r="F1018" s="182">
        <f>C1018-D1018+E1018</f>
        <v>12000</v>
      </c>
      <c r="G1018" s="182">
        <v>8000</v>
      </c>
      <c r="H1018" s="182"/>
      <c r="I1018" s="182"/>
      <c r="J1018" s="220"/>
      <c r="K1018" s="220">
        <v>45000</v>
      </c>
      <c r="L1018" s="220">
        <f>I1018-J1018+K1018</f>
        <v>45000</v>
      </c>
      <c r="M1018" s="182"/>
      <c r="N1018" s="182"/>
      <c r="O1018" s="182"/>
      <c r="P1018" s="182"/>
      <c r="Q1018" s="182"/>
    </row>
    <row r="1019" spans="1:17" customFormat="1" ht="14.4" hidden="1" x14ac:dyDescent="0.3">
      <c r="A1019" s="249">
        <v>3227</v>
      </c>
      <c r="B1019" s="215" t="s">
        <v>22</v>
      </c>
      <c r="C1019" s="182">
        <v>500000</v>
      </c>
      <c r="D1019" s="182">
        <v>500000</v>
      </c>
      <c r="E1019" s="182"/>
      <c r="F1019" s="182">
        <f>C1019-D1019+E1019</f>
        <v>0</v>
      </c>
      <c r="G1019" s="182"/>
      <c r="H1019" s="182"/>
      <c r="I1019" s="182">
        <v>190000</v>
      </c>
      <c r="J1019" s="220"/>
      <c r="K1019" s="220"/>
      <c r="L1019" s="220">
        <f>I1019-J1019+K1019</f>
        <v>190000</v>
      </c>
      <c r="M1019" s="182">
        <v>203000</v>
      </c>
      <c r="N1019" s="182"/>
      <c r="O1019" s="182"/>
      <c r="P1019" s="182"/>
      <c r="Q1019" s="182"/>
    </row>
    <row r="1020" spans="1:17" customFormat="1" ht="14.4" x14ac:dyDescent="0.3">
      <c r="A1020" s="264">
        <v>323</v>
      </c>
      <c r="B1020" s="276" t="s">
        <v>123</v>
      </c>
      <c r="C1020" s="179">
        <f>SUM(C1021:C1022)</f>
        <v>18000</v>
      </c>
      <c r="D1020" s="179">
        <f t="shared" ref="D1020:F1020" si="1065">SUM(D1021:D1022)</f>
        <v>15500</v>
      </c>
      <c r="E1020" s="179">
        <f t="shared" si="1065"/>
        <v>0</v>
      </c>
      <c r="F1020" s="179">
        <f t="shared" si="1065"/>
        <v>2500</v>
      </c>
      <c r="G1020" s="179">
        <f t="shared" ref="G1020:H1020" si="1066">SUM(G1021:G1022)</f>
        <v>0</v>
      </c>
      <c r="H1020" s="179">
        <f t="shared" si="1066"/>
        <v>20000</v>
      </c>
      <c r="I1020" s="179">
        <f t="shared" ref="I1020:M1020" si="1067">SUM(I1021:I1022)</f>
        <v>172000</v>
      </c>
      <c r="J1020" s="179">
        <f t="shared" si="1067"/>
        <v>0</v>
      </c>
      <c r="K1020" s="179">
        <f t="shared" si="1067"/>
        <v>0</v>
      </c>
      <c r="L1020" s="179">
        <f t="shared" si="1067"/>
        <v>172000</v>
      </c>
      <c r="M1020" s="179">
        <f t="shared" si="1067"/>
        <v>201000</v>
      </c>
      <c r="N1020" s="179">
        <f t="shared" ref="N1020:O1020" si="1068">SUM(N1021:N1022)</f>
        <v>742000</v>
      </c>
      <c r="O1020" s="179">
        <f t="shared" si="1068"/>
        <v>80000</v>
      </c>
      <c r="P1020" s="179">
        <f t="shared" ref="P1020:Q1020" si="1069">SUM(P1021:P1022)</f>
        <v>150000</v>
      </c>
      <c r="Q1020" s="179">
        <f t="shared" si="1069"/>
        <v>0</v>
      </c>
    </row>
    <row r="1021" spans="1:17" customFormat="1" ht="14.4" hidden="1" x14ac:dyDescent="0.3">
      <c r="A1021" s="200">
        <v>3233</v>
      </c>
      <c r="B1021" s="253" t="s">
        <v>26</v>
      </c>
      <c r="C1021" s="182">
        <v>5000</v>
      </c>
      <c r="D1021" s="182">
        <v>3000</v>
      </c>
      <c r="E1021" s="182"/>
      <c r="F1021" s="182">
        <f t="shared" ref="F1021:F1026" si="1070">C1021-D1021+E1021</f>
        <v>2000</v>
      </c>
      <c r="G1021" s="182"/>
      <c r="H1021" s="182"/>
      <c r="I1021" s="182">
        <v>1000</v>
      </c>
      <c r="J1021" s="220"/>
      <c r="K1021" s="220"/>
      <c r="L1021" s="220">
        <f>I1021-J1021+K1021</f>
        <v>1000</v>
      </c>
      <c r="M1021" s="182"/>
      <c r="N1021" s="182">
        <v>40000</v>
      </c>
      <c r="O1021" s="182"/>
      <c r="P1021" s="182"/>
      <c r="Q1021" s="182"/>
    </row>
    <row r="1022" spans="1:17" customFormat="1" ht="14.1" customHeight="1" x14ac:dyDescent="0.3">
      <c r="A1022" s="200">
        <v>3239</v>
      </c>
      <c r="B1022" s="253" t="s">
        <v>31</v>
      </c>
      <c r="C1022" s="182">
        <v>13000</v>
      </c>
      <c r="D1022" s="182">
        <v>12500</v>
      </c>
      <c r="E1022" s="182"/>
      <c r="F1022" s="182">
        <f t="shared" si="1070"/>
        <v>500</v>
      </c>
      <c r="G1022" s="182"/>
      <c r="H1022" s="182">
        <v>20000</v>
      </c>
      <c r="I1022" s="182">
        <v>171000</v>
      </c>
      <c r="J1022" s="220"/>
      <c r="K1022" s="220"/>
      <c r="L1022" s="220">
        <f>I1022-J1022+K1022</f>
        <v>171000</v>
      </c>
      <c r="M1022" s="182">
        <v>201000</v>
      </c>
      <c r="N1022" s="182">
        <v>702000</v>
      </c>
      <c r="O1022" s="182">
        <v>80000</v>
      </c>
      <c r="P1022" s="182">
        <v>150000</v>
      </c>
      <c r="Q1022" s="182"/>
    </row>
    <row r="1023" spans="1:17" customFormat="1" ht="14.4" hidden="1" x14ac:dyDescent="0.3">
      <c r="A1023" s="264">
        <v>329</v>
      </c>
      <c r="B1023" s="276" t="s">
        <v>33</v>
      </c>
      <c r="C1023" s="179">
        <f>SUM(C1024)</f>
        <v>3000</v>
      </c>
      <c r="D1023" s="179">
        <f t="shared" ref="D1023:Q1023" si="1071">SUM(D1024)</f>
        <v>3000</v>
      </c>
      <c r="E1023" s="179">
        <f t="shared" si="1071"/>
        <v>0</v>
      </c>
      <c r="F1023" s="179">
        <f t="shared" si="1071"/>
        <v>0</v>
      </c>
      <c r="G1023" s="179">
        <f t="shared" si="1071"/>
        <v>0</v>
      </c>
      <c r="H1023" s="179">
        <f t="shared" si="1071"/>
        <v>0</v>
      </c>
      <c r="I1023" s="179">
        <f t="shared" si="1071"/>
        <v>0</v>
      </c>
      <c r="J1023" s="179">
        <f t="shared" si="1071"/>
        <v>0</v>
      </c>
      <c r="K1023" s="179">
        <f t="shared" si="1071"/>
        <v>0</v>
      </c>
      <c r="L1023" s="179">
        <f t="shared" si="1071"/>
        <v>0</v>
      </c>
      <c r="M1023" s="179">
        <f t="shared" si="1071"/>
        <v>0</v>
      </c>
      <c r="N1023" s="179">
        <f t="shared" si="1071"/>
        <v>0</v>
      </c>
      <c r="O1023" s="179">
        <f t="shared" si="1071"/>
        <v>0</v>
      </c>
      <c r="P1023" s="179">
        <f t="shared" si="1071"/>
        <v>0</v>
      </c>
      <c r="Q1023" s="179">
        <f t="shared" si="1071"/>
        <v>0</v>
      </c>
    </row>
    <row r="1024" spans="1:17" customFormat="1" ht="14.4" hidden="1" x14ac:dyDescent="0.3">
      <c r="A1024" s="200">
        <v>3293</v>
      </c>
      <c r="B1024" s="253" t="s">
        <v>36</v>
      </c>
      <c r="C1024" s="182">
        <v>3000</v>
      </c>
      <c r="D1024" s="182">
        <v>3000</v>
      </c>
      <c r="E1024" s="182"/>
      <c r="F1024" s="182">
        <f t="shared" si="1070"/>
        <v>0</v>
      </c>
      <c r="G1024" s="182"/>
      <c r="H1024" s="182"/>
      <c r="I1024" s="182"/>
      <c r="J1024" s="220"/>
      <c r="K1024" s="220"/>
      <c r="L1024" s="220"/>
      <c r="M1024" s="182"/>
      <c r="N1024" s="182"/>
      <c r="O1024" s="182"/>
      <c r="P1024" s="182"/>
      <c r="Q1024" s="182"/>
    </row>
    <row r="1025" spans="1:17" customFormat="1" ht="26.4" hidden="1" x14ac:dyDescent="0.3">
      <c r="A1025" s="264">
        <v>324</v>
      </c>
      <c r="B1025" s="271" t="s">
        <v>355</v>
      </c>
      <c r="C1025" s="179">
        <f>SUM(C1026)</f>
        <v>17000</v>
      </c>
      <c r="D1025" s="179">
        <f t="shared" ref="D1025:Q1025" si="1072">SUM(D1026)</f>
        <v>17000</v>
      </c>
      <c r="E1025" s="179">
        <f t="shared" si="1072"/>
        <v>0</v>
      </c>
      <c r="F1025" s="179">
        <f t="shared" si="1072"/>
        <v>0</v>
      </c>
      <c r="G1025" s="179">
        <f t="shared" si="1072"/>
        <v>0</v>
      </c>
      <c r="H1025" s="179">
        <f t="shared" si="1072"/>
        <v>36000</v>
      </c>
      <c r="I1025" s="179">
        <f t="shared" si="1072"/>
        <v>30000</v>
      </c>
      <c r="J1025" s="179">
        <f t="shared" si="1072"/>
        <v>30000</v>
      </c>
      <c r="K1025" s="179">
        <f t="shared" si="1072"/>
        <v>0</v>
      </c>
      <c r="L1025" s="179">
        <f t="shared" si="1072"/>
        <v>0</v>
      </c>
      <c r="M1025" s="179">
        <f t="shared" si="1072"/>
        <v>30000</v>
      </c>
      <c r="N1025" s="179">
        <f t="shared" si="1072"/>
        <v>37000</v>
      </c>
      <c r="O1025" s="179">
        <f t="shared" si="1072"/>
        <v>0</v>
      </c>
      <c r="P1025" s="179">
        <f t="shared" si="1072"/>
        <v>0</v>
      </c>
      <c r="Q1025" s="179">
        <f t="shared" si="1072"/>
        <v>0</v>
      </c>
    </row>
    <row r="1026" spans="1:17" customFormat="1" ht="26.4" hidden="1" x14ac:dyDescent="0.3">
      <c r="A1026" s="200">
        <v>3241</v>
      </c>
      <c r="B1026" s="201" t="s">
        <v>355</v>
      </c>
      <c r="C1026" s="182">
        <v>17000</v>
      </c>
      <c r="D1026" s="182">
        <v>17000</v>
      </c>
      <c r="E1026" s="182"/>
      <c r="F1026" s="182">
        <f t="shared" si="1070"/>
        <v>0</v>
      </c>
      <c r="G1026" s="182"/>
      <c r="H1026" s="182">
        <v>36000</v>
      </c>
      <c r="I1026" s="182">
        <v>30000</v>
      </c>
      <c r="J1026" s="220">
        <v>30000</v>
      </c>
      <c r="K1026" s="220"/>
      <c r="L1026" s="220">
        <f>I1026-J1026+K1026</f>
        <v>0</v>
      </c>
      <c r="M1026" s="182">
        <v>30000</v>
      </c>
      <c r="N1026" s="182">
        <v>37000</v>
      </c>
      <c r="O1026" s="182"/>
      <c r="P1026" s="182"/>
      <c r="Q1026" s="182"/>
    </row>
    <row r="1027" spans="1:17" customFormat="1" ht="26.4" x14ac:dyDescent="0.3">
      <c r="A1027" s="174" t="s">
        <v>323</v>
      </c>
      <c r="B1027" s="186" t="s">
        <v>324</v>
      </c>
      <c r="C1027" s="176">
        <f>SUM(C1028,C1031)</f>
        <v>928000</v>
      </c>
      <c r="D1027" s="176">
        <f t="shared" ref="D1027:F1027" si="1073">SUM(D1028,D1031)</f>
        <v>886000</v>
      </c>
      <c r="E1027" s="176">
        <f t="shared" si="1073"/>
        <v>0</v>
      </c>
      <c r="F1027" s="176">
        <f t="shared" si="1073"/>
        <v>42000</v>
      </c>
      <c r="G1027" s="176">
        <f t="shared" ref="G1027:H1027" si="1074">SUM(G1028,G1031)</f>
        <v>2270000</v>
      </c>
      <c r="H1027" s="176">
        <f t="shared" si="1074"/>
        <v>13141000</v>
      </c>
      <c r="I1027" s="176">
        <f t="shared" ref="I1027:N1027" si="1075">SUM(I1028,I1031)</f>
        <v>2591000</v>
      </c>
      <c r="J1027" s="176">
        <f t="shared" si="1075"/>
        <v>1451000</v>
      </c>
      <c r="K1027" s="176">
        <f t="shared" si="1075"/>
        <v>0</v>
      </c>
      <c r="L1027" s="176">
        <f t="shared" si="1075"/>
        <v>1140000</v>
      </c>
      <c r="M1027" s="176">
        <f t="shared" si="1075"/>
        <v>12708000</v>
      </c>
      <c r="N1027" s="176">
        <f t="shared" si="1075"/>
        <v>0</v>
      </c>
      <c r="O1027" s="176">
        <f t="shared" ref="O1027:P1027" si="1076">SUM(O1028,O1031)</f>
        <v>1634500</v>
      </c>
      <c r="P1027" s="176">
        <f t="shared" si="1076"/>
        <v>11855000</v>
      </c>
      <c r="Q1027" s="176">
        <f t="shared" ref="Q1027" si="1077">SUM(Q1028,Q1031)</f>
        <v>0</v>
      </c>
    </row>
    <row r="1028" spans="1:17" customFormat="1" ht="14.4" x14ac:dyDescent="0.3">
      <c r="A1028" s="264">
        <v>422</v>
      </c>
      <c r="B1028" s="276" t="s">
        <v>356</v>
      </c>
      <c r="C1028" s="179">
        <f>SUM(C1029:C1030)</f>
        <v>535000</v>
      </c>
      <c r="D1028" s="179">
        <f t="shared" ref="D1028:F1028" si="1078">SUM(D1029:D1030)</f>
        <v>493000</v>
      </c>
      <c r="E1028" s="179">
        <f t="shared" si="1078"/>
        <v>0</v>
      </c>
      <c r="F1028" s="179">
        <f t="shared" si="1078"/>
        <v>42000</v>
      </c>
      <c r="G1028" s="179">
        <f t="shared" ref="G1028:H1028" si="1079">SUM(G1029:G1030)</f>
        <v>0</v>
      </c>
      <c r="H1028" s="179">
        <f t="shared" si="1079"/>
        <v>10660000</v>
      </c>
      <c r="I1028" s="179">
        <f t="shared" ref="I1028:N1028" si="1080">SUM(I1029:I1030)</f>
        <v>951000</v>
      </c>
      <c r="J1028" s="179">
        <f t="shared" si="1080"/>
        <v>451000</v>
      </c>
      <c r="K1028" s="179">
        <f t="shared" si="1080"/>
        <v>0</v>
      </c>
      <c r="L1028" s="179">
        <f t="shared" si="1080"/>
        <v>500000</v>
      </c>
      <c r="M1028" s="179">
        <f t="shared" si="1080"/>
        <v>10248000</v>
      </c>
      <c r="N1028" s="179">
        <f t="shared" si="1080"/>
        <v>0</v>
      </c>
      <c r="O1028" s="179">
        <f t="shared" ref="O1028:P1028" si="1081">SUM(O1029:O1030)</f>
        <v>1394500</v>
      </c>
      <c r="P1028" s="179">
        <f t="shared" si="1081"/>
        <v>11000000</v>
      </c>
      <c r="Q1028" s="179">
        <f t="shared" ref="Q1028" si="1082">SUM(Q1029:Q1030)</f>
        <v>0</v>
      </c>
    </row>
    <row r="1029" spans="1:17" customFormat="1" ht="14.4" x14ac:dyDescent="0.3">
      <c r="A1029" s="200">
        <v>4223</v>
      </c>
      <c r="B1029" s="253" t="s">
        <v>59</v>
      </c>
      <c r="C1029" s="182">
        <v>190000</v>
      </c>
      <c r="D1029" s="182">
        <v>148000</v>
      </c>
      <c r="E1029" s="182"/>
      <c r="F1029" s="182">
        <f t="shared" ref="F1029:F1032" si="1083">C1029-D1029+E1029</f>
        <v>42000</v>
      </c>
      <c r="G1029" s="182"/>
      <c r="H1029" s="182"/>
      <c r="I1029" s="182">
        <v>400000</v>
      </c>
      <c r="J1029" s="220">
        <v>300000</v>
      </c>
      <c r="K1029" s="220"/>
      <c r="L1029" s="220">
        <f>I1029-J1029+K1029</f>
        <v>100000</v>
      </c>
      <c r="M1029" s="182"/>
      <c r="N1029" s="182"/>
      <c r="O1029" s="182">
        <v>426500</v>
      </c>
      <c r="P1029" s="182"/>
      <c r="Q1029" s="182"/>
    </row>
    <row r="1030" spans="1:17" customFormat="1" ht="14.4" x14ac:dyDescent="0.3">
      <c r="A1030" s="200">
        <v>4227</v>
      </c>
      <c r="B1030" s="253" t="s">
        <v>60</v>
      </c>
      <c r="C1030" s="182">
        <v>345000</v>
      </c>
      <c r="D1030" s="182">
        <v>345000</v>
      </c>
      <c r="E1030" s="182"/>
      <c r="F1030" s="182">
        <f t="shared" si="1083"/>
        <v>0</v>
      </c>
      <c r="G1030" s="182"/>
      <c r="H1030" s="182">
        <v>10660000</v>
      </c>
      <c r="I1030" s="191">
        <f>2170000-400000-1219000</f>
        <v>551000</v>
      </c>
      <c r="J1030" s="233">
        <v>151000</v>
      </c>
      <c r="K1030" s="233"/>
      <c r="L1030" s="220">
        <f>I1030-J1030+K1030</f>
        <v>400000</v>
      </c>
      <c r="M1030" s="182">
        <v>10248000</v>
      </c>
      <c r="N1030" s="182"/>
      <c r="O1030" s="182">
        <v>968000</v>
      </c>
      <c r="P1030" s="182">
        <v>11000000</v>
      </c>
      <c r="Q1030" s="182"/>
    </row>
    <row r="1031" spans="1:17" customFormat="1" ht="14.4" x14ac:dyDescent="0.3">
      <c r="A1031" s="264">
        <v>423</v>
      </c>
      <c r="B1031" s="276" t="s">
        <v>61</v>
      </c>
      <c r="C1031" s="179">
        <f>SUM(C1032)</f>
        <v>393000</v>
      </c>
      <c r="D1031" s="179">
        <f t="shared" ref="D1031:Q1031" si="1084">SUM(D1032)</f>
        <v>393000</v>
      </c>
      <c r="E1031" s="179">
        <f t="shared" si="1084"/>
        <v>0</v>
      </c>
      <c r="F1031" s="179">
        <f t="shared" si="1084"/>
        <v>0</v>
      </c>
      <c r="G1031" s="179">
        <f t="shared" si="1084"/>
        <v>2270000</v>
      </c>
      <c r="H1031" s="179">
        <f t="shared" si="1084"/>
        <v>2481000</v>
      </c>
      <c r="I1031" s="179">
        <f t="shared" si="1084"/>
        <v>1640000</v>
      </c>
      <c r="J1031" s="179">
        <f t="shared" si="1084"/>
        <v>1000000</v>
      </c>
      <c r="K1031" s="179">
        <f t="shared" si="1084"/>
        <v>0</v>
      </c>
      <c r="L1031" s="179">
        <f t="shared" si="1084"/>
        <v>640000</v>
      </c>
      <c r="M1031" s="179">
        <f t="shared" si="1084"/>
        <v>2460000</v>
      </c>
      <c r="N1031" s="179">
        <f t="shared" si="1084"/>
        <v>0</v>
      </c>
      <c r="O1031" s="179">
        <f t="shared" si="1084"/>
        <v>240000</v>
      </c>
      <c r="P1031" s="179">
        <f t="shared" si="1084"/>
        <v>855000</v>
      </c>
      <c r="Q1031" s="179">
        <f t="shared" si="1084"/>
        <v>0</v>
      </c>
    </row>
    <row r="1032" spans="1:17" customFormat="1" ht="14.1" customHeight="1" x14ac:dyDescent="0.3">
      <c r="A1032" s="200">
        <v>4231</v>
      </c>
      <c r="B1032" s="253" t="s">
        <v>62</v>
      </c>
      <c r="C1032" s="182">
        <v>393000</v>
      </c>
      <c r="D1032" s="182">
        <v>393000</v>
      </c>
      <c r="E1032" s="182"/>
      <c r="F1032" s="182">
        <f t="shared" si="1083"/>
        <v>0</v>
      </c>
      <c r="G1032" s="182">
        <v>2270000</v>
      </c>
      <c r="H1032" s="182">
        <v>2481000</v>
      </c>
      <c r="I1032" s="191">
        <f>2640000-1000000</f>
        <v>1640000</v>
      </c>
      <c r="J1032" s="233">
        <v>1000000</v>
      </c>
      <c r="K1032" s="233"/>
      <c r="L1032" s="220">
        <f>I1032-J1032+K1032</f>
        <v>640000</v>
      </c>
      <c r="M1032" s="182">
        <v>2460000</v>
      </c>
      <c r="N1032" s="182"/>
      <c r="O1032" s="182">
        <v>240000</v>
      </c>
      <c r="P1032" s="182">
        <v>855000</v>
      </c>
      <c r="Q1032" s="182"/>
    </row>
    <row r="1033" spans="1:17" customFormat="1" ht="26.4" hidden="1" x14ac:dyDescent="0.3">
      <c r="A1033" s="209" t="s">
        <v>325</v>
      </c>
      <c r="B1033" s="210" t="s">
        <v>326</v>
      </c>
      <c r="C1033" s="176">
        <f>SUM(C1034)</f>
        <v>1562000</v>
      </c>
      <c r="D1033" s="176">
        <f t="shared" ref="D1033:Q1034" si="1085">SUM(D1034)</f>
        <v>1562000</v>
      </c>
      <c r="E1033" s="176">
        <f t="shared" si="1085"/>
        <v>0</v>
      </c>
      <c r="F1033" s="176">
        <f t="shared" si="1085"/>
        <v>0</v>
      </c>
      <c r="G1033" s="176">
        <f t="shared" si="1085"/>
        <v>0</v>
      </c>
      <c r="H1033" s="176">
        <f t="shared" si="1085"/>
        <v>0</v>
      </c>
      <c r="I1033" s="176">
        <f t="shared" si="1085"/>
        <v>0</v>
      </c>
      <c r="J1033" s="176">
        <f t="shared" si="1085"/>
        <v>0</v>
      </c>
      <c r="K1033" s="176">
        <f t="shared" si="1085"/>
        <v>0</v>
      </c>
      <c r="L1033" s="176">
        <f t="shared" si="1085"/>
        <v>0</v>
      </c>
      <c r="M1033" s="176">
        <f t="shared" si="1085"/>
        <v>0</v>
      </c>
      <c r="N1033" s="176">
        <f t="shared" si="1085"/>
        <v>0</v>
      </c>
      <c r="O1033" s="176">
        <f t="shared" si="1085"/>
        <v>0</v>
      </c>
      <c r="P1033" s="176">
        <f t="shared" si="1085"/>
        <v>0</v>
      </c>
      <c r="Q1033" s="176">
        <f t="shared" si="1085"/>
        <v>0</v>
      </c>
    </row>
    <row r="1034" spans="1:17" customFormat="1" ht="26.4" hidden="1" x14ac:dyDescent="0.3">
      <c r="A1034" s="269">
        <v>453</v>
      </c>
      <c r="B1034" s="247" t="s">
        <v>287</v>
      </c>
      <c r="C1034" s="179">
        <f>SUM(C1035)</f>
        <v>1562000</v>
      </c>
      <c r="D1034" s="179">
        <f t="shared" si="1085"/>
        <v>1562000</v>
      </c>
      <c r="E1034" s="179">
        <f t="shared" si="1085"/>
        <v>0</v>
      </c>
      <c r="F1034" s="179">
        <f t="shared" si="1085"/>
        <v>0</v>
      </c>
      <c r="G1034" s="179">
        <f t="shared" si="1085"/>
        <v>0</v>
      </c>
      <c r="H1034" s="179">
        <f t="shared" si="1085"/>
        <v>0</v>
      </c>
      <c r="I1034" s="179">
        <f t="shared" si="1085"/>
        <v>0</v>
      </c>
      <c r="J1034" s="179">
        <f t="shared" si="1085"/>
        <v>0</v>
      </c>
      <c r="K1034" s="179">
        <f t="shared" si="1085"/>
        <v>0</v>
      </c>
      <c r="L1034" s="179">
        <f t="shared" si="1085"/>
        <v>0</v>
      </c>
      <c r="M1034" s="179">
        <f t="shared" si="1085"/>
        <v>0</v>
      </c>
      <c r="N1034" s="179">
        <f t="shared" si="1085"/>
        <v>0</v>
      </c>
      <c r="O1034" s="179">
        <f t="shared" si="1085"/>
        <v>0</v>
      </c>
      <c r="P1034" s="179">
        <f t="shared" si="1085"/>
        <v>0</v>
      </c>
      <c r="Q1034" s="179">
        <f t="shared" si="1085"/>
        <v>0</v>
      </c>
    </row>
    <row r="1035" spans="1:17" customFormat="1" ht="29.1" hidden="1" customHeight="1" x14ac:dyDescent="0.3">
      <c r="A1035" s="249">
        <v>4531</v>
      </c>
      <c r="B1035" s="215" t="s">
        <v>287</v>
      </c>
      <c r="C1035" s="182">
        <v>1562000</v>
      </c>
      <c r="D1035" s="182">
        <v>1562000</v>
      </c>
      <c r="E1035" s="182"/>
      <c r="F1035" s="182">
        <f t="shared" ref="F1035" si="1086">C1035-D1035+E1035</f>
        <v>0</v>
      </c>
      <c r="G1035" s="182"/>
      <c r="H1035" s="182"/>
      <c r="I1035" s="182"/>
      <c r="J1035" s="220"/>
      <c r="K1035" s="220"/>
      <c r="L1035" s="220"/>
      <c r="M1035" s="182"/>
      <c r="N1035" s="182"/>
      <c r="O1035" s="182"/>
      <c r="P1035" s="182"/>
      <c r="Q1035" s="182"/>
    </row>
    <row r="1036" spans="1:17" customFormat="1" ht="39.6" hidden="1" x14ac:dyDescent="0.3">
      <c r="A1036" s="242" t="s">
        <v>292</v>
      </c>
      <c r="B1036" s="231" t="s">
        <v>303</v>
      </c>
      <c r="C1036" s="257">
        <f>SUM(C1037)</f>
        <v>7393000</v>
      </c>
      <c r="D1036" s="257">
        <f t="shared" ref="D1036:Q1038" si="1087">SUM(D1037)</f>
        <v>7393000</v>
      </c>
      <c r="E1036" s="257">
        <f t="shared" si="1087"/>
        <v>0</v>
      </c>
      <c r="F1036" s="257">
        <f t="shared" si="1087"/>
        <v>0</v>
      </c>
      <c r="G1036" s="257">
        <f t="shared" si="1087"/>
        <v>0</v>
      </c>
      <c r="H1036" s="257">
        <f t="shared" si="1087"/>
        <v>0</v>
      </c>
      <c r="I1036" s="257">
        <f t="shared" si="1087"/>
        <v>7414000</v>
      </c>
      <c r="J1036" s="257">
        <f t="shared" si="1087"/>
        <v>0</v>
      </c>
      <c r="K1036" s="257">
        <f t="shared" si="1087"/>
        <v>0</v>
      </c>
      <c r="L1036" s="257">
        <f t="shared" si="1087"/>
        <v>7414000</v>
      </c>
      <c r="M1036" s="257">
        <f t="shared" si="1087"/>
        <v>0</v>
      </c>
      <c r="N1036" s="257">
        <f t="shared" si="1087"/>
        <v>0</v>
      </c>
      <c r="O1036" s="257">
        <f t="shared" si="1087"/>
        <v>0</v>
      </c>
      <c r="P1036" s="257">
        <f t="shared" si="1087"/>
        <v>0</v>
      </c>
      <c r="Q1036" s="257">
        <f t="shared" si="1087"/>
        <v>0</v>
      </c>
    </row>
    <row r="1037" spans="1:17" customFormat="1" ht="13.5" hidden="1" customHeight="1" x14ac:dyDescent="0.3">
      <c r="A1037" s="721" t="s">
        <v>118</v>
      </c>
      <c r="B1037" s="721"/>
      <c r="C1037" s="184">
        <f>SUM(C1038)</f>
        <v>7393000</v>
      </c>
      <c r="D1037" s="184">
        <f t="shared" si="1087"/>
        <v>7393000</v>
      </c>
      <c r="E1037" s="184">
        <f t="shared" si="1087"/>
        <v>0</v>
      </c>
      <c r="F1037" s="184">
        <f t="shared" si="1087"/>
        <v>0</v>
      </c>
      <c r="G1037" s="184">
        <f t="shared" si="1087"/>
        <v>0</v>
      </c>
      <c r="H1037" s="184">
        <f t="shared" si="1087"/>
        <v>0</v>
      </c>
      <c r="I1037" s="184">
        <f t="shared" si="1087"/>
        <v>7414000</v>
      </c>
      <c r="J1037" s="184">
        <f t="shared" si="1087"/>
        <v>0</v>
      </c>
      <c r="K1037" s="184">
        <f t="shared" si="1087"/>
        <v>0</v>
      </c>
      <c r="L1037" s="184">
        <f t="shared" si="1087"/>
        <v>7414000</v>
      </c>
      <c r="M1037" s="184">
        <f t="shared" si="1087"/>
        <v>0</v>
      </c>
      <c r="N1037" s="184">
        <f t="shared" si="1087"/>
        <v>0</v>
      </c>
      <c r="O1037" s="184">
        <f t="shared" si="1087"/>
        <v>0</v>
      </c>
      <c r="P1037" s="184">
        <f t="shared" si="1087"/>
        <v>0</v>
      </c>
      <c r="Q1037" s="184">
        <f t="shared" si="1087"/>
        <v>0</v>
      </c>
    </row>
    <row r="1038" spans="1:17" customFormat="1" ht="26.4" hidden="1" x14ac:dyDescent="0.3">
      <c r="A1038" s="174" t="s">
        <v>323</v>
      </c>
      <c r="B1038" s="186" t="s">
        <v>324</v>
      </c>
      <c r="C1038" s="176">
        <f>SUM(C1039)</f>
        <v>7393000</v>
      </c>
      <c r="D1038" s="176">
        <f t="shared" si="1087"/>
        <v>7393000</v>
      </c>
      <c r="E1038" s="176">
        <f t="shared" si="1087"/>
        <v>0</v>
      </c>
      <c r="F1038" s="176">
        <f t="shared" si="1087"/>
        <v>0</v>
      </c>
      <c r="G1038" s="176">
        <f t="shared" si="1087"/>
        <v>0</v>
      </c>
      <c r="H1038" s="176">
        <f t="shared" si="1087"/>
        <v>0</v>
      </c>
      <c r="I1038" s="176">
        <f t="shared" si="1087"/>
        <v>7414000</v>
      </c>
      <c r="J1038" s="176">
        <f t="shared" si="1087"/>
        <v>0</v>
      </c>
      <c r="K1038" s="176">
        <f t="shared" si="1087"/>
        <v>0</v>
      </c>
      <c r="L1038" s="176">
        <f t="shared" si="1087"/>
        <v>7414000</v>
      </c>
      <c r="M1038" s="176">
        <f t="shared" si="1087"/>
        <v>0</v>
      </c>
      <c r="N1038" s="176">
        <f t="shared" si="1087"/>
        <v>0</v>
      </c>
      <c r="O1038" s="176">
        <f t="shared" si="1087"/>
        <v>0</v>
      </c>
      <c r="P1038" s="176">
        <f t="shared" si="1087"/>
        <v>0</v>
      </c>
      <c r="Q1038" s="176">
        <f t="shared" si="1087"/>
        <v>0</v>
      </c>
    </row>
    <row r="1039" spans="1:17" customFormat="1" ht="14.4" hidden="1" x14ac:dyDescent="0.3">
      <c r="A1039" s="246" t="s">
        <v>181</v>
      </c>
      <c r="B1039" s="247" t="s">
        <v>61</v>
      </c>
      <c r="C1039" s="259">
        <f t="shared" ref="C1039:F1039" si="1088">SUM(C1040:C1041)</f>
        <v>7393000</v>
      </c>
      <c r="D1039" s="259">
        <f t="shared" si="1088"/>
        <v>7393000</v>
      </c>
      <c r="E1039" s="259">
        <f t="shared" si="1088"/>
        <v>0</v>
      </c>
      <c r="F1039" s="259">
        <f t="shared" si="1088"/>
        <v>0</v>
      </c>
      <c r="G1039" s="259">
        <f t="shared" ref="G1039:H1039" si="1089">SUM(G1040:G1041)</f>
        <v>0</v>
      </c>
      <c r="H1039" s="259">
        <f t="shared" si="1089"/>
        <v>0</v>
      </c>
      <c r="I1039" s="259">
        <f t="shared" ref="I1039:M1039" si="1090">SUM(I1040:I1041)</f>
        <v>7414000</v>
      </c>
      <c r="J1039" s="259">
        <f t="shared" si="1090"/>
        <v>0</v>
      </c>
      <c r="K1039" s="259">
        <f t="shared" si="1090"/>
        <v>0</v>
      </c>
      <c r="L1039" s="259">
        <f t="shared" si="1090"/>
        <v>7414000</v>
      </c>
      <c r="M1039" s="259">
        <f t="shared" si="1090"/>
        <v>0</v>
      </c>
      <c r="N1039" s="259">
        <f t="shared" ref="N1039:O1039" si="1091">SUM(N1040:N1041)</f>
        <v>0</v>
      </c>
      <c r="O1039" s="259">
        <f t="shared" si="1091"/>
        <v>0</v>
      </c>
      <c r="P1039" s="259">
        <f t="shared" ref="P1039:Q1039" si="1092">SUM(P1040:P1041)</f>
        <v>0</v>
      </c>
      <c r="Q1039" s="259">
        <f t="shared" si="1092"/>
        <v>0</v>
      </c>
    </row>
    <row r="1040" spans="1:17" s="10" customFormat="1" ht="21" hidden="1" customHeight="1" x14ac:dyDescent="0.3">
      <c r="A1040" s="249" t="s">
        <v>182</v>
      </c>
      <c r="B1040" s="215" t="s">
        <v>62</v>
      </c>
      <c r="C1040" s="277"/>
      <c r="D1040" s="277"/>
      <c r="E1040" s="277"/>
      <c r="F1040" s="182">
        <f t="shared" ref="F1040:F1041" si="1093">C1040-D1040+E1040</f>
        <v>0</v>
      </c>
      <c r="G1040" s="277"/>
      <c r="H1040" s="277"/>
      <c r="I1040" s="277"/>
      <c r="J1040" s="403"/>
      <c r="K1040" s="403"/>
      <c r="L1040" s="403"/>
      <c r="M1040" s="277"/>
      <c r="N1040" s="277"/>
      <c r="O1040" s="277"/>
      <c r="P1040" s="277"/>
      <c r="Q1040" s="277"/>
    </row>
    <row r="1041" spans="1:18" s="27" customFormat="1" ht="25.5" hidden="1" customHeight="1" x14ac:dyDescent="0.3">
      <c r="A1041" s="278">
        <v>4233</v>
      </c>
      <c r="B1041" s="279" t="s">
        <v>227</v>
      </c>
      <c r="C1041" s="280">
        <v>7393000</v>
      </c>
      <c r="D1041" s="280">
        <v>7393000</v>
      </c>
      <c r="E1041" s="280"/>
      <c r="F1041" s="265">
        <f t="shared" si="1093"/>
        <v>0</v>
      </c>
      <c r="G1041" s="280"/>
      <c r="H1041" s="280"/>
      <c r="I1041" s="280">
        <v>7414000</v>
      </c>
      <c r="J1041" s="404"/>
      <c r="K1041" s="404"/>
      <c r="L1041" s="220">
        <f>I1041-J1041+K1041</f>
        <v>7414000</v>
      </c>
      <c r="M1041" s="280"/>
      <c r="N1041" s="280"/>
      <c r="O1041" s="280"/>
      <c r="P1041" s="280"/>
      <c r="Q1041" s="280"/>
    </row>
    <row r="1042" spans="1:18" customFormat="1" ht="26.4" x14ac:dyDescent="0.3">
      <c r="A1042" s="242" t="s">
        <v>336</v>
      </c>
      <c r="B1042" s="231" t="s">
        <v>337</v>
      </c>
      <c r="C1042" s="257">
        <f t="shared" ref="C1042:Q1042" si="1094">SUM(C1043)</f>
        <v>6686000</v>
      </c>
      <c r="D1042" s="257">
        <f t="shared" si="1094"/>
        <v>6686000</v>
      </c>
      <c r="E1042" s="257">
        <f t="shared" si="1094"/>
        <v>0</v>
      </c>
      <c r="F1042" s="257">
        <f t="shared" si="1094"/>
        <v>0</v>
      </c>
      <c r="G1042" s="257">
        <f t="shared" si="1094"/>
        <v>8731000</v>
      </c>
      <c r="H1042" s="257">
        <f t="shared" si="1094"/>
        <v>10260000</v>
      </c>
      <c r="I1042" s="257">
        <f t="shared" si="1094"/>
        <v>4199000</v>
      </c>
      <c r="J1042" s="257">
        <f t="shared" si="1094"/>
        <v>3280000</v>
      </c>
      <c r="K1042" s="257">
        <f t="shared" si="1094"/>
        <v>120600</v>
      </c>
      <c r="L1042" s="257">
        <f t="shared" si="1094"/>
        <v>1039600</v>
      </c>
      <c r="M1042" s="257">
        <f t="shared" si="1094"/>
        <v>7581000</v>
      </c>
      <c r="N1042" s="257">
        <f t="shared" si="1094"/>
        <v>8172000</v>
      </c>
      <c r="O1042" s="257">
        <f t="shared" si="1094"/>
        <v>16930000</v>
      </c>
      <c r="P1042" s="257">
        <f t="shared" si="1094"/>
        <v>8630000</v>
      </c>
      <c r="Q1042" s="257">
        <f t="shared" si="1094"/>
        <v>8630000</v>
      </c>
    </row>
    <row r="1043" spans="1:18" customFormat="1" ht="13.5" customHeight="1" x14ac:dyDescent="0.3">
      <c r="A1043" s="721" t="s">
        <v>118</v>
      </c>
      <c r="B1043" s="721"/>
      <c r="C1043" s="184">
        <f t="shared" ref="C1043:F1043" si="1095">SUM(C1044,C1053,C1073,C1076,C1087)</f>
        <v>6686000</v>
      </c>
      <c r="D1043" s="184">
        <f t="shared" si="1095"/>
        <v>6686000</v>
      </c>
      <c r="E1043" s="184">
        <f t="shared" si="1095"/>
        <v>0</v>
      </c>
      <c r="F1043" s="184">
        <f t="shared" si="1095"/>
        <v>0</v>
      </c>
      <c r="G1043" s="184">
        <f t="shared" ref="G1043:H1043" si="1096">SUM(G1044,G1053,G1073,G1076,G1087)</f>
        <v>8731000</v>
      </c>
      <c r="H1043" s="184">
        <f t="shared" si="1096"/>
        <v>10260000</v>
      </c>
      <c r="I1043" s="184">
        <f t="shared" ref="I1043:N1043" si="1097">SUM(I1044,I1053,I1073,I1076,I1087)</f>
        <v>4199000</v>
      </c>
      <c r="J1043" s="184">
        <f t="shared" si="1097"/>
        <v>3280000</v>
      </c>
      <c r="K1043" s="184">
        <f t="shared" si="1097"/>
        <v>120600</v>
      </c>
      <c r="L1043" s="184">
        <f t="shared" si="1097"/>
        <v>1039600</v>
      </c>
      <c r="M1043" s="184">
        <f t="shared" si="1097"/>
        <v>7581000</v>
      </c>
      <c r="N1043" s="184">
        <f t="shared" si="1097"/>
        <v>8172000</v>
      </c>
      <c r="O1043" s="184">
        <f t="shared" ref="O1043:P1043" si="1098">SUM(O1044,O1053,O1073,O1076,O1087)</f>
        <v>16930000</v>
      </c>
      <c r="P1043" s="184">
        <f t="shared" si="1098"/>
        <v>8630000</v>
      </c>
      <c r="Q1043" s="184">
        <f t="shared" ref="Q1043" si="1099">SUM(Q1044,Q1053,Q1073,Q1076,Q1087)</f>
        <v>8630000</v>
      </c>
    </row>
    <row r="1044" spans="1:18" customFormat="1" ht="14.4" hidden="1" x14ac:dyDescent="0.3">
      <c r="A1044" s="281">
        <v>31</v>
      </c>
      <c r="B1044" s="282" t="s">
        <v>316</v>
      </c>
      <c r="C1044" s="187">
        <f t="shared" ref="C1044:F1044" si="1100">SUM(C1045,C1048,C1050)</f>
        <v>172000</v>
      </c>
      <c r="D1044" s="187">
        <f t="shared" si="1100"/>
        <v>172000</v>
      </c>
      <c r="E1044" s="187">
        <f t="shared" si="1100"/>
        <v>0</v>
      </c>
      <c r="F1044" s="187">
        <f t="shared" si="1100"/>
        <v>0</v>
      </c>
      <c r="G1044" s="187">
        <f t="shared" ref="G1044:H1044" si="1101">SUM(G1045,G1048,G1050)</f>
        <v>172000</v>
      </c>
      <c r="H1044" s="187">
        <f t="shared" si="1101"/>
        <v>172000</v>
      </c>
      <c r="I1044" s="187">
        <f t="shared" ref="I1044:M1044" si="1102">SUM(I1045,I1048,I1050)</f>
        <v>0</v>
      </c>
      <c r="J1044" s="187">
        <f t="shared" si="1102"/>
        <v>0</v>
      </c>
      <c r="K1044" s="187">
        <f t="shared" si="1102"/>
        <v>0</v>
      </c>
      <c r="L1044" s="187">
        <f t="shared" si="1102"/>
        <v>0</v>
      </c>
      <c r="M1044" s="187">
        <f t="shared" si="1102"/>
        <v>0</v>
      </c>
      <c r="N1044" s="187">
        <f t="shared" ref="N1044:O1044" si="1103">SUM(N1045,N1048,N1050)</f>
        <v>0</v>
      </c>
      <c r="O1044" s="187">
        <f t="shared" si="1103"/>
        <v>0</v>
      </c>
      <c r="P1044" s="187">
        <f t="shared" ref="P1044:Q1044" si="1104">SUM(P1045,P1048,P1050)</f>
        <v>0</v>
      </c>
      <c r="Q1044" s="187">
        <f t="shared" si="1104"/>
        <v>0</v>
      </c>
    </row>
    <row r="1045" spans="1:18" customFormat="1" ht="14.4" hidden="1" x14ac:dyDescent="0.3">
      <c r="A1045" s="283">
        <v>311</v>
      </c>
      <c r="B1045" s="284" t="s">
        <v>4</v>
      </c>
      <c r="C1045" s="221">
        <f t="shared" ref="C1045:F1045" si="1105">SUM(C1046:C1047)</f>
        <v>107000</v>
      </c>
      <c r="D1045" s="221">
        <f t="shared" si="1105"/>
        <v>107000</v>
      </c>
      <c r="E1045" s="221">
        <f t="shared" si="1105"/>
        <v>0</v>
      </c>
      <c r="F1045" s="221">
        <f t="shared" si="1105"/>
        <v>0</v>
      </c>
      <c r="G1045" s="221">
        <f t="shared" ref="G1045:H1045" si="1106">SUM(G1046:G1047)</f>
        <v>107000</v>
      </c>
      <c r="H1045" s="221">
        <f t="shared" si="1106"/>
        <v>107000</v>
      </c>
      <c r="I1045" s="221">
        <f t="shared" ref="I1045:M1045" si="1107">SUM(I1046:I1047)</f>
        <v>0</v>
      </c>
      <c r="J1045" s="221">
        <f t="shared" si="1107"/>
        <v>0</v>
      </c>
      <c r="K1045" s="221">
        <f t="shared" si="1107"/>
        <v>0</v>
      </c>
      <c r="L1045" s="221">
        <f t="shared" si="1107"/>
        <v>0</v>
      </c>
      <c r="M1045" s="221">
        <f t="shared" si="1107"/>
        <v>0</v>
      </c>
      <c r="N1045" s="221">
        <f t="shared" ref="N1045:O1045" si="1108">SUM(N1046:N1047)</f>
        <v>0</v>
      </c>
      <c r="O1045" s="221">
        <f t="shared" si="1108"/>
        <v>0</v>
      </c>
      <c r="P1045" s="221">
        <f t="shared" ref="P1045:Q1045" si="1109">SUM(P1046:P1047)</f>
        <v>0</v>
      </c>
      <c r="Q1045" s="221">
        <f t="shared" si="1109"/>
        <v>0</v>
      </c>
      <c r="R1045" s="433"/>
    </row>
    <row r="1046" spans="1:18" customFormat="1" ht="14.4" hidden="1" x14ac:dyDescent="0.3">
      <c r="A1046" s="266">
        <v>3111</v>
      </c>
      <c r="B1046" s="267" t="s">
        <v>5</v>
      </c>
      <c r="C1046" s="197">
        <v>100000</v>
      </c>
      <c r="D1046" s="197">
        <v>100000</v>
      </c>
      <c r="E1046" s="197"/>
      <c r="F1046" s="182">
        <f t="shared" ref="F1046:F1052" si="1110">C1046-D1046+E1046</f>
        <v>0</v>
      </c>
      <c r="G1046" s="197">
        <v>100000</v>
      </c>
      <c r="H1046" s="197">
        <v>100000</v>
      </c>
      <c r="I1046" s="197"/>
      <c r="J1046" s="295"/>
      <c r="K1046" s="295"/>
      <c r="L1046" s="295"/>
      <c r="M1046" s="197"/>
      <c r="N1046" s="197"/>
      <c r="O1046" s="197"/>
      <c r="P1046" s="197"/>
      <c r="Q1046" s="197"/>
    </row>
    <row r="1047" spans="1:18" customFormat="1" ht="14.4" hidden="1" x14ac:dyDescent="0.3">
      <c r="A1047" s="266">
        <v>3113</v>
      </c>
      <c r="B1047" s="267" t="s">
        <v>6</v>
      </c>
      <c r="C1047" s="197">
        <v>7000</v>
      </c>
      <c r="D1047" s="197">
        <v>7000</v>
      </c>
      <c r="E1047" s="197"/>
      <c r="F1047" s="182">
        <f t="shared" si="1110"/>
        <v>0</v>
      </c>
      <c r="G1047" s="197">
        <v>7000</v>
      </c>
      <c r="H1047" s="197">
        <v>7000</v>
      </c>
      <c r="I1047" s="197"/>
      <c r="J1047" s="295"/>
      <c r="K1047" s="295"/>
      <c r="L1047" s="295"/>
      <c r="M1047" s="197"/>
      <c r="N1047" s="197"/>
      <c r="O1047" s="197"/>
      <c r="P1047" s="197"/>
      <c r="Q1047" s="197"/>
    </row>
    <row r="1048" spans="1:18" customFormat="1" ht="14.4" hidden="1" x14ac:dyDescent="0.3">
      <c r="A1048" s="283">
        <v>312</v>
      </c>
      <c r="B1048" s="284" t="s">
        <v>7</v>
      </c>
      <c r="C1048" s="221">
        <f t="shared" ref="C1048:Q1048" si="1111">SUM(C1049)</f>
        <v>5000</v>
      </c>
      <c r="D1048" s="221">
        <f t="shared" si="1111"/>
        <v>5000</v>
      </c>
      <c r="E1048" s="221">
        <f t="shared" si="1111"/>
        <v>0</v>
      </c>
      <c r="F1048" s="221">
        <f t="shared" si="1111"/>
        <v>0</v>
      </c>
      <c r="G1048" s="221">
        <f t="shared" si="1111"/>
        <v>5000</v>
      </c>
      <c r="H1048" s="221">
        <f t="shared" si="1111"/>
        <v>5000</v>
      </c>
      <c r="I1048" s="221">
        <f t="shared" si="1111"/>
        <v>0</v>
      </c>
      <c r="J1048" s="221">
        <f t="shared" si="1111"/>
        <v>0</v>
      </c>
      <c r="K1048" s="221">
        <f t="shared" si="1111"/>
        <v>0</v>
      </c>
      <c r="L1048" s="221">
        <f t="shared" si="1111"/>
        <v>0</v>
      </c>
      <c r="M1048" s="221">
        <f t="shared" si="1111"/>
        <v>0</v>
      </c>
      <c r="N1048" s="221">
        <f t="shared" si="1111"/>
        <v>0</v>
      </c>
      <c r="O1048" s="221">
        <f t="shared" si="1111"/>
        <v>0</v>
      </c>
      <c r="P1048" s="221">
        <f t="shared" si="1111"/>
        <v>0</v>
      </c>
      <c r="Q1048" s="221">
        <f t="shared" si="1111"/>
        <v>0</v>
      </c>
    </row>
    <row r="1049" spans="1:18" customFormat="1" ht="14.4" hidden="1" x14ac:dyDescent="0.3">
      <c r="A1049" s="266">
        <v>3121</v>
      </c>
      <c r="B1049" s="267" t="s">
        <v>7</v>
      </c>
      <c r="C1049" s="197">
        <v>5000</v>
      </c>
      <c r="D1049" s="197">
        <v>5000</v>
      </c>
      <c r="E1049" s="197"/>
      <c r="F1049" s="182">
        <f t="shared" si="1110"/>
        <v>0</v>
      </c>
      <c r="G1049" s="197">
        <v>5000</v>
      </c>
      <c r="H1049" s="197">
        <v>5000</v>
      </c>
      <c r="I1049" s="197"/>
      <c r="J1049" s="295"/>
      <c r="K1049" s="295"/>
      <c r="L1049" s="295"/>
      <c r="M1049" s="197"/>
      <c r="N1049" s="197"/>
      <c r="O1049" s="197"/>
      <c r="P1049" s="197"/>
      <c r="Q1049" s="197"/>
    </row>
    <row r="1050" spans="1:18" customFormat="1" ht="14.4" hidden="1" x14ac:dyDescent="0.3">
      <c r="A1050" s="283">
        <v>313</v>
      </c>
      <c r="B1050" s="284" t="s">
        <v>8</v>
      </c>
      <c r="C1050" s="221">
        <f t="shared" ref="C1050:F1050" si="1112">SUM(C1051:C1052)</f>
        <v>60000</v>
      </c>
      <c r="D1050" s="221">
        <f t="shared" si="1112"/>
        <v>60000</v>
      </c>
      <c r="E1050" s="221">
        <f t="shared" si="1112"/>
        <v>0</v>
      </c>
      <c r="F1050" s="221">
        <f t="shared" si="1112"/>
        <v>0</v>
      </c>
      <c r="G1050" s="221">
        <f t="shared" ref="G1050:H1050" si="1113">SUM(G1051:G1052)</f>
        <v>60000</v>
      </c>
      <c r="H1050" s="221">
        <f t="shared" si="1113"/>
        <v>60000</v>
      </c>
      <c r="I1050" s="221">
        <f t="shared" ref="I1050:M1050" si="1114">SUM(I1051:I1052)</f>
        <v>0</v>
      </c>
      <c r="J1050" s="221">
        <f t="shared" si="1114"/>
        <v>0</v>
      </c>
      <c r="K1050" s="221">
        <f t="shared" si="1114"/>
        <v>0</v>
      </c>
      <c r="L1050" s="221">
        <f t="shared" si="1114"/>
        <v>0</v>
      </c>
      <c r="M1050" s="221">
        <f t="shared" si="1114"/>
        <v>0</v>
      </c>
      <c r="N1050" s="221">
        <f t="shared" ref="N1050:O1050" si="1115">SUM(N1051:N1052)</f>
        <v>0</v>
      </c>
      <c r="O1050" s="221">
        <f t="shared" si="1115"/>
        <v>0</v>
      </c>
      <c r="P1050" s="221">
        <f t="shared" ref="P1050:Q1050" si="1116">SUM(P1051:P1052)</f>
        <v>0</v>
      </c>
      <c r="Q1050" s="221">
        <f t="shared" si="1116"/>
        <v>0</v>
      </c>
    </row>
    <row r="1051" spans="1:18" customFormat="1" ht="14.4" hidden="1" x14ac:dyDescent="0.3">
      <c r="A1051" s="266">
        <v>3131</v>
      </c>
      <c r="B1051" s="267" t="s">
        <v>9</v>
      </c>
      <c r="C1051" s="197">
        <v>30000</v>
      </c>
      <c r="D1051" s="197">
        <v>30000</v>
      </c>
      <c r="E1051" s="197"/>
      <c r="F1051" s="182">
        <f t="shared" si="1110"/>
        <v>0</v>
      </c>
      <c r="G1051" s="197">
        <v>30000</v>
      </c>
      <c r="H1051" s="197">
        <v>30000</v>
      </c>
      <c r="I1051" s="197"/>
      <c r="J1051" s="295"/>
      <c r="K1051" s="295"/>
      <c r="L1051" s="295"/>
      <c r="M1051" s="197"/>
      <c r="N1051" s="197"/>
      <c r="O1051" s="197"/>
      <c r="P1051" s="197"/>
      <c r="Q1051" s="197"/>
    </row>
    <row r="1052" spans="1:18" customFormat="1" ht="14.4" hidden="1" x14ac:dyDescent="0.3">
      <c r="A1052" s="266">
        <v>3132</v>
      </c>
      <c r="B1052" s="267" t="s">
        <v>10</v>
      </c>
      <c r="C1052" s="197">
        <v>30000</v>
      </c>
      <c r="D1052" s="197">
        <v>30000</v>
      </c>
      <c r="E1052" s="197"/>
      <c r="F1052" s="182">
        <f t="shared" si="1110"/>
        <v>0</v>
      </c>
      <c r="G1052" s="197">
        <v>30000</v>
      </c>
      <c r="H1052" s="197">
        <v>30000</v>
      </c>
      <c r="I1052" s="197"/>
      <c r="J1052" s="295"/>
      <c r="K1052" s="295"/>
      <c r="L1052" s="295"/>
      <c r="M1052" s="197"/>
      <c r="N1052" s="197"/>
      <c r="O1052" s="197"/>
      <c r="P1052" s="197"/>
      <c r="Q1052" s="197"/>
    </row>
    <row r="1053" spans="1:18" customFormat="1" ht="14.4" x14ac:dyDescent="0.3">
      <c r="A1053" s="281">
        <v>32</v>
      </c>
      <c r="B1053" s="282" t="s">
        <v>318</v>
      </c>
      <c r="C1053" s="187">
        <f t="shared" ref="C1053:F1053" si="1117">SUM(C1054,C1058,C1064,C1069,C1071)</f>
        <v>524000</v>
      </c>
      <c r="D1053" s="187">
        <f t="shared" si="1117"/>
        <v>524000</v>
      </c>
      <c r="E1053" s="187">
        <f t="shared" si="1117"/>
        <v>0</v>
      </c>
      <c r="F1053" s="187">
        <f t="shared" si="1117"/>
        <v>0</v>
      </c>
      <c r="G1053" s="187">
        <f t="shared" ref="G1053:H1053" si="1118">SUM(G1054,G1058,G1064,G1069,G1071)</f>
        <v>622000</v>
      </c>
      <c r="H1053" s="187">
        <f t="shared" si="1118"/>
        <v>722000</v>
      </c>
      <c r="I1053" s="187">
        <f t="shared" ref="I1053:N1053" si="1119">SUM(I1054,I1058,I1064,I1069,I1071)</f>
        <v>509000</v>
      </c>
      <c r="J1053" s="187">
        <f t="shared" si="1119"/>
        <v>280000</v>
      </c>
      <c r="K1053" s="187">
        <f t="shared" si="1119"/>
        <v>120600</v>
      </c>
      <c r="L1053" s="187">
        <f t="shared" si="1119"/>
        <v>349600</v>
      </c>
      <c r="M1053" s="187">
        <f t="shared" si="1119"/>
        <v>591000</v>
      </c>
      <c r="N1053" s="187">
        <f t="shared" si="1119"/>
        <v>732000</v>
      </c>
      <c r="O1053" s="187">
        <f t="shared" ref="O1053:P1053" si="1120">SUM(O1054,O1058,O1064,O1069,O1071)</f>
        <v>1270000</v>
      </c>
      <c r="P1053" s="187">
        <f t="shared" si="1120"/>
        <v>1080000</v>
      </c>
      <c r="Q1053" s="187">
        <f t="shared" ref="Q1053" si="1121">SUM(Q1054,Q1058,Q1064,Q1069,Q1071)</f>
        <v>1080000</v>
      </c>
    </row>
    <row r="1054" spans="1:18" customFormat="1" ht="14.4" x14ac:dyDescent="0.3">
      <c r="A1054" s="283">
        <v>321</v>
      </c>
      <c r="B1054" s="284" t="s">
        <v>12</v>
      </c>
      <c r="C1054" s="221">
        <f t="shared" ref="C1054:F1054" si="1122">SUM(C1055:C1057)</f>
        <v>247000</v>
      </c>
      <c r="D1054" s="221">
        <f t="shared" si="1122"/>
        <v>247000</v>
      </c>
      <c r="E1054" s="221">
        <f t="shared" si="1122"/>
        <v>0</v>
      </c>
      <c r="F1054" s="221">
        <f t="shared" si="1122"/>
        <v>0</v>
      </c>
      <c r="G1054" s="221">
        <f t="shared" ref="G1054:H1054" si="1123">SUM(G1055:G1057)</f>
        <v>345000</v>
      </c>
      <c r="H1054" s="221">
        <f t="shared" si="1123"/>
        <v>445000</v>
      </c>
      <c r="I1054" s="221">
        <f t="shared" ref="I1054:N1054" si="1124">SUM(I1055:I1057)</f>
        <v>247000</v>
      </c>
      <c r="J1054" s="221">
        <f t="shared" si="1124"/>
        <v>190000</v>
      </c>
      <c r="K1054" s="221">
        <f t="shared" si="1124"/>
        <v>0</v>
      </c>
      <c r="L1054" s="221">
        <f t="shared" si="1124"/>
        <v>57000</v>
      </c>
      <c r="M1054" s="221">
        <f t="shared" si="1124"/>
        <v>349000</v>
      </c>
      <c r="N1054" s="221">
        <f t="shared" si="1124"/>
        <v>450000</v>
      </c>
      <c r="O1054" s="221">
        <f t="shared" ref="O1054:P1054" si="1125">SUM(O1055:O1057)</f>
        <v>360000</v>
      </c>
      <c r="P1054" s="221">
        <f t="shared" si="1125"/>
        <v>360000</v>
      </c>
      <c r="Q1054" s="221">
        <f t="shared" ref="Q1054" si="1126">SUM(Q1055:Q1057)</f>
        <v>360000</v>
      </c>
    </row>
    <row r="1055" spans="1:18" customFormat="1" ht="14.4" x14ac:dyDescent="0.3">
      <c r="A1055" s="266">
        <v>3211</v>
      </c>
      <c r="B1055" s="267" t="s">
        <v>13</v>
      </c>
      <c r="C1055" s="197">
        <v>40000</v>
      </c>
      <c r="D1055" s="197">
        <v>40000</v>
      </c>
      <c r="E1055" s="197"/>
      <c r="F1055" s="182">
        <f t="shared" ref="F1055:F1072" si="1127">C1055-D1055+E1055</f>
        <v>0</v>
      </c>
      <c r="G1055" s="197">
        <v>40000</v>
      </c>
      <c r="H1055" s="197">
        <v>40000</v>
      </c>
      <c r="I1055" s="197">
        <v>40000</v>
      </c>
      <c r="J1055" s="295"/>
      <c r="K1055" s="295"/>
      <c r="L1055" s="220">
        <f>I1055-J1055+K1055</f>
        <v>40000</v>
      </c>
      <c r="M1055" s="197">
        <v>40000</v>
      </c>
      <c r="N1055" s="197">
        <v>40000</v>
      </c>
      <c r="O1055" s="197">
        <v>50000</v>
      </c>
      <c r="P1055" s="197">
        <v>50000</v>
      </c>
      <c r="Q1055" s="197">
        <v>50000</v>
      </c>
    </row>
    <row r="1056" spans="1:18" customFormat="1" ht="14.4" x14ac:dyDescent="0.3">
      <c r="A1056" s="266">
        <v>3212</v>
      </c>
      <c r="B1056" s="267" t="s">
        <v>14</v>
      </c>
      <c r="C1056" s="197">
        <v>7000</v>
      </c>
      <c r="D1056" s="197">
        <v>7000</v>
      </c>
      <c r="E1056" s="197"/>
      <c r="F1056" s="182">
        <f t="shared" si="1127"/>
        <v>0</v>
      </c>
      <c r="G1056" s="197">
        <v>7000</v>
      </c>
      <c r="H1056" s="197">
        <v>7000</v>
      </c>
      <c r="I1056" s="197">
        <v>7000</v>
      </c>
      <c r="J1056" s="295"/>
      <c r="K1056" s="295"/>
      <c r="L1056" s="220">
        <f>I1056-J1056+K1056</f>
        <v>7000</v>
      </c>
      <c r="M1056" s="197">
        <v>9000</v>
      </c>
      <c r="N1056" s="197">
        <v>10000</v>
      </c>
      <c r="O1056" s="197">
        <v>10000</v>
      </c>
      <c r="P1056" s="197">
        <v>10000</v>
      </c>
      <c r="Q1056" s="197">
        <v>10000</v>
      </c>
    </row>
    <row r="1057" spans="1:17" customFormat="1" ht="14.4" x14ac:dyDescent="0.3">
      <c r="A1057" s="266">
        <v>3213</v>
      </c>
      <c r="B1057" s="267" t="s">
        <v>15</v>
      </c>
      <c r="C1057" s="197">
        <v>200000</v>
      </c>
      <c r="D1057" s="197">
        <v>200000</v>
      </c>
      <c r="E1057" s="197"/>
      <c r="F1057" s="182">
        <f t="shared" si="1127"/>
        <v>0</v>
      </c>
      <c r="G1057" s="197">
        <v>298000</v>
      </c>
      <c r="H1057" s="197">
        <v>398000</v>
      </c>
      <c r="I1057" s="197">
        <v>200000</v>
      </c>
      <c r="J1057" s="295">
        <v>190000</v>
      </c>
      <c r="K1057" s="295"/>
      <c r="L1057" s="220">
        <f>I1057-J1057+K1057</f>
        <v>10000</v>
      </c>
      <c r="M1057" s="197">
        <v>300000</v>
      </c>
      <c r="N1057" s="197">
        <v>400000</v>
      </c>
      <c r="O1057" s="197">
        <v>300000</v>
      </c>
      <c r="P1057" s="197">
        <v>300000</v>
      </c>
      <c r="Q1057" s="197">
        <v>300000</v>
      </c>
    </row>
    <row r="1058" spans="1:17" customFormat="1" ht="14.4" x14ac:dyDescent="0.3">
      <c r="A1058" s="283">
        <v>322</v>
      </c>
      <c r="B1058" s="284" t="s">
        <v>16</v>
      </c>
      <c r="C1058" s="221">
        <f t="shared" ref="C1058:F1058" si="1128">SUM(C1059:C1063)</f>
        <v>68000</v>
      </c>
      <c r="D1058" s="221">
        <f t="shared" si="1128"/>
        <v>68000</v>
      </c>
      <c r="E1058" s="221">
        <f t="shared" si="1128"/>
        <v>0</v>
      </c>
      <c r="F1058" s="221">
        <f t="shared" si="1128"/>
        <v>0</v>
      </c>
      <c r="G1058" s="221">
        <f t="shared" ref="G1058:H1058" si="1129">SUM(G1059:G1063)</f>
        <v>68000</v>
      </c>
      <c r="H1058" s="221">
        <f t="shared" si="1129"/>
        <v>68000</v>
      </c>
      <c r="I1058" s="221">
        <f t="shared" ref="I1058:N1058" si="1130">SUM(I1059:I1063)</f>
        <v>70000</v>
      </c>
      <c r="J1058" s="221">
        <f t="shared" si="1130"/>
        <v>0</v>
      </c>
      <c r="K1058" s="221">
        <f t="shared" si="1130"/>
        <v>60600</v>
      </c>
      <c r="L1058" s="221">
        <f t="shared" si="1130"/>
        <v>130600</v>
      </c>
      <c r="M1058" s="221">
        <f t="shared" si="1130"/>
        <v>85000</v>
      </c>
      <c r="N1058" s="221">
        <f t="shared" si="1130"/>
        <v>85000</v>
      </c>
      <c r="O1058" s="221">
        <f t="shared" ref="O1058:P1058" si="1131">SUM(O1059:O1063)</f>
        <v>470000</v>
      </c>
      <c r="P1058" s="221">
        <f t="shared" si="1131"/>
        <v>290000</v>
      </c>
      <c r="Q1058" s="221">
        <f t="shared" ref="Q1058" si="1132">SUM(Q1059:Q1063)</f>
        <v>290000</v>
      </c>
    </row>
    <row r="1059" spans="1:17" customFormat="1" ht="14.4" x14ac:dyDescent="0.3">
      <c r="A1059" s="266">
        <v>3221</v>
      </c>
      <c r="B1059" s="267" t="s">
        <v>17</v>
      </c>
      <c r="C1059" s="197">
        <v>5000</v>
      </c>
      <c r="D1059" s="197">
        <v>5000</v>
      </c>
      <c r="E1059" s="197"/>
      <c r="F1059" s="182">
        <f t="shared" si="1127"/>
        <v>0</v>
      </c>
      <c r="G1059" s="197">
        <v>5000</v>
      </c>
      <c r="H1059" s="197">
        <v>5000</v>
      </c>
      <c r="I1059" s="197">
        <v>5000</v>
      </c>
      <c r="J1059" s="295"/>
      <c r="K1059" s="295"/>
      <c r="L1059" s="220">
        <f>I1059-J1059+K1059</f>
        <v>5000</v>
      </c>
      <c r="M1059" s="197">
        <v>5000</v>
      </c>
      <c r="N1059" s="197">
        <v>5000</v>
      </c>
      <c r="O1059" s="197">
        <v>5000</v>
      </c>
      <c r="P1059" s="197">
        <v>5000</v>
      </c>
      <c r="Q1059" s="197">
        <v>5000</v>
      </c>
    </row>
    <row r="1060" spans="1:17" customFormat="1" ht="14.4" x14ac:dyDescent="0.3">
      <c r="A1060" s="266">
        <v>3222</v>
      </c>
      <c r="B1060" s="267" t="s">
        <v>18</v>
      </c>
      <c r="C1060" s="197">
        <v>14000</v>
      </c>
      <c r="D1060" s="197">
        <v>14000</v>
      </c>
      <c r="E1060" s="197"/>
      <c r="F1060" s="182">
        <f t="shared" si="1127"/>
        <v>0</v>
      </c>
      <c r="G1060" s="197">
        <v>14000</v>
      </c>
      <c r="H1060" s="197">
        <v>14000</v>
      </c>
      <c r="I1060" s="197">
        <v>15000</v>
      </c>
      <c r="J1060" s="295"/>
      <c r="K1060" s="295"/>
      <c r="L1060" s="220">
        <f>I1060-J1060+K1060</f>
        <v>15000</v>
      </c>
      <c r="M1060" s="197">
        <v>15000</v>
      </c>
      <c r="N1060" s="197">
        <v>15000</v>
      </c>
      <c r="O1060" s="197">
        <v>15000</v>
      </c>
      <c r="P1060" s="197">
        <v>15000</v>
      </c>
      <c r="Q1060" s="197">
        <v>15000</v>
      </c>
    </row>
    <row r="1061" spans="1:17" customFormat="1" ht="14.4" x14ac:dyDescent="0.3">
      <c r="A1061" s="266">
        <v>3223</v>
      </c>
      <c r="B1061" s="267" t="s">
        <v>19</v>
      </c>
      <c r="C1061" s="197">
        <v>27000</v>
      </c>
      <c r="D1061" s="197">
        <v>27000</v>
      </c>
      <c r="E1061" s="197"/>
      <c r="F1061" s="182">
        <f t="shared" si="1127"/>
        <v>0</v>
      </c>
      <c r="G1061" s="197">
        <v>27000</v>
      </c>
      <c r="H1061" s="197">
        <v>27000</v>
      </c>
      <c r="I1061" s="197">
        <v>28000</v>
      </c>
      <c r="J1061" s="295"/>
      <c r="K1061" s="295">
        <v>60600</v>
      </c>
      <c r="L1061" s="220">
        <f>I1061-J1061+K1061</f>
        <v>88600</v>
      </c>
      <c r="M1061" s="197">
        <v>30000</v>
      </c>
      <c r="N1061" s="197">
        <v>25000</v>
      </c>
      <c r="O1061" s="197">
        <v>430000</v>
      </c>
      <c r="P1061" s="197">
        <v>250000</v>
      </c>
      <c r="Q1061" s="197">
        <v>250000</v>
      </c>
    </row>
    <row r="1062" spans="1:17" customFormat="1" ht="21" customHeight="1" x14ac:dyDescent="0.3">
      <c r="A1062" s="266">
        <v>3224</v>
      </c>
      <c r="B1062" s="267" t="s">
        <v>112</v>
      </c>
      <c r="C1062" s="197">
        <v>2000</v>
      </c>
      <c r="D1062" s="197">
        <v>2000</v>
      </c>
      <c r="E1062" s="197"/>
      <c r="F1062" s="182">
        <f t="shared" si="1127"/>
        <v>0</v>
      </c>
      <c r="G1062" s="197">
        <v>2000</v>
      </c>
      <c r="H1062" s="197">
        <v>2000</v>
      </c>
      <c r="I1062" s="197">
        <v>2000</v>
      </c>
      <c r="J1062" s="295"/>
      <c r="K1062" s="295"/>
      <c r="L1062" s="220">
        <f>I1062-J1062+K1062</f>
        <v>2000</v>
      </c>
      <c r="M1062" s="197">
        <v>15000</v>
      </c>
      <c r="N1062" s="197">
        <v>20000</v>
      </c>
      <c r="O1062" s="197">
        <v>10000</v>
      </c>
      <c r="P1062" s="197">
        <v>10000</v>
      </c>
      <c r="Q1062" s="197">
        <v>10000</v>
      </c>
    </row>
    <row r="1063" spans="1:17" customFormat="1" ht="14.4" x14ac:dyDescent="0.3">
      <c r="A1063" s="266">
        <v>3225</v>
      </c>
      <c r="B1063" s="267" t="s">
        <v>21</v>
      </c>
      <c r="C1063" s="197">
        <v>20000</v>
      </c>
      <c r="D1063" s="197">
        <v>20000</v>
      </c>
      <c r="E1063" s="197"/>
      <c r="F1063" s="182">
        <f t="shared" si="1127"/>
        <v>0</v>
      </c>
      <c r="G1063" s="197">
        <v>20000</v>
      </c>
      <c r="H1063" s="197">
        <v>20000</v>
      </c>
      <c r="I1063" s="197">
        <v>20000</v>
      </c>
      <c r="J1063" s="295"/>
      <c r="K1063" s="295"/>
      <c r="L1063" s="220">
        <f>I1063-J1063+K1063</f>
        <v>20000</v>
      </c>
      <c r="M1063" s="197">
        <v>20000</v>
      </c>
      <c r="N1063" s="197">
        <v>20000</v>
      </c>
      <c r="O1063" s="197">
        <v>10000</v>
      </c>
      <c r="P1063" s="197">
        <v>10000</v>
      </c>
      <c r="Q1063" s="197">
        <v>10000</v>
      </c>
    </row>
    <row r="1064" spans="1:17" customFormat="1" ht="14.4" x14ac:dyDescent="0.3">
      <c r="A1064" s="283">
        <v>323</v>
      </c>
      <c r="B1064" s="284" t="s">
        <v>23</v>
      </c>
      <c r="C1064" s="221">
        <f t="shared" ref="C1064:F1064" si="1133">SUM(C1065:C1068)</f>
        <v>122000</v>
      </c>
      <c r="D1064" s="221">
        <f t="shared" si="1133"/>
        <v>122000</v>
      </c>
      <c r="E1064" s="221">
        <f t="shared" si="1133"/>
        <v>0</v>
      </c>
      <c r="F1064" s="221">
        <f t="shared" si="1133"/>
        <v>0</v>
      </c>
      <c r="G1064" s="221">
        <f t="shared" ref="G1064:H1064" si="1134">SUM(G1065:G1068)</f>
        <v>122000</v>
      </c>
      <c r="H1064" s="221">
        <f t="shared" si="1134"/>
        <v>122000</v>
      </c>
      <c r="I1064" s="221">
        <f t="shared" ref="I1064:N1064" si="1135">SUM(I1065:I1068)</f>
        <v>167000</v>
      </c>
      <c r="J1064" s="221">
        <f t="shared" si="1135"/>
        <v>90000</v>
      </c>
      <c r="K1064" s="221">
        <f t="shared" si="1135"/>
        <v>60000</v>
      </c>
      <c r="L1064" s="221">
        <f t="shared" si="1135"/>
        <v>137000</v>
      </c>
      <c r="M1064" s="221">
        <f t="shared" si="1135"/>
        <v>132000</v>
      </c>
      <c r="N1064" s="221">
        <f t="shared" si="1135"/>
        <v>172000</v>
      </c>
      <c r="O1064" s="221">
        <f t="shared" ref="O1064:P1064" si="1136">SUM(O1065:O1068)</f>
        <v>440000</v>
      </c>
      <c r="P1064" s="221">
        <f t="shared" si="1136"/>
        <v>430000</v>
      </c>
      <c r="Q1064" s="221">
        <f t="shared" ref="Q1064" si="1137">SUM(Q1065:Q1068)</f>
        <v>430000</v>
      </c>
    </row>
    <row r="1065" spans="1:17" customFormat="1" ht="14.4" x14ac:dyDescent="0.3">
      <c r="A1065" s="266">
        <v>3231</v>
      </c>
      <c r="B1065" s="267" t="s">
        <v>24</v>
      </c>
      <c r="C1065" s="197">
        <v>3000</v>
      </c>
      <c r="D1065" s="197">
        <v>3000</v>
      </c>
      <c r="E1065" s="197"/>
      <c r="F1065" s="182">
        <f t="shared" si="1127"/>
        <v>0</v>
      </c>
      <c r="G1065" s="197">
        <v>3000</v>
      </c>
      <c r="H1065" s="197">
        <v>3000</v>
      </c>
      <c r="I1065" s="197">
        <v>2000</v>
      </c>
      <c r="J1065" s="295"/>
      <c r="K1065" s="295"/>
      <c r="L1065" s="220">
        <f>I1065-J1065+K1065</f>
        <v>2000</v>
      </c>
      <c r="M1065" s="197">
        <v>2000</v>
      </c>
      <c r="N1065" s="197">
        <v>2000</v>
      </c>
      <c r="O1065" s="197">
        <v>5000</v>
      </c>
      <c r="P1065" s="197">
        <v>5000</v>
      </c>
      <c r="Q1065" s="197">
        <v>5000</v>
      </c>
    </row>
    <row r="1066" spans="1:17" customFormat="1" ht="14.4" x14ac:dyDescent="0.3">
      <c r="A1066" s="266">
        <v>3232</v>
      </c>
      <c r="B1066" s="267" t="s">
        <v>25</v>
      </c>
      <c r="C1066" s="197">
        <v>55000</v>
      </c>
      <c r="D1066" s="197">
        <v>55000</v>
      </c>
      <c r="E1066" s="197"/>
      <c r="F1066" s="182">
        <f t="shared" si="1127"/>
        <v>0</v>
      </c>
      <c r="G1066" s="197">
        <v>55000</v>
      </c>
      <c r="H1066" s="197">
        <v>55000</v>
      </c>
      <c r="I1066" s="197">
        <v>55000</v>
      </c>
      <c r="J1066" s="295"/>
      <c r="K1066" s="295">
        <v>60000</v>
      </c>
      <c r="L1066" s="220">
        <f>I1066-J1066+K1066</f>
        <v>115000</v>
      </c>
      <c r="M1066" s="197">
        <v>55000</v>
      </c>
      <c r="N1066" s="197">
        <v>55000</v>
      </c>
      <c r="O1066" s="197">
        <v>350000</v>
      </c>
      <c r="P1066" s="197">
        <v>350000</v>
      </c>
      <c r="Q1066" s="197">
        <v>350000</v>
      </c>
    </row>
    <row r="1067" spans="1:17" customFormat="1" ht="14.4" x14ac:dyDescent="0.3">
      <c r="A1067" s="266">
        <v>3233</v>
      </c>
      <c r="B1067" s="267" t="s">
        <v>26</v>
      </c>
      <c r="C1067" s="197">
        <v>10000</v>
      </c>
      <c r="D1067" s="197">
        <v>10000</v>
      </c>
      <c r="E1067" s="197"/>
      <c r="F1067" s="182">
        <f t="shared" si="1127"/>
        <v>0</v>
      </c>
      <c r="G1067" s="197">
        <v>10000</v>
      </c>
      <c r="H1067" s="197">
        <v>10000</v>
      </c>
      <c r="I1067" s="197">
        <v>10000</v>
      </c>
      <c r="J1067" s="295"/>
      <c r="K1067" s="295"/>
      <c r="L1067" s="220">
        <f>I1067-J1067+K1067</f>
        <v>10000</v>
      </c>
      <c r="M1067" s="197">
        <v>15000</v>
      </c>
      <c r="N1067" s="197">
        <v>15000</v>
      </c>
      <c r="O1067" s="197">
        <v>15000</v>
      </c>
      <c r="P1067" s="197">
        <v>15000</v>
      </c>
      <c r="Q1067" s="197">
        <v>15000</v>
      </c>
    </row>
    <row r="1068" spans="1:17" customFormat="1" ht="13.05" customHeight="1" x14ac:dyDescent="0.3">
      <c r="A1068" s="266">
        <v>3237</v>
      </c>
      <c r="B1068" s="267" t="s">
        <v>30</v>
      </c>
      <c r="C1068" s="197">
        <v>54000</v>
      </c>
      <c r="D1068" s="197">
        <v>54000</v>
      </c>
      <c r="E1068" s="197"/>
      <c r="F1068" s="182">
        <f t="shared" si="1127"/>
        <v>0</v>
      </c>
      <c r="G1068" s="197">
        <v>54000</v>
      </c>
      <c r="H1068" s="197">
        <v>54000</v>
      </c>
      <c r="I1068" s="197">
        <v>100000</v>
      </c>
      <c r="J1068" s="295">
        <v>90000</v>
      </c>
      <c r="K1068" s="295"/>
      <c r="L1068" s="220">
        <f>I1068-J1068+K1068</f>
        <v>10000</v>
      </c>
      <c r="M1068" s="197">
        <v>60000</v>
      </c>
      <c r="N1068" s="197">
        <v>100000</v>
      </c>
      <c r="O1068" s="197">
        <v>70000</v>
      </c>
      <c r="P1068" s="197">
        <v>60000</v>
      </c>
      <c r="Q1068" s="197">
        <v>60000</v>
      </c>
    </row>
    <row r="1069" spans="1:17" customFormat="1" ht="26.4" hidden="1" x14ac:dyDescent="0.3">
      <c r="A1069" s="283">
        <v>324</v>
      </c>
      <c r="B1069" s="284" t="s">
        <v>32</v>
      </c>
      <c r="C1069" s="221">
        <f t="shared" ref="C1069:Q1069" si="1138">SUM(C1070)</f>
        <v>20000</v>
      </c>
      <c r="D1069" s="221">
        <f t="shared" si="1138"/>
        <v>20000</v>
      </c>
      <c r="E1069" s="221">
        <f t="shared" si="1138"/>
        <v>0</v>
      </c>
      <c r="F1069" s="221">
        <f t="shared" si="1138"/>
        <v>0</v>
      </c>
      <c r="G1069" s="221">
        <f t="shared" si="1138"/>
        <v>20000</v>
      </c>
      <c r="H1069" s="221">
        <f t="shared" si="1138"/>
        <v>20000</v>
      </c>
      <c r="I1069" s="221">
        <f t="shared" si="1138"/>
        <v>0</v>
      </c>
      <c r="J1069" s="221">
        <f t="shared" si="1138"/>
        <v>0</v>
      </c>
      <c r="K1069" s="221">
        <f t="shared" si="1138"/>
        <v>0</v>
      </c>
      <c r="L1069" s="221">
        <f t="shared" si="1138"/>
        <v>0</v>
      </c>
      <c r="M1069" s="221">
        <f t="shared" si="1138"/>
        <v>0</v>
      </c>
      <c r="N1069" s="221">
        <f t="shared" si="1138"/>
        <v>0</v>
      </c>
      <c r="O1069" s="221">
        <f t="shared" si="1138"/>
        <v>0</v>
      </c>
      <c r="P1069" s="221">
        <f t="shared" si="1138"/>
        <v>0</v>
      </c>
      <c r="Q1069" s="221">
        <f t="shared" si="1138"/>
        <v>0</v>
      </c>
    </row>
    <row r="1070" spans="1:17" customFormat="1" ht="26.4" hidden="1" x14ac:dyDescent="0.3">
      <c r="A1070" s="266">
        <v>3241</v>
      </c>
      <c r="B1070" s="267" t="s">
        <v>32</v>
      </c>
      <c r="C1070" s="197">
        <v>20000</v>
      </c>
      <c r="D1070" s="197">
        <v>20000</v>
      </c>
      <c r="E1070" s="197"/>
      <c r="F1070" s="182">
        <f t="shared" si="1127"/>
        <v>0</v>
      </c>
      <c r="G1070" s="197">
        <v>20000</v>
      </c>
      <c r="H1070" s="197">
        <v>20000</v>
      </c>
      <c r="I1070" s="197"/>
      <c r="J1070" s="295"/>
      <c r="K1070" s="295"/>
      <c r="L1070" s="295"/>
      <c r="M1070" s="197"/>
      <c r="N1070" s="197"/>
      <c r="O1070" s="197"/>
      <c r="P1070" s="197"/>
      <c r="Q1070" s="197"/>
    </row>
    <row r="1071" spans="1:17" customFormat="1" ht="14.4" hidden="1" x14ac:dyDescent="0.3">
      <c r="A1071" s="283" t="s">
        <v>170</v>
      </c>
      <c r="B1071" s="284" t="s">
        <v>33</v>
      </c>
      <c r="C1071" s="221">
        <f t="shared" ref="C1071:Q1071" si="1139">SUM(C1072)</f>
        <v>67000</v>
      </c>
      <c r="D1071" s="221">
        <f t="shared" si="1139"/>
        <v>67000</v>
      </c>
      <c r="E1071" s="221">
        <f t="shared" si="1139"/>
        <v>0</v>
      </c>
      <c r="F1071" s="221">
        <f t="shared" si="1139"/>
        <v>0</v>
      </c>
      <c r="G1071" s="221">
        <f t="shared" si="1139"/>
        <v>67000</v>
      </c>
      <c r="H1071" s="221">
        <f t="shared" si="1139"/>
        <v>67000</v>
      </c>
      <c r="I1071" s="221">
        <f t="shared" si="1139"/>
        <v>25000</v>
      </c>
      <c r="J1071" s="221">
        <f t="shared" si="1139"/>
        <v>0</v>
      </c>
      <c r="K1071" s="221">
        <f t="shared" si="1139"/>
        <v>0</v>
      </c>
      <c r="L1071" s="221">
        <f t="shared" si="1139"/>
        <v>25000</v>
      </c>
      <c r="M1071" s="221">
        <f t="shared" si="1139"/>
        <v>25000</v>
      </c>
      <c r="N1071" s="221">
        <f t="shared" si="1139"/>
        <v>25000</v>
      </c>
      <c r="O1071" s="221">
        <f t="shared" si="1139"/>
        <v>0</v>
      </c>
      <c r="P1071" s="221">
        <f t="shared" si="1139"/>
        <v>0</v>
      </c>
      <c r="Q1071" s="221">
        <f t="shared" si="1139"/>
        <v>0</v>
      </c>
    </row>
    <row r="1072" spans="1:17" customFormat="1" ht="14.4" hidden="1" x14ac:dyDescent="0.3">
      <c r="A1072" s="266">
        <v>3294</v>
      </c>
      <c r="B1072" s="267" t="s">
        <v>37</v>
      </c>
      <c r="C1072" s="197">
        <v>67000</v>
      </c>
      <c r="D1072" s="197">
        <v>67000</v>
      </c>
      <c r="E1072" s="197"/>
      <c r="F1072" s="182">
        <f t="shared" si="1127"/>
        <v>0</v>
      </c>
      <c r="G1072" s="197">
        <v>67000</v>
      </c>
      <c r="H1072" s="197">
        <v>67000</v>
      </c>
      <c r="I1072" s="197">
        <v>25000</v>
      </c>
      <c r="J1072" s="295"/>
      <c r="K1072" s="295"/>
      <c r="L1072" s="220">
        <f>I1072-J1072+K1072</f>
        <v>25000</v>
      </c>
      <c r="M1072" s="197">
        <v>25000</v>
      </c>
      <c r="N1072" s="197">
        <v>25000</v>
      </c>
      <c r="O1072" s="197"/>
      <c r="P1072" s="197"/>
      <c r="Q1072" s="197"/>
    </row>
    <row r="1073" spans="1:17" customFormat="1" ht="26.4" x14ac:dyDescent="0.3">
      <c r="A1073" s="174">
        <v>41</v>
      </c>
      <c r="B1073" s="186" t="s">
        <v>328</v>
      </c>
      <c r="C1073" s="187">
        <f t="shared" ref="C1073:Q1074" si="1140">SUM(C1074)</f>
        <v>1990000</v>
      </c>
      <c r="D1073" s="187">
        <f t="shared" si="1140"/>
        <v>1990000</v>
      </c>
      <c r="E1073" s="187">
        <f t="shared" si="1140"/>
        <v>0</v>
      </c>
      <c r="F1073" s="187">
        <f t="shared" si="1140"/>
        <v>0</v>
      </c>
      <c r="G1073" s="187">
        <f t="shared" si="1140"/>
        <v>1990000</v>
      </c>
      <c r="H1073" s="187">
        <f t="shared" si="1140"/>
        <v>1990000</v>
      </c>
      <c r="I1073" s="187">
        <f t="shared" si="1140"/>
        <v>500000</v>
      </c>
      <c r="J1073" s="187">
        <f t="shared" si="1140"/>
        <v>400000</v>
      </c>
      <c r="K1073" s="187">
        <f t="shared" si="1140"/>
        <v>0</v>
      </c>
      <c r="L1073" s="187">
        <f t="shared" si="1140"/>
        <v>100000</v>
      </c>
      <c r="M1073" s="187">
        <f t="shared" si="1140"/>
        <v>1500000</v>
      </c>
      <c r="N1073" s="187">
        <f t="shared" si="1140"/>
        <v>1500000</v>
      </c>
      <c r="O1073" s="187">
        <f t="shared" si="1140"/>
        <v>1400000</v>
      </c>
      <c r="P1073" s="187">
        <f t="shared" si="1140"/>
        <v>1100000</v>
      </c>
      <c r="Q1073" s="187">
        <f t="shared" si="1140"/>
        <v>1100000</v>
      </c>
    </row>
    <row r="1074" spans="1:17" customFormat="1" ht="14.4" x14ac:dyDescent="0.3">
      <c r="A1074" s="283">
        <v>412</v>
      </c>
      <c r="B1074" s="284" t="s">
        <v>67</v>
      </c>
      <c r="C1074" s="221">
        <f t="shared" si="1140"/>
        <v>1990000</v>
      </c>
      <c r="D1074" s="221">
        <f t="shared" si="1140"/>
        <v>1990000</v>
      </c>
      <c r="E1074" s="221">
        <f t="shared" si="1140"/>
        <v>0</v>
      </c>
      <c r="F1074" s="221">
        <f t="shared" si="1140"/>
        <v>0</v>
      </c>
      <c r="G1074" s="221">
        <f t="shared" si="1140"/>
        <v>1990000</v>
      </c>
      <c r="H1074" s="221">
        <f t="shared" si="1140"/>
        <v>1990000</v>
      </c>
      <c r="I1074" s="221">
        <f t="shared" si="1140"/>
        <v>500000</v>
      </c>
      <c r="J1074" s="221">
        <f t="shared" si="1140"/>
        <v>400000</v>
      </c>
      <c r="K1074" s="221">
        <f t="shared" si="1140"/>
        <v>0</v>
      </c>
      <c r="L1074" s="221">
        <f t="shared" si="1140"/>
        <v>100000</v>
      </c>
      <c r="M1074" s="221">
        <f t="shared" si="1140"/>
        <v>1500000</v>
      </c>
      <c r="N1074" s="221">
        <f t="shared" si="1140"/>
        <v>1500000</v>
      </c>
      <c r="O1074" s="221">
        <f t="shared" si="1140"/>
        <v>1400000</v>
      </c>
      <c r="P1074" s="221">
        <f t="shared" si="1140"/>
        <v>1100000</v>
      </c>
      <c r="Q1074" s="221">
        <f t="shared" si="1140"/>
        <v>1100000</v>
      </c>
    </row>
    <row r="1075" spans="1:17" customFormat="1" ht="14.4" x14ac:dyDescent="0.3">
      <c r="A1075" s="266">
        <v>4123</v>
      </c>
      <c r="B1075" s="267" t="s">
        <v>68</v>
      </c>
      <c r="C1075" s="197">
        <v>1990000</v>
      </c>
      <c r="D1075" s="197">
        <v>1990000</v>
      </c>
      <c r="E1075" s="197"/>
      <c r="F1075" s="182">
        <f t="shared" ref="F1075" si="1141">C1075-D1075+E1075</f>
        <v>0</v>
      </c>
      <c r="G1075" s="197">
        <v>1990000</v>
      </c>
      <c r="H1075" s="197">
        <v>1990000</v>
      </c>
      <c r="I1075" s="195">
        <f>1500000-1000000</f>
        <v>500000</v>
      </c>
      <c r="J1075" s="297">
        <v>400000</v>
      </c>
      <c r="K1075" s="297"/>
      <c r="L1075" s="220">
        <f>I1075-J1075+K1075</f>
        <v>100000</v>
      </c>
      <c r="M1075" s="197">
        <v>1500000</v>
      </c>
      <c r="N1075" s="197">
        <v>1500000</v>
      </c>
      <c r="O1075" s="197">
        <v>1400000</v>
      </c>
      <c r="P1075" s="197">
        <v>1100000</v>
      </c>
      <c r="Q1075" s="197">
        <v>1100000</v>
      </c>
    </row>
    <row r="1076" spans="1:17" customFormat="1" ht="14.4" x14ac:dyDescent="0.3">
      <c r="A1076" s="281">
        <v>42</v>
      </c>
      <c r="B1076" s="186" t="s">
        <v>324</v>
      </c>
      <c r="C1076" s="187">
        <f t="shared" ref="C1076:F1076" si="1142">SUM(C1077,C1083,C1085)</f>
        <v>3701000</v>
      </c>
      <c r="D1076" s="187">
        <f t="shared" si="1142"/>
        <v>3701000</v>
      </c>
      <c r="E1076" s="187">
        <f t="shared" si="1142"/>
        <v>0</v>
      </c>
      <c r="F1076" s="187">
        <f t="shared" si="1142"/>
        <v>0</v>
      </c>
      <c r="G1076" s="187">
        <f t="shared" ref="G1076:H1076" si="1143">SUM(G1077,G1083,G1085)</f>
        <v>5250000</v>
      </c>
      <c r="H1076" s="187">
        <f t="shared" si="1143"/>
        <v>6679000</v>
      </c>
      <c r="I1076" s="187">
        <f t="shared" ref="I1076:N1076" si="1144">SUM(I1077,I1083,I1085)</f>
        <v>2190000</v>
      </c>
      <c r="J1076" s="187">
        <f t="shared" si="1144"/>
        <v>1600000</v>
      </c>
      <c r="K1076" s="187">
        <f t="shared" si="1144"/>
        <v>0</v>
      </c>
      <c r="L1076" s="187">
        <f t="shared" si="1144"/>
        <v>590000</v>
      </c>
      <c r="M1076" s="187">
        <f t="shared" si="1144"/>
        <v>2990000</v>
      </c>
      <c r="N1076" s="187">
        <f t="shared" si="1144"/>
        <v>2940000</v>
      </c>
      <c r="O1076" s="187">
        <f t="shared" ref="O1076:P1076" si="1145">SUM(O1077,O1083,O1085)</f>
        <v>11760000</v>
      </c>
      <c r="P1076" s="187">
        <f t="shared" si="1145"/>
        <v>3950000</v>
      </c>
      <c r="Q1076" s="187">
        <f t="shared" ref="Q1076" si="1146">SUM(Q1077,Q1083,Q1085)</f>
        <v>3950000</v>
      </c>
    </row>
    <row r="1077" spans="1:17" customFormat="1" ht="14.4" x14ac:dyDescent="0.3">
      <c r="A1077" s="283">
        <v>422</v>
      </c>
      <c r="B1077" s="284" t="s">
        <v>53</v>
      </c>
      <c r="C1077" s="221">
        <f t="shared" ref="C1077:F1077" si="1147">SUM(C1078:C1082)</f>
        <v>2675000</v>
      </c>
      <c r="D1077" s="221">
        <f t="shared" si="1147"/>
        <v>2675000</v>
      </c>
      <c r="E1077" s="221">
        <f t="shared" si="1147"/>
        <v>0</v>
      </c>
      <c r="F1077" s="221">
        <f t="shared" si="1147"/>
        <v>0</v>
      </c>
      <c r="G1077" s="221">
        <f t="shared" ref="G1077:H1077" si="1148">SUM(G1078:G1082)</f>
        <v>3926000</v>
      </c>
      <c r="H1077" s="221">
        <f t="shared" si="1148"/>
        <v>5156000</v>
      </c>
      <c r="I1077" s="221">
        <f t="shared" ref="I1077:N1077" si="1149">SUM(I1078:I1082)</f>
        <v>1190000</v>
      </c>
      <c r="J1077" s="221">
        <f t="shared" si="1149"/>
        <v>800000</v>
      </c>
      <c r="K1077" s="221">
        <f t="shared" si="1149"/>
        <v>0</v>
      </c>
      <c r="L1077" s="221">
        <f t="shared" si="1149"/>
        <v>390000</v>
      </c>
      <c r="M1077" s="221">
        <f t="shared" si="1149"/>
        <v>1690000</v>
      </c>
      <c r="N1077" s="221">
        <f t="shared" si="1149"/>
        <v>1690000</v>
      </c>
      <c r="O1077" s="221">
        <f t="shared" ref="O1077:P1077" si="1150">SUM(O1078:O1082)</f>
        <v>7760000</v>
      </c>
      <c r="P1077" s="221">
        <f t="shared" si="1150"/>
        <v>2450000</v>
      </c>
      <c r="Q1077" s="221">
        <f t="shared" ref="Q1077" si="1151">SUM(Q1078:Q1082)</f>
        <v>2450000</v>
      </c>
    </row>
    <row r="1078" spans="1:17" customFormat="1" ht="14.4" x14ac:dyDescent="0.3">
      <c r="A1078" s="266">
        <v>4221</v>
      </c>
      <c r="B1078" s="267" t="s">
        <v>54</v>
      </c>
      <c r="C1078" s="197">
        <v>339000</v>
      </c>
      <c r="D1078" s="197">
        <v>339000</v>
      </c>
      <c r="E1078" s="197"/>
      <c r="F1078" s="182">
        <f t="shared" ref="F1078:F1086" si="1152">C1078-D1078+E1078</f>
        <v>0</v>
      </c>
      <c r="G1078" s="197">
        <v>796000</v>
      </c>
      <c r="H1078" s="197">
        <v>338000</v>
      </c>
      <c r="I1078" s="197">
        <v>150000</v>
      </c>
      <c r="J1078" s="295"/>
      <c r="K1078" s="295"/>
      <c r="L1078" s="220">
        <f>I1078-J1078+K1078</f>
        <v>150000</v>
      </c>
      <c r="M1078" s="197">
        <v>150000</v>
      </c>
      <c r="N1078" s="197">
        <v>150000</v>
      </c>
      <c r="O1078" s="197">
        <v>400000</v>
      </c>
      <c r="P1078" s="197">
        <v>150000</v>
      </c>
      <c r="Q1078" s="197">
        <v>150000</v>
      </c>
    </row>
    <row r="1079" spans="1:17" customFormat="1" ht="14.4" x14ac:dyDescent="0.3">
      <c r="A1079" s="266">
        <v>4222</v>
      </c>
      <c r="B1079" s="267" t="s">
        <v>58</v>
      </c>
      <c r="C1079" s="197">
        <v>498000</v>
      </c>
      <c r="D1079" s="197">
        <v>498000</v>
      </c>
      <c r="E1079" s="197"/>
      <c r="F1079" s="182">
        <f t="shared" si="1152"/>
        <v>0</v>
      </c>
      <c r="G1079" s="197">
        <v>597000</v>
      </c>
      <c r="H1079" s="197">
        <v>796000</v>
      </c>
      <c r="I1079" s="197">
        <v>500000</v>
      </c>
      <c r="J1079" s="295">
        <v>400000</v>
      </c>
      <c r="K1079" s="295"/>
      <c r="L1079" s="220">
        <f>I1079-J1079+K1079</f>
        <v>100000</v>
      </c>
      <c r="M1079" s="197">
        <v>500000</v>
      </c>
      <c r="N1079" s="197">
        <v>500000</v>
      </c>
      <c r="O1079" s="197">
        <v>250000</v>
      </c>
      <c r="P1079" s="197">
        <v>250000</v>
      </c>
      <c r="Q1079" s="197">
        <v>250000</v>
      </c>
    </row>
    <row r="1080" spans="1:17" customFormat="1" ht="14.1" customHeight="1" x14ac:dyDescent="0.3">
      <c r="A1080" s="266">
        <v>4223</v>
      </c>
      <c r="B1080" s="267" t="s">
        <v>59</v>
      </c>
      <c r="C1080" s="197">
        <v>1792000</v>
      </c>
      <c r="D1080" s="197">
        <v>1792000</v>
      </c>
      <c r="E1080" s="197"/>
      <c r="F1080" s="182">
        <f t="shared" si="1152"/>
        <v>0</v>
      </c>
      <c r="G1080" s="197">
        <v>2489000</v>
      </c>
      <c r="H1080" s="197">
        <v>3982000</v>
      </c>
      <c r="I1080" s="195">
        <f>1000000-500000</f>
        <v>500000</v>
      </c>
      <c r="J1080" s="297">
        <v>400000</v>
      </c>
      <c r="K1080" s="297"/>
      <c r="L1080" s="220">
        <f>I1080-J1080+K1080</f>
        <v>100000</v>
      </c>
      <c r="M1080" s="197">
        <v>1000000</v>
      </c>
      <c r="N1080" s="197">
        <v>1000000</v>
      </c>
      <c r="O1080" s="197">
        <v>4060000</v>
      </c>
      <c r="P1080" s="197">
        <v>1000000</v>
      </c>
      <c r="Q1080" s="197">
        <v>1000000</v>
      </c>
    </row>
    <row r="1081" spans="1:17" customFormat="1" ht="14.4" x14ac:dyDescent="0.3">
      <c r="A1081" s="189">
        <v>4224</v>
      </c>
      <c r="B1081" s="190" t="s">
        <v>283</v>
      </c>
      <c r="C1081" s="182">
        <v>6000</v>
      </c>
      <c r="D1081" s="182">
        <v>6000</v>
      </c>
      <c r="E1081" s="182"/>
      <c r="F1081" s="182">
        <f t="shared" si="1152"/>
        <v>0</v>
      </c>
      <c r="G1081" s="182">
        <v>4000</v>
      </c>
      <c r="H1081" s="182"/>
      <c r="I1081" s="182"/>
      <c r="J1081" s="220"/>
      <c r="K1081" s="220"/>
      <c r="L1081" s="220"/>
      <c r="M1081" s="182"/>
      <c r="N1081" s="182"/>
      <c r="O1081" s="182">
        <v>3000000</v>
      </c>
      <c r="P1081" s="182">
        <v>1000000</v>
      </c>
      <c r="Q1081" s="182">
        <v>1000000</v>
      </c>
    </row>
    <row r="1082" spans="1:17" customFormat="1" ht="14.4" x14ac:dyDescent="0.3">
      <c r="A1082" s="266">
        <v>4227</v>
      </c>
      <c r="B1082" s="267" t="s">
        <v>60</v>
      </c>
      <c r="C1082" s="197">
        <v>40000</v>
      </c>
      <c r="D1082" s="197">
        <v>40000</v>
      </c>
      <c r="E1082" s="197"/>
      <c r="F1082" s="182">
        <f t="shared" si="1152"/>
        <v>0</v>
      </c>
      <c r="G1082" s="197">
        <v>40000</v>
      </c>
      <c r="H1082" s="197">
        <v>40000</v>
      </c>
      <c r="I1082" s="197">
        <v>40000</v>
      </c>
      <c r="J1082" s="295"/>
      <c r="K1082" s="295"/>
      <c r="L1082" s="220">
        <f>I1082-J1082+K1082</f>
        <v>40000</v>
      </c>
      <c r="M1082" s="197">
        <v>40000</v>
      </c>
      <c r="N1082" s="197">
        <v>40000</v>
      </c>
      <c r="O1082" s="197">
        <v>50000</v>
      </c>
      <c r="P1082" s="197">
        <v>50000</v>
      </c>
      <c r="Q1082" s="197">
        <v>50000</v>
      </c>
    </row>
    <row r="1083" spans="1:17" customFormat="1" ht="14.4" x14ac:dyDescent="0.3">
      <c r="A1083" s="283">
        <v>423</v>
      </c>
      <c r="B1083" s="284" t="s">
        <v>61</v>
      </c>
      <c r="C1083" s="221">
        <f t="shared" ref="C1083:Q1083" si="1153">SUM(C1084)</f>
        <v>528000</v>
      </c>
      <c r="D1083" s="221">
        <f t="shared" si="1153"/>
        <v>528000</v>
      </c>
      <c r="E1083" s="221">
        <f t="shared" si="1153"/>
        <v>0</v>
      </c>
      <c r="F1083" s="221">
        <f t="shared" si="1153"/>
        <v>0</v>
      </c>
      <c r="G1083" s="221">
        <f t="shared" si="1153"/>
        <v>528000</v>
      </c>
      <c r="H1083" s="221">
        <f t="shared" si="1153"/>
        <v>528000</v>
      </c>
      <c r="I1083" s="221">
        <f t="shared" si="1153"/>
        <v>500000</v>
      </c>
      <c r="J1083" s="221">
        <f t="shared" si="1153"/>
        <v>400000</v>
      </c>
      <c r="K1083" s="221">
        <f t="shared" si="1153"/>
        <v>0</v>
      </c>
      <c r="L1083" s="221">
        <f t="shared" si="1153"/>
        <v>100000</v>
      </c>
      <c r="M1083" s="221">
        <f t="shared" si="1153"/>
        <v>300000</v>
      </c>
      <c r="N1083" s="221">
        <f t="shared" si="1153"/>
        <v>250000</v>
      </c>
      <c r="O1083" s="221">
        <f t="shared" si="1153"/>
        <v>2100000</v>
      </c>
      <c r="P1083" s="221">
        <f t="shared" si="1153"/>
        <v>250000</v>
      </c>
      <c r="Q1083" s="221">
        <f t="shared" si="1153"/>
        <v>250000</v>
      </c>
    </row>
    <row r="1084" spans="1:17" customFormat="1" ht="14.4" x14ac:dyDescent="0.3">
      <c r="A1084" s="266">
        <v>4231</v>
      </c>
      <c r="B1084" s="267" t="s">
        <v>62</v>
      </c>
      <c r="C1084" s="197">
        <v>528000</v>
      </c>
      <c r="D1084" s="197">
        <v>528000</v>
      </c>
      <c r="E1084" s="197"/>
      <c r="F1084" s="182">
        <f t="shared" si="1152"/>
        <v>0</v>
      </c>
      <c r="G1084" s="197">
        <v>528000</v>
      </c>
      <c r="H1084" s="197">
        <v>528000</v>
      </c>
      <c r="I1084" s="197">
        <v>500000</v>
      </c>
      <c r="J1084" s="295">
        <v>400000</v>
      </c>
      <c r="K1084" s="295"/>
      <c r="L1084" s="220">
        <f>I1084-J1084+K1084</f>
        <v>100000</v>
      </c>
      <c r="M1084" s="197">
        <v>300000</v>
      </c>
      <c r="N1084" s="197">
        <v>250000</v>
      </c>
      <c r="O1084" s="197">
        <v>2100000</v>
      </c>
      <c r="P1084" s="197">
        <v>250000</v>
      </c>
      <c r="Q1084" s="197">
        <v>250000</v>
      </c>
    </row>
    <row r="1085" spans="1:17" customFormat="1" ht="14.4" x14ac:dyDescent="0.3">
      <c r="A1085" s="283">
        <v>426</v>
      </c>
      <c r="B1085" s="284" t="s">
        <v>73</v>
      </c>
      <c r="C1085" s="221">
        <f t="shared" ref="C1085:Q1085" si="1154">SUM(C1086)</f>
        <v>498000</v>
      </c>
      <c r="D1085" s="221">
        <f t="shared" si="1154"/>
        <v>498000</v>
      </c>
      <c r="E1085" s="221">
        <f t="shared" si="1154"/>
        <v>0</v>
      </c>
      <c r="F1085" s="221">
        <f t="shared" si="1154"/>
        <v>0</v>
      </c>
      <c r="G1085" s="221">
        <f t="shared" si="1154"/>
        <v>796000</v>
      </c>
      <c r="H1085" s="221">
        <f t="shared" si="1154"/>
        <v>995000</v>
      </c>
      <c r="I1085" s="221">
        <f t="shared" si="1154"/>
        <v>500000</v>
      </c>
      <c r="J1085" s="221">
        <f t="shared" si="1154"/>
        <v>400000</v>
      </c>
      <c r="K1085" s="221">
        <f t="shared" si="1154"/>
        <v>0</v>
      </c>
      <c r="L1085" s="221">
        <f t="shared" si="1154"/>
        <v>100000</v>
      </c>
      <c r="M1085" s="221">
        <f t="shared" si="1154"/>
        <v>1000000</v>
      </c>
      <c r="N1085" s="221">
        <f t="shared" si="1154"/>
        <v>1000000</v>
      </c>
      <c r="O1085" s="221">
        <f t="shared" si="1154"/>
        <v>1900000</v>
      </c>
      <c r="P1085" s="221">
        <f t="shared" si="1154"/>
        <v>1250000</v>
      </c>
      <c r="Q1085" s="221">
        <f t="shared" si="1154"/>
        <v>1250000</v>
      </c>
    </row>
    <row r="1086" spans="1:17" customFormat="1" ht="14.4" x14ac:dyDescent="0.3">
      <c r="A1086" s="266">
        <v>4262</v>
      </c>
      <c r="B1086" s="267" t="s">
        <v>88</v>
      </c>
      <c r="C1086" s="197">
        <v>498000</v>
      </c>
      <c r="D1086" s="197">
        <v>498000</v>
      </c>
      <c r="E1086" s="197"/>
      <c r="F1086" s="182">
        <f t="shared" si="1152"/>
        <v>0</v>
      </c>
      <c r="G1086" s="197">
        <v>796000</v>
      </c>
      <c r="H1086" s="197">
        <v>995000</v>
      </c>
      <c r="I1086" s="195">
        <f>1000000-500000</f>
        <v>500000</v>
      </c>
      <c r="J1086" s="297">
        <v>400000</v>
      </c>
      <c r="K1086" s="297"/>
      <c r="L1086" s="220">
        <f>I1086-J1086+K1086</f>
        <v>100000</v>
      </c>
      <c r="M1086" s="197">
        <v>1000000</v>
      </c>
      <c r="N1086" s="197">
        <v>1000000</v>
      </c>
      <c r="O1086" s="197">
        <v>1900000</v>
      </c>
      <c r="P1086" s="197">
        <v>1250000</v>
      </c>
      <c r="Q1086" s="197">
        <v>1250000</v>
      </c>
    </row>
    <row r="1087" spans="1:17" customFormat="1" ht="26.4" x14ac:dyDescent="0.3">
      <c r="A1087" s="281">
        <v>45</v>
      </c>
      <c r="B1087" s="210" t="s">
        <v>326</v>
      </c>
      <c r="C1087" s="187">
        <f t="shared" ref="C1087:Q1088" si="1155">SUM(C1088)</f>
        <v>299000</v>
      </c>
      <c r="D1087" s="187">
        <f t="shared" si="1155"/>
        <v>299000</v>
      </c>
      <c r="E1087" s="187">
        <f t="shared" si="1155"/>
        <v>0</v>
      </c>
      <c r="F1087" s="187">
        <f t="shared" si="1155"/>
        <v>0</v>
      </c>
      <c r="G1087" s="187">
        <f t="shared" si="1155"/>
        <v>697000</v>
      </c>
      <c r="H1087" s="187">
        <f t="shared" si="1155"/>
        <v>697000</v>
      </c>
      <c r="I1087" s="187">
        <f t="shared" si="1155"/>
        <v>1000000</v>
      </c>
      <c r="J1087" s="187">
        <f t="shared" si="1155"/>
        <v>1000000</v>
      </c>
      <c r="K1087" s="187">
        <f t="shared" si="1155"/>
        <v>0</v>
      </c>
      <c r="L1087" s="187">
        <f t="shared" si="1155"/>
        <v>0</v>
      </c>
      <c r="M1087" s="187">
        <f t="shared" si="1155"/>
        <v>2500000</v>
      </c>
      <c r="N1087" s="187">
        <f t="shared" si="1155"/>
        <v>3000000</v>
      </c>
      <c r="O1087" s="187">
        <f t="shared" si="1155"/>
        <v>2500000</v>
      </c>
      <c r="P1087" s="187">
        <f t="shared" si="1155"/>
        <v>2500000</v>
      </c>
      <c r="Q1087" s="187">
        <f t="shared" si="1155"/>
        <v>2500000</v>
      </c>
    </row>
    <row r="1088" spans="1:17" customFormat="1" ht="14.4" x14ac:dyDescent="0.3">
      <c r="A1088" s="283">
        <v>451</v>
      </c>
      <c r="B1088" s="284" t="s">
        <v>55</v>
      </c>
      <c r="C1088" s="221">
        <f t="shared" si="1155"/>
        <v>299000</v>
      </c>
      <c r="D1088" s="221">
        <f t="shared" si="1155"/>
        <v>299000</v>
      </c>
      <c r="E1088" s="221">
        <f t="shared" si="1155"/>
        <v>0</v>
      </c>
      <c r="F1088" s="221">
        <f t="shared" si="1155"/>
        <v>0</v>
      </c>
      <c r="G1088" s="221">
        <f t="shared" si="1155"/>
        <v>697000</v>
      </c>
      <c r="H1088" s="221">
        <f t="shared" si="1155"/>
        <v>697000</v>
      </c>
      <c r="I1088" s="221">
        <f t="shared" si="1155"/>
        <v>1000000</v>
      </c>
      <c r="J1088" s="221">
        <f t="shared" si="1155"/>
        <v>1000000</v>
      </c>
      <c r="K1088" s="221">
        <f t="shared" si="1155"/>
        <v>0</v>
      </c>
      <c r="L1088" s="221">
        <f t="shared" si="1155"/>
        <v>0</v>
      </c>
      <c r="M1088" s="221">
        <f t="shared" si="1155"/>
        <v>2500000</v>
      </c>
      <c r="N1088" s="221">
        <f t="shared" si="1155"/>
        <v>3000000</v>
      </c>
      <c r="O1088" s="221">
        <f t="shared" si="1155"/>
        <v>2500000</v>
      </c>
      <c r="P1088" s="221">
        <f t="shared" si="1155"/>
        <v>2500000</v>
      </c>
      <c r="Q1088" s="221">
        <f t="shared" si="1155"/>
        <v>2500000</v>
      </c>
    </row>
    <row r="1089" spans="1:18" customFormat="1" ht="14.4" x14ac:dyDescent="0.3">
      <c r="A1089" s="266">
        <v>4511</v>
      </c>
      <c r="B1089" s="267" t="s">
        <v>55</v>
      </c>
      <c r="C1089" s="197">
        <v>299000</v>
      </c>
      <c r="D1089" s="197">
        <v>299000</v>
      </c>
      <c r="E1089" s="197"/>
      <c r="F1089" s="182">
        <f t="shared" ref="F1089" si="1156">C1089-D1089+E1089</f>
        <v>0</v>
      </c>
      <c r="G1089" s="197">
        <v>697000</v>
      </c>
      <c r="H1089" s="197">
        <v>697000</v>
      </c>
      <c r="I1089" s="195">
        <f>2000000-1000000</f>
        <v>1000000</v>
      </c>
      <c r="J1089" s="297">
        <v>1000000</v>
      </c>
      <c r="K1089" s="297"/>
      <c r="L1089" s="220">
        <f>I1089-J1089+K1089</f>
        <v>0</v>
      </c>
      <c r="M1089" s="197">
        <v>2500000</v>
      </c>
      <c r="N1089" s="197">
        <v>3000000</v>
      </c>
      <c r="O1089" s="197">
        <v>2500000</v>
      </c>
      <c r="P1089" s="197">
        <v>2500000</v>
      </c>
      <c r="Q1089" s="197">
        <v>2500000</v>
      </c>
    </row>
    <row r="1090" spans="1:18" s="6" customFormat="1" ht="14.4" x14ac:dyDescent="0.3">
      <c r="A1090" s="242" t="s">
        <v>338</v>
      </c>
      <c r="B1090" s="231" t="s">
        <v>339</v>
      </c>
      <c r="C1090" s="257">
        <f t="shared" ref="C1090:Q1090" si="1157">SUM(C1091)</f>
        <v>5664000</v>
      </c>
      <c r="D1090" s="257">
        <f t="shared" si="1157"/>
        <v>5261000</v>
      </c>
      <c r="E1090" s="257">
        <f t="shared" si="1157"/>
        <v>487000</v>
      </c>
      <c r="F1090" s="257">
        <f t="shared" si="1157"/>
        <v>890000</v>
      </c>
      <c r="G1090" s="257">
        <f t="shared" si="1157"/>
        <v>7324000</v>
      </c>
      <c r="H1090" s="257">
        <f t="shared" si="1157"/>
        <v>8594000</v>
      </c>
      <c r="I1090" s="257">
        <f t="shared" si="1157"/>
        <v>4795000</v>
      </c>
      <c r="J1090" s="257">
        <f t="shared" si="1157"/>
        <v>3980000</v>
      </c>
      <c r="K1090" s="257">
        <f t="shared" si="1157"/>
        <v>200000</v>
      </c>
      <c r="L1090" s="257">
        <f t="shared" si="1157"/>
        <v>1015000</v>
      </c>
      <c r="M1090" s="257">
        <f t="shared" si="1157"/>
        <v>10600000</v>
      </c>
      <c r="N1090" s="257">
        <f t="shared" si="1157"/>
        <v>10600000</v>
      </c>
      <c r="O1090" s="257">
        <f t="shared" si="1157"/>
        <v>13351000</v>
      </c>
      <c r="P1090" s="257">
        <f t="shared" si="1157"/>
        <v>10803000</v>
      </c>
      <c r="Q1090" s="257">
        <f t="shared" si="1157"/>
        <v>6450000</v>
      </c>
      <c r="R1090" s="507"/>
    </row>
    <row r="1091" spans="1:18" s="6" customFormat="1" ht="14.4" x14ac:dyDescent="0.3">
      <c r="A1091" s="721" t="s">
        <v>118</v>
      </c>
      <c r="B1091" s="721"/>
      <c r="C1091" s="184">
        <f t="shared" ref="C1091:Q1091" si="1158">SUM(C1092,C1097,C1117,C1120,C1133)</f>
        <v>5664000</v>
      </c>
      <c r="D1091" s="184">
        <f t="shared" si="1158"/>
        <v>5261000</v>
      </c>
      <c r="E1091" s="184">
        <f t="shared" si="1158"/>
        <v>487000</v>
      </c>
      <c r="F1091" s="184">
        <f t="shared" si="1158"/>
        <v>890000</v>
      </c>
      <c r="G1091" s="184">
        <f t="shared" si="1158"/>
        <v>7324000</v>
      </c>
      <c r="H1091" s="184">
        <f t="shared" si="1158"/>
        <v>8594000</v>
      </c>
      <c r="I1091" s="184">
        <f t="shared" si="1158"/>
        <v>4795000</v>
      </c>
      <c r="J1091" s="184">
        <f t="shared" si="1158"/>
        <v>3980000</v>
      </c>
      <c r="K1091" s="184">
        <f t="shared" si="1158"/>
        <v>200000</v>
      </c>
      <c r="L1091" s="184">
        <f t="shared" si="1158"/>
        <v>1015000</v>
      </c>
      <c r="M1091" s="184">
        <f t="shared" si="1158"/>
        <v>10600000</v>
      </c>
      <c r="N1091" s="184">
        <f t="shared" si="1158"/>
        <v>10600000</v>
      </c>
      <c r="O1091" s="184">
        <f t="shared" si="1158"/>
        <v>13351000</v>
      </c>
      <c r="P1091" s="184">
        <f t="shared" si="1158"/>
        <v>10803000</v>
      </c>
      <c r="Q1091" s="184">
        <f t="shared" si="1158"/>
        <v>6450000</v>
      </c>
    </row>
    <row r="1092" spans="1:18" s="6" customFormat="1" ht="14.4" x14ac:dyDescent="0.3">
      <c r="A1092" s="281">
        <v>31</v>
      </c>
      <c r="B1092" s="282" t="s">
        <v>316</v>
      </c>
      <c r="C1092" s="187">
        <f t="shared" ref="C1092:F1092" si="1159">SUM(C1093,C1095)</f>
        <v>259000</v>
      </c>
      <c r="D1092" s="187">
        <f t="shared" si="1159"/>
        <v>259000</v>
      </c>
      <c r="E1092" s="187">
        <f t="shared" si="1159"/>
        <v>0</v>
      </c>
      <c r="F1092" s="187">
        <f t="shared" si="1159"/>
        <v>0</v>
      </c>
      <c r="G1092" s="187">
        <f t="shared" ref="G1092:H1092" si="1160">SUM(G1093,G1095)</f>
        <v>259000</v>
      </c>
      <c r="H1092" s="187">
        <f t="shared" si="1160"/>
        <v>259000</v>
      </c>
      <c r="I1092" s="187">
        <f t="shared" ref="I1092:M1092" si="1161">SUM(I1093,I1095)</f>
        <v>0</v>
      </c>
      <c r="J1092" s="187">
        <f t="shared" si="1161"/>
        <v>0</v>
      </c>
      <c r="K1092" s="187">
        <f t="shared" si="1161"/>
        <v>0</v>
      </c>
      <c r="L1092" s="187">
        <f t="shared" si="1161"/>
        <v>0</v>
      </c>
      <c r="M1092" s="187">
        <f t="shared" si="1161"/>
        <v>0</v>
      </c>
      <c r="N1092" s="187">
        <f t="shared" ref="N1092:O1092" si="1162">SUM(N1093,N1095)</f>
        <v>0</v>
      </c>
      <c r="O1092" s="187">
        <f t="shared" si="1162"/>
        <v>600000</v>
      </c>
      <c r="P1092" s="187">
        <f t="shared" ref="P1092:Q1092" si="1163">SUM(P1093,P1095)</f>
        <v>600000</v>
      </c>
      <c r="Q1092" s="187">
        <f t="shared" si="1163"/>
        <v>600000</v>
      </c>
    </row>
    <row r="1093" spans="1:18" customFormat="1" ht="14.4" x14ac:dyDescent="0.3">
      <c r="A1093" s="283">
        <v>311</v>
      </c>
      <c r="B1093" s="284" t="s">
        <v>4</v>
      </c>
      <c r="C1093" s="221">
        <f t="shared" ref="C1093:Q1093" si="1164">SUM(C1094)</f>
        <v>239000</v>
      </c>
      <c r="D1093" s="221">
        <f t="shared" si="1164"/>
        <v>239000</v>
      </c>
      <c r="E1093" s="221">
        <f t="shared" si="1164"/>
        <v>0</v>
      </c>
      <c r="F1093" s="221">
        <f t="shared" si="1164"/>
        <v>0</v>
      </c>
      <c r="G1093" s="221">
        <f t="shared" si="1164"/>
        <v>239000</v>
      </c>
      <c r="H1093" s="221">
        <f t="shared" si="1164"/>
        <v>239000</v>
      </c>
      <c r="I1093" s="221">
        <f t="shared" si="1164"/>
        <v>0</v>
      </c>
      <c r="J1093" s="221">
        <f t="shared" si="1164"/>
        <v>0</v>
      </c>
      <c r="K1093" s="221">
        <f t="shared" si="1164"/>
        <v>0</v>
      </c>
      <c r="L1093" s="221">
        <f t="shared" si="1164"/>
        <v>0</v>
      </c>
      <c r="M1093" s="221">
        <f t="shared" si="1164"/>
        <v>0</v>
      </c>
      <c r="N1093" s="221">
        <f t="shared" si="1164"/>
        <v>0</v>
      </c>
      <c r="O1093" s="221">
        <f t="shared" si="1164"/>
        <v>500000</v>
      </c>
      <c r="P1093" s="221">
        <f t="shared" si="1164"/>
        <v>500000</v>
      </c>
      <c r="Q1093" s="221">
        <f t="shared" si="1164"/>
        <v>500000</v>
      </c>
    </row>
    <row r="1094" spans="1:18" customFormat="1" ht="14.4" x14ac:dyDescent="0.3">
      <c r="A1094" s="266">
        <v>3111</v>
      </c>
      <c r="B1094" s="267" t="s">
        <v>5</v>
      </c>
      <c r="C1094" s="197">
        <v>239000</v>
      </c>
      <c r="D1094" s="197">
        <v>239000</v>
      </c>
      <c r="E1094" s="197"/>
      <c r="F1094" s="182">
        <f t="shared" ref="F1094:F1096" si="1165">C1094-D1094+E1094</f>
        <v>0</v>
      </c>
      <c r="G1094" s="197">
        <v>239000</v>
      </c>
      <c r="H1094" s="197">
        <v>239000</v>
      </c>
      <c r="I1094" s="197"/>
      <c r="J1094" s="295"/>
      <c r="K1094" s="295"/>
      <c r="L1094" s="295"/>
      <c r="M1094" s="197"/>
      <c r="N1094" s="197"/>
      <c r="O1094" s="197">
        <v>500000</v>
      </c>
      <c r="P1094" s="197">
        <v>500000</v>
      </c>
      <c r="Q1094" s="197">
        <v>500000</v>
      </c>
    </row>
    <row r="1095" spans="1:18" customFormat="1" ht="14.4" x14ac:dyDescent="0.3">
      <c r="A1095" s="283">
        <v>313</v>
      </c>
      <c r="B1095" s="284" t="s">
        <v>8</v>
      </c>
      <c r="C1095" s="221">
        <f t="shared" ref="C1095:Q1095" si="1166">SUM(C1096)</f>
        <v>20000</v>
      </c>
      <c r="D1095" s="221">
        <f t="shared" si="1166"/>
        <v>20000</v>
      </c>
      <c r="E1095" s="221">
        <f t="shared" si="1166"/>
        <v>0</v>
      </c>
      <c r="F1095" s="221">
        <f t="shared" si="1166"/>
        <v>0</v>
      </c>
      <c r="G1095" s="221">
        <f t="shared" si="1166"/>
        <v>20000</v>
      </c>
      <c r="H1095" s="221">
        <f t="shared" si="1166"/>
        <v>20000</v>
      </c>
      <c r="I1095" s="221">
        <f t="shared" si="1166"/>
        <v>0</v>
      </c>
      <c r="J1095" s="221">
        <f t="shared" si="1166"/>
        <v>0</v>
      </c>
      <c r="K1095" s="221">
        <f t="shared" si="1166"/>
        <v>0</v>
      </c>
      <c r="L1095" s="221">
        <f t="shared" si="1166"/>
        <v>0</v>
      </c>
      <c r="M1095" s="221">
        <f t="shared" si="1166"/>
        <v>0</v>
      </c>
      <c r="N1095" s="221">
        <f t="shared" si="1166"/>
        <v>0</v>
      </c>
      <c r="O1095" s="221">
        <f t="shared" si="1166"/>
        <v>100000</v>
      </c>
      <c r="P1095" s="221">
        <f t="shared" si="1166"/>
        <v>100000</v>
      </c>
      <c r="Q1095" s="221">
        <f t="shared" si="1166"/>
        <v>100000</v>
      </c>
    </row>
    <row r="1096" spans="1:18" customFormat="1" ht="14.4" x14ac:dyDescent="0.3">
      <c r="A1096" s="266">
        <v>3132</v>
      </c>
      <c r="B1096" s="267" t="s">
        <v>10</v>
      </c>
      <c r="C1096" s="197">
        <v>20000</v>
      </c>
      <c r="D1096" s="197">
        <v>20000</v>
      </c>
      <c r="E1096" s="197"/>
      <c r="F1096" s="182">
        <f t="shared" si="1165"/>
        <v>0</v>
      </c>
      <c r="G1096" s="197">
        <v>20000</v>
      </c>
      <c r="H1096" s="197">
        <v>20000</v>
      </c>
      <c r="I1096" s="197"/>
      <c r="J1096" s="295"/>
      <c r="K1096" s="295"/>
      <c r="L1096" s="295"/>
      <c r="M1096" s="197"/>
      <c r="N1096" s="197"/>
      <c r="O1096" s="197">
        <v>100000</v>
      </c>
      <c r="P1096" s="197">
        <v>100000</v>
      </c>
      <c r="Q1096" s="197">
        <v>100000</v>
      </c>
    </row>
    <row r="1097" spans="1:18" customFormat="1" ht="14.4" x14ac:dyDescent="0.3">
      <c r="A1097" s="281">
        <v>32</v>
      </c>
      <c r="B1097" s="282" t="s">
        <v>318</v>
      </c>
      <c r="C1097" s="187">
        <f t="shared" ref="C1097:Q1097" si="1167">SUM(C1098,C1102,C1106,C1115)</f>
        <v>4228000</v>
      </c>
      <c r="D1097" s="187">
        <f t="shared" si="1167"/>
        <v>3958000</v>
      </c>
      <c r="E1097" s="187">
        <f t="shared" si="1167"/>
        <v>0</v>
      </c>
      <c r="F1097" s="187">
        <f t="shared" si="1167"/>
        <v>270000</v>
      </c>
      <c r="G1097" s="187">
        <f t="shared" si="1167"/>
        <v>5077000</v>
      </c>
      <c r="H1097" s="187">
        <f t="shared" si="1167"/>
        <v>5909000</v>
      </c>
      <c r="I1097" s="187">
        <f t="shared" si="1167"/>
        <v>1755000</v>
      </c>
      <c r="J1097" s="187">
        <f t="shared" si="1167"/>
        <v>1350000</v>
      </c>
      <c r="K1097" s="187">
        <f t="shared" si="1167"/>
        <v>100000</v>
      </c>
      <c r="L1097" s="187">
        <f t="shared" si="1167"/>
        <v>505000</v>
      </c>
      <c r="M1097" s="187">
        <f t="shared" si="1167"/>
        <v>3500000</v>
      </c>
      <c r="N1097" s="187">
        <f t="shared" si="1167"/>
        <v>3500000</v>
      </c>
      <c r="O1097" s="187">
        <f t="shared" si="1167"/>
        <v>9286000</v>
      </c>
      <c r="P1097" s="187">
        <f t="shared" si="1167"/>
        <v>8170000</v>
      </c>
      <c r="Q1097" s="187">
        <f t="shared" si="1167"/>
        <v>4311000</v>
      </c>
    </row>
    <row r="1098" spans="1:18" customFormat="1" ht="14.4" x14ac:dyDescent="0.3">
      <c r="A1098" s="283">
        <v>321</v>
      </c>
      <c r="B1098" s="284" t="s">
        <v>12</v>
      </c>
      <c r="C1098" s="221">
        <f t="shared" ref="C1098:F1098" si="1168">SUM(C1099:C1101)</f>
        <v>124000</v>
      </c>
      <c r="D1098" s="221">
        <f t="shared" si="1168"/>
        <v>123000</v>
      </c>
      <c r="E1098" s="221">
        <f t="shared" si="1168"/>
        <v>0</v>
      </c>
      <c r="F1098" s="221">
        <f t="shared" si="1168"/>
        <v>1000</v>
      </c>
      <c r="G1098" s="221">
        <f t="shared" ref="G1098:H1098" si="1169">SUM(G1099:G1101)</f>
        <v>124000</v>
      </c>
      <c r="H1098" s="221">
        <f t="shared" si="1169"/>
        <v>126000</v>
      </c>
      <c r="I1098" s="221">
        <f t="shared" ref="I1098:N1098" si="1170">SUM(I1099:I1101)</f>
        <v>300000</v>
      </c>
      <c r="J1098" s="221">
        <f t="shared" si="1170"/>
        <v>270000</v>
      </c>
      <c r="K1098" s="221">
        <f t="shared" si="1170"/>
        <v>0</v>
      </c>
      <c r="L1098" s="221">
        <f t="shared" si="1170"/>
        <v>30000</v>
      </c>
      <c r="M1098" s="221">
        <f t="shared" si="1170"/>
        <v>500000</v>
      </c>
      <c r="N1098" s="221">
        <f t="shared" si="1170"/>
        <v>500000</v>
      </c>
      <c r="O1098" s="221">
        <f t="shared" ref="O1098:P1098" si="1171">SUM(O1099:O1101)</f>
        <v>500000</v>
      </c>
      <c r="P1098" s="221">
        <f t="shared" si="1171"/>
        <v>500000</v>
      </c>
      <c r="Q1098" s="221">
        <f t="shared" ref="Q1098" si="1172">SUM(Q1099:Q1101)</f>
        <v>500000</v>
      </c>
    </row>
    <row r="1099" spans="1:18" customFormat="1" ht="14.4" x14ac:dyDescent="0.3">
      <c r="A1099" s="266">
        <v>3211</v>
      </c>
      <c r="B1099" s="267" t="s">
        <v>13</v>
      </c>
      <c r="C1099" s="197">
        <v>20000</v>
      </c>
      <c r="D1099" s="197">
        <v>20000</v>
      </c>
      <c r="E1099" s="197"/>
      <c r="F1099" s="182">
        <f t="shared" ref="F1099:F1116" si="1173">C1099-D1099+E1099</f>
        <v>0</v>
      </c>
      <c r="G1099" s="197">
        <v>20000</v>
      </c>
      <c r="H1099" s="197">
        <v>20000</v>
      </c>
      <c r="I1099" s="197">
        <v>50000</v>
      </c>
      <c r="J1099" s="295">
        <v>40000</v>
      </c>
      <c r="K1099" s="295"/>
      <c r="L1099" s="220">
        <f>I1099-J1099+K1099</f>
        <v>10000</v>
      </c>
      <c r="M1099" s="197">
        <v>100000</v>
      </c>
      <c r="N1099" s="197">
        <v>100000</v>
      </c>
      <c r="O1099" s="197">
        <v>100000</v>
      </c>
      <c r="P1099" s="197">
        <v>100000</v>
      </c>
      <c r="Q1099" s="197">
        <v>100000</v>
      </c>
    </row>
    <row r="1100" spans="1:18" customFormat="1" ht="14.4" x14ac:dyDescent="0.3">
      <c r="A1100" s="266">
        <v>3212</v>
      </c>
      <c r="B1100" s="267" t="s">
        <v>14</v>
      </c>
      <c r="C1100" s="197">
        <v>93000</v>
      </c>
      <c r="D1100" s="197">
        <v>93000</v>
      </c>
      <c r="E1100" s="197"/>
      <c r="F1100" s="182">
        <f t="shared" si="1173"/>
        <v>0</v>
      </c>
      <c r="G1100" s="197">
        <v>93000</v>
      </c>
      <c r="H1100" s="197">
        <v>93000</v>
      </c>
      <c r="I1100" s="197">
        <v>125000</v>
      </c>
      <c r="J1100" s="295">
        <v>115000</v>
      </c>
      <c r="K1100" s="295"/>
      <c r="L1100" s="220">
        <f>I1100-J1100+K1100</f>
        <v>10000</v>
      </c>
      <c r="M1100" s="197">
        <v>200000</v>
      </c>
      <c r="N1100" s="197">
        <v>200000</v>
      </c>
      <c r="O1100" s="197">
        <v>200000</v>
      </c>
      <c r="P1100" s="197">
        <v>200000</v>
      </c>
      <c r="Q1100" s="197">
        <v>200000</v>
      </c>
    </row>
    <row r="1101" spans="1:18" s="6" customFormat="1" ht="14.4" x14ac:dyDescent="0.3">
      <c r="A1101" s="266">
        <v>3213</v>
      </c>
      <c r="B1101" s="267" t="s">
        <v>15</v>
      </c>
      <c r="C1101" s="197">
        <v>11000</v>
      </c>
      <c r="D1101" s="197">
        <v>10000</v>
      </c>
      <c r="E1101" s="197"/>
      <c r="F1101" s="182">
        <f t="shared" si="1173"/>
        <v>1000</v>
      </c>
      <c r="G1101" s="197">
        <v>11000</v>
      </c>
      <c r="H1101" s="197">
        <v>13000</v>
      </c>
      <c r="I1101" s="197">
        <v>125000</v>
      </c>
      <c r="J1101" s="295">
        <v>115000</v>
      </c>
      <c r="K1101" s="295"/>
      <c r="L1101" s="220">
        <f>I1101-J1101+K1101</f>
        <v>10000</v>
      </c>
      <c r="M1101" s="197">
        <v>200000</v>
      </c>
      <c r="N1101" s="197">
        <v>200000</v>
      </c>
      <c r="O1101" s="197">
        <v>200000</v>
      </c>
      <c r="P1101" s="197">
        <v>200000</v>
      </c>
      <c r="Q1101" s="197">
        <v>200000</v>
      </c>
    </row>
    <row r="1102" spans="1:18" customFormat="1" ht="14.4" x14ac:dyDescent="0.3">
      <c r="A1102" s="283">
        <v>322</v>
      </c>
      <c r="B1102" s="284" t="s">
        <v>16</v>
      </c>
      <c r="C1102" s="221">
        <f t="shared" ref="C1102:F1102" si="1174">SUM(C1103:C1105)</f>
        <v>115000</v>
      </c>
      <c r="D1102" s="221">
        <f t="shared" si="1174"/>
        <v>113000</v>
      </c>
      <c r="E1102" s="221">
        <f t="shared" si="1174"/>
        <v>0</v>
      </c>
      <c r="F1102" s="221">
        <f t="shared" si="1174"/>
        <v>2000</v>
      </c>
      <c r="G1102" s="221">
        <f t="shared" ref="G1102:H1102" si="1175">SUM(G1103:G1105)</f>
        <v>115000</v>
      </c>
      <c r="H1102" s="221">
        <f t="shared" si="1175"/>
        <v>115000</v>
      </c>
      <c r="I1102" s="221">
        <f t="shared" ref="I1102:N1102" si="1176">SUM(I1103:I1105)</f>
        <v>95000</v>
      </c>
      <c r="J1102" s="221">
        <f t="shared" si="1176"/>
        <v>50000</v>
      </c>
      <c r="K1102" s="221">
        <f t="shared" si="1176"/>
        <v>0</v>
      </c>
      <c r="L1102" s="221">
        <f t="shared" si="1176"/>
        <v>45000</v>
      </c>
      <c r="M1102" s="221">
        <f t="shared" si="1176"/>
        <v>100000</v>
      </c>
      <c r="N1102" s="221">
        <f t="shared" si="1176"/>
        <v>100000</v>
      </c>
      <c r="O1102" s="221">
        <f t="shared" ref="O1102:P1102" si="1177">SUM(O1103:O1105)</f>
        <v>189000</v>
      </c>
      <c r="P1102" s="221">
        <f t="shared" si="1177"/>
        <v>189000</v>
      </c>
      <c r="Q1102" s="221">
        <f t="shared" ref="Q1102" si="1178">SUM(Q1103:Q1105)</f>
        <v>189000</v>
      </c>
    </row>
    <row r="1103" spans="1:18" customFormat="1" ht="14.4" x14ac:dyDescent="0.3">
      <c r="A1103" s="266">
        <v>3221</v>
      </c>
      <c r="B1103" s="267" t="s">
        <v>17</v>
      </c>
      <c r="C1103" s="197">
        <v>7000</v>
      </c>
      <c r="D1103" s="197">
        <v>5000</v>
      </c>
      <c r="E1103" s="197"/>
      <c r="F1103" s="182">
        <f t="shared" si="1173"/>
        <v>2000</v>
      </c>
      <c r="G1103" s="197">
        <v>7000</v>
      </c>
      <c r="H1103" s="197">
        <v>7000</v>
      </c>
      <c r="I1103" s="197">
        <v>20000</v>
      </c>
      <c r="J1103" s="295"/>
      <c r="K1103" s="295"/>
      <c r="L1103" s="220">
        <f>I1103-J1103+K1103</f>
        <v>20000</v>
      </c>
      <c r="M1103" s="197">
        <v>20000</v>
      </c>
      <c r="N1103" s="197">
        <v>20000</v>
      </c>
      <c r="O1103" s="197">
        <v>20000</v>
      </c>
      <c r="P1103" s="197">
        <v>20000</v>
      </c>
      <c r="Q1103" s="197">
        <v>20000</v>
      </c>
    </row>
    <row r="1104" spans="1:18" customFormat="1" ht="14.4" x14ac:dyDescent="0.3">
      <c r="A1104" s="266">
        <v>3223</v>
      </c>
      <c r="B1104" s="267" t="s">
        <v>19</v>
      </c>
      <c r="C1104" s="197">
        <v>95000</v>
      </c>
      <c r="D1104" s="197">
        <v>95000</v>
      </c>
      <c r="E1104" s="197"/>
      <c r="F1104" s="182">
        <f t="shared" si="1173"/>
        <v>0</v>
      </c>
      <c r="G1104" s="197">
        <v>95000</v>
      </c>
      <c r="H1104" s="197">
        <v>95000</v>
      </c>
      <c r="I1104" s="197">
        <v>60000</v>
      </c>
      <c r="J1104" s="295">
        <v>50000</v>
      </c>
      <c r="K1104" s="295"/>
      <c r="L1104" s="220">
        <f>I1104-J1104+K1104</f>
        <v>10000</v>
      </c>
      <c r="M1104" s="197">
        <v>60000</v>
      </c>
      <c r="N1104" s="197">
        <v>60000</v>
      </c>
      <c r="O1104" s="197">
        <v>149000</v>
      </c>
      <c r="P1104" s="197">
        <v>149000</v>
      </c>
      <c r="Q1104" s="197">
        <v>149000</v>
      </c>
    </row>
    <row r="1105" spans="1:17" customFormat="1" ht="14.4" x14ac:dyDescent="0.3">
      <c r="A1105" s="266">
        <v>3225</v>
      </c>
      <c r="B1105" s="267" t="s">
        <v>117</v>
      </c>
      <c r="C1105" s="197">
        <v>13000</v>
      </c>
      <c r="D1105" s="197">
        <v>13000</v>
      </c>
      <c r="E1105" s="197"/>
      <c r="F1105" s="182">
        <f t="shared" si="1173"/>
        <v>0</v>
      </c>
      <c r="G1105" s="197">
        <v>13000</v>
      </c>
      <c r="H1105" s="197">
        <v>13000</v>
      </c>
      <c r="I1105" s="197">
        <v>15000</v>
      </c>
      <c r="J1105" s="295"/>
      <c r="K1105" s="295"/>
      <c r="L1105" s="220">
        <f>I1105-J1105+K1105</f>
        <v>15000</v>
      </c>
      <c r="M1105" s="197">
        <v>20000</v>
      </c>
      <c r="N1105" s="197">
        <v>20000</v>
      </c>
      <c r="O1105" s="197">
        <v>20000</v>
      </c>
      <c r="P1105" s="197">
        <v>20000</v>
      </c>
      <c r="Q1105" s="197">
        <v>20000</v>
      </c>
    </row>
    <row r="1106" spans="1:17" customFormat="1" ht="14.4" x14ac:dyDescent="0.3">
      <c r="A1106" s="283">
        <v>323</v>
      </c>
      <c r="B1106" s="284" t="s">
        <v>23</v>
      </c>
      <c r="C1106" s="221">
        <f t="shared" ref="C1106:Q1106" si="1179">SUM(C1107:C1114)</f>
        <v>3823000</v>
      </c>
      <c r="D1106" s="221">
        <f t="shared" si="1179"/>
        <v>3556000</v>
      </c>
      <c r="E1106" s="221">
        <f t="shared" si="1179"/>
        <v>0</v>
      </c>
      <c r="F1106" s="221">
        <f t="shared" si="1179"/>
        <v>267000</v>
      </c>
      <c r="G1106" s="221">
        <f t="shared" si="1179"/>
        <v>4672000</v>
      </c>
      <c r="H1106" s="221">
        <f t="shared" si="1179"/>
        <v>5502000</v>
      </c>
      <c r="I1106" s="221">
        <f t="shared" si="1179"/>
        <v>1360000</v>
      </c>
      <c r="J1106" s="221">
        <f t="shared" si="1179"/>
        <v>1030000</v>
      </c>
      <c r="K1106" s="221">
        <f t="shared" si="1179"/>
        <v>100000</v>
      </c>
      <c r="L1106" s="221">
        <f t="shared" si="1179"/>
        <v>430000</v>
      </c>
      <c r="M1106" s="221">
        <f t="shared" si="1179"/>
        <v>2900000</v>
      </c>
      <c r="N1106" s="221">
        <f t="shared" si="1179"/>
        <v>2900000</v>
      </c>
      <c r="O1106" s="221">
        <f t="shared" si="1179"/>
        <v>8597000</v>
      </c>
      <c r="P1106" s="221">
        <f t="shared" si="1179"/>
        <v>7481000</v>
      </c>
      <c r="Q1106" s="221">
        <f t="shared" si="1179"/>
        <v>3622000</v>
      </c>
    </row>
    <row r="1107" spans="1:17" customFormat="1" ht="14.4" x14ac:dyDescent="0.3">
      <c r="A1107" s="266">
        <v>3231</v>
      </c>
      <c r="B1107" s="267" t="s">
        <v>24</v>
      </c>
      <c r="C1107" s="197">
        <v>140000</v>
      </c>
      <c r="D1107" s="197">
        <v>140000</v>
      </c>
      <c r="E1107" s="197"/>
      <c r="F1107" s="182">
        <f t="shared" si="1173"/>
        <v>0</v>
      </c>
      <c r="G1107" s="197">
        <v>133000</v>
      </c>
      <c r="H1107" s="197">
        <v>153000</v>
      </c>
      <c r="I1107" s="197">
        <v>90000</v>
      </c>
      <c r="J1107" s="295"/>
      <c r="K1107" s="295"/>
      <c r="L1107" s="220">
        <f>I1107-J1107+K1107</f>
        <v>90000</v>
      </c>
      <c r="M1107" s="197">
        <v>100000</v>
      </c>
      <c r="N1107" s="197">
        <v>100000</v>
      </c>
      <c r="O1107" s="197">
        <v>2661000</v>
      </c>
      <c r="P1107" s="197">
        <v>2436000</v>
      </c>
      <c r="Q1107" s="197">
        <v>178000</v>
      </c>
    </row>
    <row r="1108" spans="1:17" customFormat="1" ht="14.4" x14ac:dyDescent="0.3">
      <c r="A1108" s="266">
        <v>3232</v>
      </c>
      <c r="B1108" s="267" t="s">
        <v>25</v>
      </c>
      <c r="C1108" s="197">
        <v>214000</v>
      </c>
      <c r="D1108" s="197">
        <v>154000</v>
      </c>
      <c r="E1108" s="197"/>
      <c r="F1108" s="182">
        <f t="shared" si="1173"/>
        <v>60000</v>
      </c>
      <c r="G1108" s="197">
        <v>240000</v>
      </c>
      <c r="H1108" s="197">
        <v>253000</v>
      </c>
      <c r="I1108" s="197">
        <v>100000</v>
      </c>
      <c r="J1108" s="295"/>
      <c r="K1108" s="295">
        <v>100000</v>
      </c>
      <c r="L1108" s="220">
        <f>I1108-J1108+K1108</f>
        <v>200000</v>
      </c>
      <c r="M1108" s="197">
        <v>100000</v>
      </c>
      <c r="N1108" s="197">
        <v>100000</v>
      </c>
      <c r="O1108" s="197">
        <v>1000000</v>
      </c>
      <c r="P1108" s="197">
        <v>2000000</v>
      </c>
      <c r="Q1108" s="197">
        <v>2500000</v>
      </c>
    </row>
    <row r="1109" spans="1:17" customFormat="1" ht="14.4" x14ac:dyDescent="0.3">
      <c r="A1109" s="266">
        <v>3233</v>
      </c>
      <c r="B1109" s="267" t="s">
        <v>26</v>
      </c>
      <c r="C1109" s="197">
        <v>12000</v>
      </c>
      <c r="D1109" s="197">
        <v>12000</v>
      </c>
      <c r="E1109" s="197"/>
      <c r="F1109" s="182">
        <f t="shared" si="1173"/>
        <v>0</v>
      </c>
      <c r="G1109" s="197">
        <v>12000</v>
      </c>
      <c r="H1109" s="197">
        <v>12000</v>
      </c>
      <c r="I1109" s="197">
        <v>70000</v>
      </c>
      <c r="J1109" s="295">
        <v>50000</v>
      </c>
      <c r="K1109" s="295"/>
      <c r="L1109" s="220">
        <f>I1109-J1109+K1109</f>
        <v>20000</v>
      </c>
      <c r="M1109" s="197">
        <v>100000</v>
      </c>
      <c r="N1109" s="197">
        <v>100000</v>
      </c>
      <c r="O1109" s="197">
        <v>100000</v>
      </c>
      <c r="P1109" s="197">
        <v>100000</v>
      </c>
      <c r="Q1109" s="197">
        <v>100000</v>
      </c>
    </row>
    <row r="1110" spans="1:17" customFormat="1" ht="14.1" customHeight="1" x14ac:dyDescent="0.3">
      <c r="A1110" s="266">
        <v>3234</v>
      </c>
      <c r="B1110" s="267" t="s">
        <v>27</v>
      </c>
      <c r="C1110" s="197">
        <v>23000</v>
      </c>
      <c r="D1110" s="197">
        <v>20000</v>
      </c>
      <c r="E1110" s="197"/>
      <c r="F1110" s="182">
        <f t="shared" si="1173"/>
        <v>3000</v>
      </c>
      <c r="G1110" s="197">
        <v>23000</v>
      </c>
      <c r="H1110" s="197">
        <v>23000</v>
      </c>
      <c r="I1110" s="197">
        <v>100000</v>
      </c>
      <c r="J1110" s="295">
        <v>80000</v>
      </c>
      <c r="K1110" s="295"/>
      <c r="L1110" s="220">
        <f>I1110-J1110+K1110</f>
        <v>20000</v>
      </c>
      <c r="M1110" s="197">
        <v>100000</v>
      </c>
      <c r="N1110" s="197">
        <v>100000</v>
      </c>
      <c r="O1110" s="197">
        <v>8000</v>
      </c>
      <c r="P1110" s="197">
        <v>8000</v>
      </c>
      <c r="Q1110" s="197">
        <v>8000</v>
      </c>
    </row>
    <row r="1111" spans="1:17" customFormat="1" ht="14.4" x14ac:dyDescent="0.3">
      <c r="A1111" s="266">
        <v>3236</v>
      </c>
      <c r="B1111" s="267" t="s">
        <v>29</v>
      </c>
      <c r="C1111" s="197">
        <v>8000</v>
      </c>
      <c r="D1111" s="197">
        <v>8000</v>
      </c>
      <c r="E1111" s="197"/>
      <c r="F1111" s="182">
        <f t="shared" si="1173"/>
        <v>0</v>
      </c>
      <c r="G1111" s="197">
        <v>8000</v>
      </c>
      <c r="H1111" s="197">
        <v>8000</v>
      </c>
      <c r="I1111" s="197"/>
      <c r="J1111" s="295"/>
      <c r="K1111" s="295"/>
      <c r="L1111" s="295"/>
      <c r="M1111" s="197"/>
      <c r="N1111" s="197"/>
      <c r="O1111" s="197">
        <v>1500</v>
      </c>
      <c r="P1111" s="197">
        <v>1500</v>
      </c>
      <c r="Q1111" s="197">
        <v>1500</v>
      </c>
    </row>
    <row r="1112" spans="1:17" customFormat="1" ht="14.4" x14ac:dyDescent="0.3">
      <c r="A1112" s="266">
        <v>3237</v>
      </c>
      <c r="B1112" s="267" t="s">
        <v>30</v>
      </c>
      <c r="C1112" s="197">
        <v>664000</v>
      </c>
      <c r="D1112" s="197">
        <v>660000</v>
      </c>
      <c r="E1112" s="197"/>
      <c r="F1112" s="182">
        <f t="shared" si="1173"/>
        <v>4000</v>
      </c>
      <c r="G1112" s="197">
        <v>796000</v>
      </c>
      <c r="H1112" s="197">
        <v>929000</v>
      </c>
      <c r="I1112" s="195">
        <f>1000000-500000</f>
        <v>500000</v>
      </c>
      <c r="J1112" s="297">
        <v>450000</v>
      </c>
      <c r="K1112" s="297"/>
      <c r="L1112" s="220">
        <f>I1112-J1112+K1112</f>
        <v>50000</v>
      </c>
      <c r="M1112" s="197">
        <v>1000000</v>
      </c>
      <c r="N1112" s="197">
        <v>1000000</v>
      </c>
      <c r="O1112" s="197">
        <v>338000</v>
      </c>
      <c r="P1112" s="197">
        <v>307000</v>
      </c>
      <c r="Q1112" s="197">
        <v>326000</v>
      </c>
    </row>
    <row r="1113" spans="1:17" customFormat="1" ht="13.05" customHeight="1" x14ac:dyDescent="0.3">
      <c r="A1113" s="266">
        <v>3238</v>
      </c>
      <c r="B1113" s="267" t="s">
        <v>70</v>
      </c>
      <c r="C1113" s="197">
        <v>772000</v>
      </c>
      <c r="D1113" s="197">
        <v>572000</v>
      </c>
      <c r="E1113" s="197"/>
      <c r="F1113" s="182">
        <f t="shared" si="1173"/>
        <v>200000</v>
      </c>
      <c r="G1113" s="197">
        <v>806000</v>
      </c>
      <c r="H1113" s="197">
        <v>806000</v>
      </c>
      <c r="I1113" s="195">
        <f>1500000-1000000</f>
        <v>500000</v>
      </c>
      <c r="J1113" s="297">
        <v>450000</v>
      </c>
      <c r="K1113" s="297"/>
      <c r="L1113" s="220">
        <f>I1113-J1113+K1113</f>
        <v>50000</v>
      </c>
      <c r="M1113" s="197">
        <v>1500000</v>
      </c>
      <c r="N1113" s="197">
        <v>1500000</v>
      </c>
      <c r="O1113" s="197">
        <v>487000</v>
      </c>
      <c r="P1113" s="197">
        <v>627000</v>
      </c>
      <c r="Q1113" s="197">
        <v>507000</v>
      </c>
    </row>
    <row r="1114" spans="1:17" customFormat="1" ht="14.4" x14ac:dyDescent="0.3">
      <c r="A1114" s="266">
        <v>3239</v>
      </c>
      <c r="B1114" s="267" t="s">
        <v>31</v>
      </c>
      <c r="C1114" s="197">
        <v>1990000</v>
      </c>
      <c r="D1114" s="197">
        <v>1990000</v>
      </c>
      <c r="E1114" s="197"/>
      <c r="F1114" s="182">
        <f t="shared" si="1173"/>
        <v>0</v>
      </c>
      <c r="G1114" s="197">
        <v>2654000</v>
      </c>
      <c r="H1114" s="197">
        <v>3318000</v>
      </c>
      <c r="I1114" s="197"/>
      <c r="J1114" s="295"/>
      <c r="K1114" s="295"/>
      <c r="L1114" s="295"/>
      <c r="M1114" s="197"/>
      <c r="N1114" s="197"/>
      <c r="O1114" s="197">
        <v>4001500</v>
      </c>
      <c r="P1114" s="197">
        <v>2001500</v>
      </c>
      <c r="Q1114" s="197">
        <v>1500</v>
      </c>
    </row>
    <row r="1115" spans="1:17" customFormat="1" ht="26.4" hidden="1" x14ac:dyDescent="0.3">
      <c r="A1115" s="283">
        <v>324</v>
      </c>
      <c r="B1115" s="284" t="s">
        <v>32</v>
      </c>
      <c r="C1115" s="221">
        <f t="shared" ref="C1115:Q1115" si="1180">SUM(C1116)</f>
        <v>166000</v>
      </c>
      <c r="D1115" s="221">
        <f t="shared" si="1180"/>
        <v>166000</v>
      </c>
      <c r="E1115" s="221">
        <f t="shared" si="1180"/>
        <v>0</v>
      </c>
      <c r="F1115" s="221">
        <f t="shared" si="1180"/>
        <v>0</v>
      </c>
      <c r="G1115" s="221">
        <f t="shared" si="1180"/>
        <v>166000</v>
      </c>
      <c r="H1115" s="221">
        <f t="shared" si="1180"/>
        <v>166000</v>
      </c>
      <c r="I1115" s="221">
        <f t="shared" si="1180"/>
        <v>0</v>
      </c>
      <c r="J1115" s="221">
        <f t="shared" si="1180"/>
        <v>0</v>
      </c>
      <c r="K1115" s="221">
        <f t="shared" si="1180"/>
        <v>0</v>
      </c>
      <c r="L1115" s="221">
        <f t="shared" si="1180"/>
        <v>0</v>
      </c>
      <c r="M1115" s="221">
        <f t="shared" si="1180"/>
        <v>0</v>
      </c>
      <c r="N1115" s="221">
        <f t="shared" si="1180"/>
        <v>0</v>
      </c>
      <c r="O1115" s="221">
        <f t="shared" si="1180"/>
        <v>0</v>
      </c>
      <c r="P1115" s="221">
        <f t="shared" si="1180"/>
        <v>0</v>
      </c>
      <c r="Q1115" s="221">
        <f t="shared" si="1180"/>
        <v>0</v>
      </c>
    </row>
    <row r="1116" spans="1:17" s="6" customFormat="1" ht="26.4" hidden="1" x14ac:dyDescent="0.3">
      <c r="A1116" s="266">
        <v>3241</v>
      </c>
      <c r="B1116" s="267" t="s">
        <v>32</v>
      </c>
      <c r="C1116" s="197">
        <v>166000</v>
      </c>
      <c r="D1116" s="197">
        <v>166000</v>
      </c>
      <c r="E1116" s="197"/>
      <c r="F1116" s="182">
        <f t="shared" si="1173"/>
        <v>0</v>
      </c>
      <c r="G1116" s="197">
        <v>166000</v>
      </c>
      <c r="H1116" s="197">
        <v>166000</v>
      </c>
      <c r="I1116" s="197"/>
      <c r="J1116" s="295"/>
      <c r="K1116" s="295"/>
      <c r="L1116" s="295"/>
      <c r="M1116" s="197"/>
      <c r="N1116" s="197"/>
      <c r="O1116" s="197"/>
      <c r="P1116" s="197"/>
      <c r="Q1116" s="197"/>
    </row>
    <row r="1117" spans="1:17" s="6" customFormat="1" ht="14.4" x14ac:dyDescent="0.3">
      <c r="A1117" s="281">
        <v>38</v>
      </c>
      <c r="B1117" s="282" t="s">
        <v>314</v>
      </c>
      <c r="C1117" s="187">
        <f t="shared" ref="C1117:Q1118" si="1181">SUM(C1118)</f>
        <v>133000</v>
      </c>
      <c r="D1117" s="187">
        <f t="shared" si="1181"/>
        <v>0</v>
      </c>
      <c r="E1117" s="187">
        <f t="shared" si="1181"/>
        <v>487000</v>
      </c>
      <c r="F1117" s="187">
        <f t="shared" si="1181"/>
        <v>620000</v>
      </c>
      <c r="G1117" s="187">
        <f t="shared" si="1181"/>
        <v>266000</v>
      </c>
      <c r="H1117" s="187">
        <f t="shared" si="1181"/>
        <v>266000</v>
      </c>
      <c r="I1117" s="187">
        <f t="shared" si="1181"/>
        <v>700000</v>
      </c>
      <c r="J1117" s="187">
        <f t="shared" si="1181"/>
        <v>600000</v>
      </c>
      <c r="K1117" s="187">
        <f t="shared" si="1181"/>
        <v>0</v>
      </c>
      <c r="L1117" s="187">
        <f t="shared" si="1181"/>
        <v>100000</v>
      </c>
      <c r="M1117" s="187">
        <f t="shared" si="1181"/>
        <v>2000000</v>
      </c>
      <c r="N1117" s="187">
        <f t="shared" si="1181"/>
        <v>2000000</v>
      </c>
      <c r="O1117" s="187">
        <f t="shared" si="1181"/>
        <v>1519000</v>
      </c>
      <c r="P1117" s="187">
        <f t="shared" si="1181"/>
        <v>1106000</v>
      </c>
      <c r="Q1117" s="187">
        <f t="shared" si="1181"/>
        <v>612000</v>
      </c>
    </row>
    <row r="1118" spans="1:17" customFormat="1" ht="14.4" x14ac:dyDescent="0.3">
      <c r="A1118" s="283">
        <v>381</v>
      </c>
      <c r="B1118" s="284" t="s">
        <v>46</v>
      </c>
      <c r="C1118" s="221">
        <f t="shared" si="1181"/>
        <v>133000</v>
      </c>
      <c r="D1118" s="221">
        <f t="shared" si="1181"/>
        <v>0</v>
      </c>
      <c r="E1118" s="221">
        <f t="shared" si="1181"/>
        <v>487000</v>
      </c>
      <c r="F1118" s="221">
        <f t="shared" si="1181"/>
        <v>620000</v>
      </c>
      <c r="G1118" s="221">
        <f t="shared" si="1181"/>
        <v>266000</v>
      </c>
      <c r="H1118" s="221">
        <f t="shared" si="1181"/>
        <v>266000</v>
      </c>
      <c r="I1118" s="221">
        <f t="shared" si="1181"/>
        <v>700000</v>
      </c>
      <c r="J1118" s="221">
        <f t="shared" si="1181"/>
        <v>600000</v>
      </c>
      <c r="K1118" s="221">
        <f t="shared" si="1181"/>
        <v>0</v>
      </c>
      <c r="L1118" s="221">
        <f t="shared" si="1181"/>
        <v>100000</v>
      </c>
      <c r="M1118" s="221">
        <f t="shared" si="1181"/>
        <v>2000000</v>
      </c>
      <c r="N1118" s="221">
        <f t="shared" si="1181"/>
        <v>2000000</v>
      </c>
      <c r="O1118" s="221">
        <f t="shared" si="1181"/>
        <v>1519000</v>
      </c>
      <c r="P1118" s="221">
        <f t="shared" si="1181"/>
        <v>1106000</v>
      </c>
      <c r="Q1118" s="221">
        <f t="shared" si="1181"/>
        <v>612000</v>
      </c>
    </row>
    <row r="1119" spans="1:17" s="6" customFormat="1" ht="14.4" x14ac:dyDescent="0.3">
      <c r="A1119" s="266" t="s">
        <v>366</v>
      </c>
      <c r="B1119" s="267" t="s">
        <v>119</v>
      </c>
      <c r="C1119" s="197">
        <v>133000</v>
      </c>
      <c r="D1119" s="197"/>
      <c r="E1119" s="197">
        <v>487000</v>
      </c>
      <c r="F1119" s="182">
        <f t="shared" ref="F1119" si="1182">C1119-D1119+E1119</f>
        <v>620000</v>
      </c>
      <c r="G1119" s="197">
        <v>266000</v>
      </c>
      <c r="H1119" s="197">
        <v>266000</v>
      </c>
      <c r="I1119" s="195">
        <f>1700000-1000000</f>
        <v>700000</v>
      </c>
      <c r="J1119" s="297">
        <v>600000</v>
      </c>
      <c r="K1119" s="297"/>
      <c r="L1119" s="220">
        <f>I1119-J1119+K1119</f>
        <v>100000</v>
      </c>
      <c r="M1119" s="197">
        <v>2000000</v>
      </c>
      <c r="N1119" s="197">
        <v>2000000</v>
      </c>
      <c r="O1119" s="197">
        <v>1519000</v>
      </c>
      <c r="P1119" s="197">
        <v>1106000</v>
      </c>
      <c r="Q1119" s="197">
        <v>612000</v>
      </c>
    </row>
    <row r="1120" spans="1:17" s="6" customFormat="1" ht="14.4" x14ac:dyDescent="0.3">
      <c r="A1120" s="281">
        <v>42</v>
      </c>
      <c r="B1120" s="186" t="s">
        <v>324</v>
      </c>
      <c r="C1120" s="187">
        <f t="shared" ref="C1120:F1120" si="1183">SUM(C1121,C1123,C1129)</f>
        <v>839000</v>
      </c>
      <c r="D1120" s="187">
        <f t="shared" si="1183"/>
        <v>839000</v>
      </c>
      <c r="E1120" s="187">
        <f t="shared" si="1183"/>
        <v>0</v>
      </c>
      <c r="F1120" s="187">
        <f t="shared" si="1183"/>
        <v>0</v>
      </c>
      <c r="G1120" s="187">
        <f t="shared" ref="G1120:H1120" si="1184">SUM(G1121,G1123,G1129)</f>
        <v>1457000</v>
      </c>
      <c r="H1120" s="187">
        <f t="shared" si="1184"/>
        <v>1762000</v>
      </c>
      <c r="I1120" s="187">
        <f t="shared" ref="I1120:J1120" si="1185">SUM(I1121,I1123,I1129,I1131)</f>
        <v>1340000</v>
      </c>
      <c r="J1120" s="187">
        <f t="shared" si="1185"/>
        <v>1030000</v>
      </c>
      <c r="K1120" s="187">
        <f>SUM(K1121,K1123,K1129,K1131)</f>
        <v>100000</v>
      </c>
      <c r="L1120" s="187">
        <f>SUM(L1121,L1123,L1129,L1131)</f>
        <v>410000</v>
      </c>
      <c r="M1120" s="187">
        <f t="shared" ref="M1120:N1120" si="1186">SUM(M1121,M1123,M1129)</f>
        <v>3100000</v>
      </c>
      <c r="N1120" s="187">
        <f t="shared" si="1186"/>
        <v>3100000</v>
      </c>
      <c r="O1120" s="187">
        <f>SUM(O1121,O1123,O1129,O1131)</f>
        <v>1946000</v>
      </c>
      <c r="P1120" s="187">
        <f>SUM(P1121,P1123,P1129,P1131)</f>
        <v>927000</v>
      </c>
      <c r="Q1120" s="187">
        <f>SUM(Q1121,Q1123,Q1129,Q1131)</f>
        <v>927000</v>
      </c>
    </row>
    <row r="1121" spans="1:21" customFormat="1" ht="14.4" hidden="1" x14ac:dyDescent="0.3">
      <c r="A1121" s="283">
        <v>421</v>
      </c>
      <c r="B1121" s="284" t="s">
        <v>51</v>
      </c>
      <c r="C1121" s="221">
        <f t="shared" ref="C1121:Q1121" si="1187">SUM(C1122)</f>
        <v>265000</v>
      </c>
      <c r="D1121" s="221">
        <f t="shared" si="1187"/>
        <v>265000</v>
      </c>
      <c r="E1121" s="221">
        <f t="shared" si="1187"/>
        <v>0</v>
      </c>
      <c r="F1121" s="221">
        <f t="shared" si="1187"/>
        <v>0</v>
      </c>
      <c r="G1121" s="221">
        <f t="shared" si="1187"/>
        <v>332000</v>
      </c>
      <c r="H1121" s="221">
        <f t="shared" si="1187"/>
        <v>398000</v>
      </c>
      <c r="I1121" s="221">
        <f t="shared" si="1187"/>
        <v>500000</v>
      </c>
      <c r="J1121" s="221">
        <f t="shared" si="1187"/>
        <v>500000</v>
      </c>
      <c r="K1121" s="221">
        <f t="shared" si="1187"/>
        <v>0</v>
      </c>
      <c r="L1121" s="221">
        <f t="shared" si="1187"/>
        <v>0</v>
      </c>
      <c r="M1121" s="221">
        <f t="shared" si="1187"/>
        <v>2000000</v>
      </c>
      <c r="N1121" s="221">
        <f t="shared" si="1187"/>
        <v>2000000</v>
      </c>
      <c r="O1121" s="221">
        <f t="shared" si="1187"/>
        <v>0</v>
      </c>
      <c r="P1121" s="221">
        <f t="shared" si="1187"/>
        <v>0</v>
      </c>
      <c r="Q1121" s="221">
        <f t="shared" si="1187"/>
        <v>0</v>
      </c>
    </row>
    <row r="1122" spans="1:21" s="6" customFormat="1" ht="14.4" hidden="1" x14ac:dyDescent="0.3">
      <c r="A1122" s="266">
        <v>4212</v>
      </c>
      <c r="B1122" s="267" t="s">
        <v>52</v>
      </c>
      <c r="C1122" s="197">
        <v>265000</v>
      </c>
      <c r="D1122" s="197">
        <v>265000</v>
      </c>
      <c r="E1122" s="197"/>
      <c r="F1122" s="182">
        <f t="shared" ref="F1122:F1130" si="1188">C1122-D1122+E1122</f>
        <v>0</v>
      </c>
      <c r="G1122" s="197">
        <v>332000</v>
      </c>
      <c r="H1122" s="197">
        <v>398000</v>
      </c>
      <c r="I1122" s="195">
        <f>1500000-1000000</f>
        <v>500000</v>
      </c>
      <c r="J1122" s="297">
        <v>500000</v>
      </c>
      <c r="K1122" s="297"/>
      <c r="L1122" s="220">
        <f>I1122-J1122+K1122</f>
        <v>0</v>
      </c>
      <c r="M1122" s="197">
        <v>2000000</v>
      </c>
      <c r="N1122" s="197">
        <v>2000000</v>
      </c>
      <c r="O1122" s="197"/>
      <c r="P1122" s="197"/>
      <c r="Q1122" s="197"/>
    </row>
    <row r="1123" spans="1:21" customFormat="1" ht="14.4" x14ac:dyDescent="0.3">
      <c r="A1123" s="283">
        <v>422</v>
      </c>
      <c r="B1123" s="284" t="s">
        <v>53</v>
      </c>
      <c r="C1123" s="221">
        <f t="shared" ref="C1123:F1123" si="1189">SUM(C1124:C1128)</f>
        <v>568000</v>
      </c>
      <c r="D1123" s="221">
        <f t="shared" si="1189"/>
        <v>568000</v>
      </c>
      <c r="E1123" s="221">
        <f t="shared" si="1189"/>
        <v>0</v>
      </c>
      <c r="F1123" s="221">
        <f t="shared" si="1189"/>
        <v>0</v>
      </c>
      <c r="G1123" s="221">
        <f t="shared" ref="G1123:H1123" si="1190">SUM(G1124:G1128)</f>
        <v>1119000</v>
      </c>
      <c r="H1123" s="221">
        <f t="shared" si="1190"/>
        <v>1337000</v>
      </c>
      <c r="I1123" s="221">
        <f t="shared" ref="I1123:N1123" si="1191">SUM(I1124:I1128)</f>
        <v>740000</v>
      </c>
      <c r="J1123" s="221">
        <f t="shared" si="1191"/>
        <v>440000</v>
      </c>
      <c r="K1123" s="221">
        <f t="shared" si="1191"/>
        <v>0</v>
      </c>
      <c r="L1123" s="221">
        <f t="shared" si="1191"/>
        <v>300000</v>
      </c>
      <c r="M1123" s="221">
        <f t="shared" si="1191"/>
        <v>1000000</v>
      </c>
      <c r="N1123" s="221">
        <f t="shared" si="1191"/>
        <v>1000000</v>
      </c>
      <c r="O1123" s="221">
        <f t="shared" ref="O1123:P1123" si="1192">SUM(O1124:O1128)</f>
        <v>125000</v>
      </c>
      <c r="P1123" s="221">
        <f t="shared" si="1192"/>
        <v>100000</v>
      </c>
      <c r="Q1123" s="221">
        <f t="shared" ref="Q1123" si="1193">SUM(Q1124:Q1128)</f>
        <v>100000</v>
      </c>
    </row>
    <row r="1124" spans="1:21" customFormat="1" ht="14.4" x14ac:dyDescent="0.3">
      <c r="A1124" s="266">
        <v>4221</v>
      </c>
      <c r="B1124" s="267" t="s">
        <v>54</v>
      </c>
      <c r="C1124" s="197">
        <v>106000</v>
      </c>
      <c r="D1124" s="197">
        <v>106000</v>
      </c>
      <c r="E1124" s="197"/>
      <c r="F1124" s="182">
        <f t="shared" si="1188"/>
        <v>0</v>
      </c>
      <c r="G1124" s="197">
        <v>120000</v>
      </c>
      <c r="H1124" s="197">
        <v>133000</v>
      </c>
      <c r="I1124" s="197">
        <v>240000</v>
      </c>
      <c r="J1124" s="295">
        <v>140000</v>
      </c>
      <c r="K1124" s="295"/>
      <c r="L1124" s="220">
        <f>I1124-J1124+K1124</f>
        <v>100000</v>
      </c>
      <c r="M1124" s="197">
        <v>300000</v>
      </c>
      <c r="N1124" s="197">
        <v>300000</v>
      </c>
      <c r="O1124" s="197">
        <v>25000</v>
      </c>
      <c r="P1124" s="197"/>
      <c r="Q1124" s="197"/>
      <c r="S1124" s="6"/>
      <c r="U1124" s="6"/>
    </row>
    <row r="1125" spans="1:21" customFormat="1" ht="14.4" hidden="1" x14ac:dyDescent="0.3">
      <c r="A1125" s="266">
        <v>4222</v>
      </c>
      <c r="B1125" s="267" t="s">
        <v>58</v>
      </c>
      <c r="C1125" s="197">
        <v>137000</v>
      </c>
      <c r="D1125" s="197">
        <v>137000</v>
      </c>
      <c r="E1125" s="197"/>
      <c r="F1125" s="182">
        <f t="shared" si="1188"/>
        <v>0</v>
      </c>
      <c r="G1125" s="197">
        <v>137000</v>
      </c>
      <c r="H1125" s="197">
        <v>137000</v>
      </c>
      <c r="I1125" s="197">
        <v>200000</v>
      </c>
      <c r="J1125" s="295">
        <v>100000</v>
      </c>
      <c r="K1125" s="295"/>
      <c r="L1125" s="220">
        <f>I1125-J1125+K1125</f>
        <v>100000</v>
      </c>
      <c r="M1125" s="197">
        <v>300000</v>
      </c>
      <c r="N1125" s="197">
        <v>300000</v>
      </c>
      <c r="O1125" s="197"/>
      <c r="P1125" s="197"/>
      <c r="Q1125" s="197"/>
    </row>
    <row r="1126" spans="1:21" customFormat="1" ht="14.1" hidden="1" customHeight="1" x14ac:dyDescent="0.3">
      <c r="A1126" s="266">
        <v>4223</v>
      </c>
      <c r="B1126" s="267" t="s">
        <v>59</v>
      </c>
      <c r="C1126" s="197">
        <v>266000</v>
      </c>
      <c r="D1126" s="197">
        <v>266000</v>
      </c>
      <c r="E1126" s="197"/>
      <c r="F1126" s="182">
        <f t="shared" si="1188"/>
        <v>0</v>
      </c>
      <c r="G1126" s="197">
        <v>796000</v>
      </c>
      <c r="H1126" s="197">
        <v>995000</v>
      </c>
      <c r="I1126" s="197">
        <v>150000</v>
      </c>
      <c r="J1126" s="295">
        <v>100000</v>
      </c>
      <c r="K1126" s="295"/>
      <c r="L1126" s="220">
        <f>I1126-J1126+K1126</f>
        <v>50000</v>
      </c>
      <c r="M1126" s="197">
        <v>200000</v>
      </c>
      <c r="N1126" s="197">
        <v>200000</v>
      </c>
      <c r="O1126" s="197"/>
      <c r="P1126" s="197"/>
      <c r="Q1126" s="197"/>
      <c r="U1126" s="6"/>
    </row>
    <row r="1127" spans="1:21" customFormat="1" ht="0.6" hidden="1" customHeight="1" x14ac:dyDescent="0.3">
      <c r="A1127" s="266">
        <v>4224</v>
      </c>
      <c r="B1127" s="267" t="s">
        <v>283</v>
      </c>
      <c r="C1127" s="197">
        <v>6000</v>
      </c>
      <c r="D1127" s="197">
        <v>6000</v>
      </c>
      <c r="E1127" s="197"/>
      <c r="F1127" s="182">
        <f t="shared" si="1188"/>
        <v>0</v>
      </c>
      <c r="G1127" s="197">
        <v>6000</v>
      </c>
      <c r="H1127" s="197">
        <v>6000</v>
      </c>
      <c r="I1127" s="197"/>
      <c r="J1127" s="295"/>
      <c r="K1127" s="295"/>
      <c r="L1127" s="295"/>
      <c r="M1127" s="197"/>
      <c r="N1127" s="197"/>
      <c r="O1127" s="197"/>
      <c r="P1127" s="197"/>
      <c r="Q1127" s="197"/>
    </row>
    <row r="1128" spans="1:21" s="6" customFormat="1" ht="14.4" x14ac:dyDescent="0.3">
      <c r="A1128" s="266">
        <v>4225</v>
      </c>
      <c r="B1128" s="267" t="s">
        <v>105</v>
      </c>
      <c r="C1128" s="197">
        <v>53000</v>
      </c>
      <c r="D1128" s="197">
        <v>53000</v>
      </c>
      <c r="E1128" s="197"/>
      <c r="F1128" s="182">
        <f t="shared" si="1188"/>
        <v>0</v>
      </c>
      <c r="G1128" s="197">
        <v>60000</v>
      </c>
      <c r="H1128" s="197">
        <v>66000</v>
      </c>
      <c r="I1128" s="197">
        <v>150000</v>
      </c>
      <c r="J1128" s="295">
        <v>100000</v>
      </c>
      <c r="K1128" s="295"/>
      <c r="L1128" s="220">
        <f>I1128-J1128+K1128</f>
        <v>50000</v>
      </c>
      <c r="M1128" s="197">
        <v>200000</v>
      </c>
      <c r="N1128" s="197">
        <v>200000</v>
      </c>
      <c r="O1128" s="197">
        <v>100000</v>
      </c>
      <c r="P1128" s="197">
        <v>100000</v>
      </c>
      <c r="Q1128" s="197">
        <v>100000</v>
      </c>
    </row>
    <row r="1129" spans="1:21" customFormat="1" ht="14.4" x14ac:dyDescent="0.3">
      <c r="A1129" s="283">
        <v>423</v>
      </c>
      <c r="B1129" s="284" t="s">
        <v>61</v>
      </c>
      <c r="C1129" s="221">
        <f t="shared" ref="C1129:Q1129" si="1194">SUM(C1130)</f>
        <v>6000</v>
      </c>
      <c r="D1129" s="221">
        <f t="shared" si="1194"/>
        <v>6000</v>
      </c>
      <c r="E1129" s="221">
        <f t="shared" si="1194"/>
        <v>0</v>
      </c>
      <c r="F1129" s="221">
        <f t="shared" si="1194"/>
        <v>0</v>
      </c>
      <c r="G1129" s="221">
        <f t="shared" si="1194"/>
        <v>6000</v>
      </c>
      <c r="H1129" s="221">
        <f t="shared" si="1194"/>
        <v>27000</v>
      </c>
      <c r="I1129" s="221">
        <f t="shared" si="1194"/>
        <v>100000</v>
      </c>
      <c r="J1129" s="221">
        <f t="shared" si="1194"/>
        <v>90000</v>
      </c>
      <c r="K1129" s="221">
        <f t="shared" si="1194"/>
        <v>0</v>
      </c>
      <c r="L1129" s="221">
        <f t="shared" si="1194"/>
        <v>10000</v>
      </c>
      <c r="M1129" s="221">
        <f t="shared" si="1194"/>
        <v>100000</v>
      </c>
      <c r="N1129" s="221">
        <f t="shared" si="1194"/>
        <v>100000</v>
      </c>
      <c r="O1129" s="221">
        <f t="shared" si="1194"/>
        <v>788000</v>
      </c>
      <c r="P1129" s="221">
        <f t="shared" si="1194"/>
        <v>0</v>
      </c>
      <c r="Q1129" s="221">
        <f t="shared" si="1194"/>
        <v>0</v>
      </c>
    </row>
    <row r="1130" spans="1:21" s="6" customFormat="1" ht="14.4" x14ac:dyDescent="0.3">
      <c r="A1130" s="266">
        <v>4231</v>
      </c>
      <c r="B1130" s="267" t="s">
        <v>62</v>
      </c>
      <c r="C1130" s="197">
        <v>6000</v>
      </c>
      <c r="D1130" s="197">
        <v>6000</v>
      </c>
      <c r="E1130" s="197"/>
      <c r="F1130" s="182">
        <f t="shared" si="1188"/>
        <v>0</v>
      </c>
      <c r="G1130" s="197">
        <v>6000</v>
      </c>
      <c r="H1130" s="197">
        <v>27000</v>
      </c>
      <c r="I1130" s="197">
        <v>100000</v>
      </c>
      <c r="J1130" s="295">
        <v>90000</v>
      </c>
      <c r="K1130" s="295"/>
      <c r="L1130" s="220">
        <f>I1130-J1130+K1130</f>
        <v>10000</v>
      </c>
      <c r="M1130" s="197">
        <v>100000</v>
      </c>
      <c r="N1130" s="197">
        <v>100000</v>
      </c>
      <c r="O1130" s="197">
        <v>788000</v>
      </c>
      <c r="P1130" s="197"/>
      <c r="Q1130" s="197"/>
    </row>
    <row r="1131" spans="1:21" customFormat="1" ht="14.4" x14ac:dyDescent="0.3">
      <c r="A1131" s="283">
        <v>426</v>
      </c>
      <c r="B1131" s="284" t="s">
        <v>73</v>
      </c>
      <c r="C1131" s="221">
        <f t="shared" ref="C1131:Q1131" si="1195">SUM(C1132)</f>
        <v>498000</v>
      </c>
      <c r="D1131" s="221">
        <f t="shared" si="1195"/>
        <v>498000</v>
      </c>
      <c r="E1131" s="221">
        <f t="shared" si="1195"/>
        <v>0</v>
      </c>
      <c r="F1131" s="221">
        <f t="shared" si="1195"/>
        <v>0</v>
      </c>
      <c r="G1131" s="221">
        <f t="shared" si="1195"/>
        <v>796000</v>
      </c>
      <c r="H1131" s="221">
        <f t="shared" si="1195"/>
        <v>995000</v>
      </c>
      <c r="I1131" s="221">
        <f t="shared" si="1195"/>
        <v>0</v>
      </c>
      <c r="J1131" s="221">
        <f t="shared" si="1195"/>
        <v>0</v>
      </c>
      <c r="K1131" s="221">
        <f t="shared" si="1195"/>
        <v>100000</v>
      </c>
      <c r="L1131" s="221">
        <f t="shared" si="1195"/>
        <v>100000</v>
      </c>
      <c r="M1131" s="221">
        <f t="shared" si="1195"/>
        <v>0</v>
      </c>
      <c r="N1131" s="221">
        <f t="shared" si="1195"/>
        <v>0</v>
      </c>
      <c r="O1131" s="221">
        <f t="shared" si="1195"/>
        <v>1033000</v>
      </c>
      <c r="P1131" s="221">
        <f t="shared" si="1195"/>
        <v>827000</v>
      </c>
      <c r="Q1131" s="221">
        <f t="shared" si="1195"/>
        <v>827000</v>
      </c>
    </row>
    <row r="1132" spans="1:21" customFormat="1" ht="14.4" x14ac:dyDescent="0.3">
      <c r="A1132" s="266">
        <v>4262</v>
      </c>
      <c r="B1132" s="267" t="s">
        <v>88</v>
      </c>
      <c r="C1132" s="197">
        <v>498000</v>
      </c>
      <c r="D1132" s="197">
        <v>498000</v>
      </c>
      <c r="E1132" s="197"/>
      <c r="F1132" s="182">
        <f t="shared" ref="F1132" si="1196">C1132-D1132+E1132</f>
        <v>0</v>
      </c>
      <c r="G1132" s="197">
        <v>796000</v>
      </c>
      <c r="H1132" s="197">
        <v>995000</v>
      </c>
      <c r="I1132" s="195"/>
      <c r="J1132" s="297"/>
      <c r="K1132" s="297">
        <v>100000</v>
      </c>
      <c r="L1132" s="220">
        <f>I1132-J1132+K1132</f>
        <v>100000</v>
      </c>
      <c r="M1132" s="197"/>
      <c r="N1132" s="197"/>
      <c r="O1132" s="197">
        <v>1033000</v>
      </c>
      <c r="P1132" s="197">
        <v>827000</v>
      </c>
      <c r="Q1132" s="197">
        <v>827000</v>
      </c>
    </row>
    <row r="1133" spans="1:21" s="6" customFormat="1" ht="26.4" hidden="1" x14ac:dyDescent="0.3">
      <c r="A1133" s="281">
        <v>45</v>
      </c>
      <c r="B1133" s="210" t="s">
        <v>326</v>
      </c>
      <c r="C1133" s="187">
        <f t="shared" ref="C1133:F1133" si="1197">SUM(C1135)</f>
        <v>205000</v>
      </c>
      <c r="D1133" s="187">
        <f t="shared" si="1197"/>
        <v>205000</v>
      </c>
      <c r="E1133" s="187">
        <f t="shared" si="1197"/>
        <v>0</v>
      </c>
      <c r="F1133" s="187">
        <f t="shared" si="1197"/>
        <v>0</v>
      </c>
      <c r="G1133" s="187">
        <f t="shared" ref="G1133:H1133" si="1198">SUM(G1135)</f>
        <v>265000</v>
      </c>
      <c r="H1133" s="187">
        <f t="shared" si="1198"/>
        <v>398000</v>
      </c>
      <c r="I1133" s="187">
        <f t="shared" ref="I1133:O1133" si="1199">SUM(I1134)</f>
        <v>1000000</v>
      </c>
      <c r="J1133" s="187">
        <f t="shared" si="1199"/>
        <v>1000000</v>
      </c>
      <c r="K1133" s="187">
        <f t="shared" si="1199"/>
        <v>0</v>
      </c>
      <c r="L1133" s="187">
        <f t="shared" si="1199"/>
        <v>0</v>
      </c>
      <c r="M1133" s="187">
        <f t="shared" si="1199"/>
        <v>2000000</v>
      </c>
      <c r="N1133" s="187">
        <f t="shared" si="1199"/>
        <v>2000000</v>
      </c>
      <c r="O1133" s="187">
        <f t="shared" si="1199"/>
        <v>0</v>
      </c>
      <c r="P1133" s="187">
        <f t="shared" ref="P1133:Q1133" si="1200">SUM(P1134)</f>
        <v>0</v>
      </c>
      <c r="Q1133" s="187">
        <f t="shared" si="1200"/>
        <v>0</v>
      </c>
    </row>
    <row r="1134" spans="1:21" customFormat="1" ht="26.4" hidden="1" x14ac:dyDescent="0.3">
      <c r="A1134" s="283">
        <v>451</v>
      </c>
      <c r="B1134" s="284" t="s">
        <v>55</v>
      </c>
      <c r="C1134" s="221">
        <f t="shared" ref="C1134:Q1134" si="1201">SUM(C1135)</f>
        <v>205000</v>
      </c>
      <c r="D1134" s="221">
        <f t="shared" si="1201"/>
        <v>205000</v>
      </c>
      <c r="E1134" s="221">
        <f t="shared" si="1201"/>
        <v>0</v>
      </c>
      <c r="F1134" s="221">
        <f t="shared" si="1201"/>
        <v>0</v>
      </c>
      <c r="G1134" s="221">
        <f t="shared" si="1201"/>
        <v>265000</v>
      </c>
      <c r="H1134" s="221">
        <f t="shared" si="1201"/>
        <v>398000</v>
      </c>
      <c r="I1134" s="221">
        <f t="shared" si="1201"/>
        <v>1000000</v>
      </c>
      <c r="J1134" s="221">
        <f t="shared" si="1201"/>
        <v>1000000</v>
      </c>
      <c r="K1134" s="221">
        <f t="shared" si="1201"/>
        <v>0</v>
      </c>
      <c r="L1134" s="221">
        <f t="shared" si="1201"/>
        <v>0</v>
      </c>
      <c r="M1134" s="221">
        <f t="shared" si="1201"/>
        <v>2000000</v>
      </c>
      <c r="N1134" s="221">
        <f t="shared" si="1201"/>
        <v>2000000</v>
      </c>
      <c r="O1134" s="221">
        <f t="shared" si="1201"/>
        <v>0</v>
      </c>
      <c r="P1134" s="221">
        <f t="shared" si="1201"/>
        <v>0</v>
      </c>
      <c r="Q1134" s="221">
        <f t="shared" si="1201"/>
        <v>0</v>
      </c>
    </row>
    <row r="1135" spans="1:21" customFormat="1" ht="25.5" hidden="1" customHeight="1" x14ac:dyDescent="0.3">
      <c r="A1135" s="266">
        <v>4511</v>
      </c>
      <c r="B1135" s="267" t="s">
        <v>55</v>
      </c>
      <c r="C1135" s="197">
        <v>205000</v>
      </c>
      <c r="D1135" s="197">
        <v>205000</v>
      </c>
      <c r="E1135" s="197"/>
      <c r="F1135" s="182">
        <f t="shared" ref="F1135" si="1202">C1135-D1135+E1135</f>
        <v>0</v>
      </c>
      <c r="G1135" s="197">
        <v>265000</v>
      </c>
      <c r="H1135" s="197">
        <v>398000</v>
      </c>
      <c r="I1135" s="195">
        <f>2000000-1000000</f>
        <v>1000000</v>
      </c>
      <c r="J1135" s="297">
        <v>1000000</v>
      </c>
      <c r="K1135" s="297"/>
      <c r="L1135" s="220">
        <f>I1135-J1135+K1135</f>
        <v>0</v>
      </c>
      <c r="M1135" s="197">
        <v>2000000</v>
      </c>
      <c r="N1135" s="197">
        <v>2000000</v>
      </c>
      <c r="O1135" s="197"/>
      <c r="P1135" s="197"/>
      <c r="Q1135" s="197"/>
    </row>
    <row r="1136" spans="1:21" customFormat="1" ht="39.6" x14ac:dyDescent="0.3">
      <c r="A1136" s="242" t="s">
        <v>348</v>
      </c>
      <c r="B1136" s="231" t="s">
        <v>340</v>
      </c>
      <c r="C1136" s="285">
        <f t="shared" ref="C1136:H1136" si="1203">SUM(C1137)</f>
        <v>18171000</v>
      </c>
      <c r="D1136" s="285">
        <f t="shared" si="1203"/>
        <v>16715000</v>
      </c>
      <c r="E1136" s="285">
        <f t="shared" si="1203"/>
        <v>1147000</v>
      </c>
      <c r="F1136" s="285">
        <f t="shared" si="1203"/>
        <v>2603000</v>
      </c>
      <c r="G1136" s="285">
        <f t="shared" si="1203"/>
        <v>20238000</v>
      </c>
      <c r="H1136" s="285">
        <f t="shared" si="1203"/>
        <v>21851000</v>
      </c>
      <c r="I1136" s="285">
        <f>SUM(I1137)</f>
        <v>15540000</v>
      </c>
      <c r="J1136" s="285">
        <f t="shared" ref="J1136:K1136" si="1204">SUM(J1137)</f>
        <v>7950000</v>
      </c>
      <c r="K1136" s="285">
        <f t="shared" si="1204"/>
        <v>5150000</v>
      </c>
      <c r="L1136" s="285">
        <f t="shared" ref="L1136:Q1136" si="1205">SUM(L1137)</f>
        <v>12740000</v>
      </c>
      <c r="M1136" s="285">
        <f t="shared" si="1205"/>
        <v>39170000</v>
      </c>
      <c r="N1136" s="285">
        <f t="shared" si="1205"/>
        <v>35016000</v>
      </c>
      <c r="O1136" s="285">
        <f t="shared" si="1205"/>
        <v>69200000</v>
      </c>
      <c r="P1136" s="285">
        <f t="shared" si="1205"/>
        <v>31990000</v>
      </c>
      <c r="Q1136" s="285">
        <f t="shared" si="1205"/>
        <v>14134000</v>
      </c>
      <c r="R1136" s="10"/>
    </row>
    <row r="1137" spans="1:19" customFormat="1" ht="14.4" x14ac:dyDescent="0.3">
      <c r="A1137" s="721" t="s">
        <v>118</v>
      </c>
      <c r="B1137" s="721"/>
      <c r="C1137" s="173">
        <f>SUM(C1138,C1147,C1173,C1186,C1170)</f>
        <v>18171000</v>
      </c>
      <c r="D1137" s="173">
        <f>SUM(D1138,D1147,D1170,D1173,D1186)</f>
        <v>16715000</v>
      </c>
      <c r="E1137" s="173">
        <f>SUM(E1138,E1147,E1170,E1173,E1186)</f>
        <v>1147000</v>
      </c>
      <c r="F1137" s="173">
        <f>F1147+F1170+F1173+F1186</f>
        <v>2603000</v>
      </c>
      <c r="G1137" s="173">
        <f>SUM(G1138,G1147,G1173,G1186)</f>
        <v>20238000</v>
      </c>
      <c r="H1137" s="173">
        <f>SUM(H1138,H1147,H1173,H1186)</f>
        <v>21851000</v>
      </c>
      <c r="I1137" s="173">
        <f t="shared" ref="I1137:J1137" si="1206">SUM(I1138,I1147,I1170,I1173,I1186)</f>
        <v>15540000</v>
      </c>
      <c r="J1137" s="173">
        <f t="shared" si="1206"/>
        <v>7950000</v>
      </c>
      <c r="K1137" s="173">
        <f>SUM(K1138,K1147,K1170,K1173,K1186)</f>
        <v>5150000</v>
      </c>
      <c r="L1137" s="173">
        <f>SUM(L1138,L1147,L1170,L1173,L1186)</f>
        <v>12740000</v>
      </c>
      <c r="M1137" s="173">
        <f t="shared" ref="M1137:Q1137" si="1207">SUM(M1138,M1147,M1170,M1173,M1186)</f>
        <v>39170000</v>
      </c>
      <c r="N1137" s="173">
        <f t="shared" si="1207"/>
        <v>35016000</v>
      </c>
      <c r="O1137" s="173">
        <f t="shared" si="1207"/>
        <v>69200000</v>
      </c>
      <c r="P1137" s="173">
        <f t="shared" si="1207"/>
        <v>31990000</v>
      </c>
      <c r="Q1137" s="173">
        <f t="shared" si="1207"/>
        <v>14134000</v>
      </c>
      <c r="R1137" s="28"/>
    </row>
    <row r="1138" spans="1:19" customFormat="1" ht="14.4" hidden="1" x14ac:dyDescent="0.3">
      <c r="A1138" s="281">
        <v>31</v>
      </c>
      <c r="B1138" s="282" t="s">
        <v>316</v>
      </c>
      <c r="C1138" s="187">
        <f t="shared" ref="C1138:F1138" si="1208">SUM(C1139,C1142,C1144)</f>
        <v>209000</v>
      </c>
      <c r="D1138" s="187">
        <f t="shared" si="1208"/>
        <v>209000</v>
      </c>
      <c r="E1138" s="187">
        <f t="shared" si="1208"/>
        <v>0</v>
      </c>
      <c r="F1138" s="187">
        <f t="shared" si="1208"/>
        <v>0</v>
      </c>
      <c r="G1138" s="187">
        <f t="shared" ref="G1138:H1138" si="1209">SUM(G1139,G1142,G1144)</f>
        <v>209000</v>
      </c>
      <c r="H1138" s="187">
        <f t="shared" si="1209"/>
        <v>209000</v>
      </c>
      <c r="I1138" s="187">
        <f t="shared" ref="I1138:M1138" si="1210">SUM(I1139,I1142,I1144)</f>
        <v>876000</v>
      </c>
      <c r="J1138" s="187">
        <f t="shared" si="1210"/>
        <v>0</v>
      </c>
      <c r="K1138" s="187">
        <f t="shared" si="1210"/>
        <v>2180000</v>
      </c>
      <c r="L1138" s="187">
        <f t="shared" si="1210"/>
        <v>3056000</v>
      </c>
      <c r="M1138" s="187">
        <f t="shared" si="1210"/>
        <v>0</v>
      </c>
      <c r="N1138" s="187">
        <f t="shared" ref="N1138:O1138" si="1211">SUM(N1139,N1142,N1144)</f>
        <v>0</v>
      </c>
      <c r="O1138" s="187">
        <f t="shared" si="1211"/>
        <v>0</v>
      </c>
      <c r="P1138" s="187">
        <f t="shared" ref="P1138:Q1138" si="1212">SUM(P1139,P1142,P1144)</f>
        <v>0</v>
      </c>
      <c r="Q1138" s="187">
        <f t="shared" si="1212"/>
        <v>0</v>
      </c>
    </row>
    <row r="1139" spans="1:19" customFormat="1" ht="14.4" hidden="1" x14ac:dyDescent="0.3">
      <c r="A1139" s="283">
        <v>311</v>
      </c>
      <c r="B1139" s="284" t="s">
        <v>4</v>
      </c>
      <c r="C1139" s="221">
        <f t="shared" ref="C1139:F1139" si="1213">SUM(C1140:C1141)</f>
        <v>119000</v>
      </c>
      <c r="D1139" s="221">
        <f t="shared" si="1213"/>
        <v>119000</v>
      </c>
      <c r="E1139" s="221">
        <f t="shared" si="1213"/>
        <v>0</v>
      </c>
      <c r="F1139" s="221">
        <f t="shared" si="1213"/>
        <v>0</v>
      </c>
      <c r="G1139" s="221">
        <f t="shared" ref="G1139:H1139" si="1214">SUM(G1140:G1141)</f>
        <v>119000</v>
      </c>
      <c r="H1139" s="221">
        <f t="shared" si="1214"/>
        <v>119000</v>
      </c>
      <c r="I1139" s="221">
        <f t="shared" ref="I1139:M1139" si="1215">SUM(I1140:I1141)</f>
        <v>876000</v>
      </c>
      <c r="J1139" s="221">
        <f t="shared" si="1215"/>
        <v>0</v>
      </c>
      <c r="K1139" s="221">
        <f t="shared" si="1215"/>
        <v>1540000</v>
      </c>
      <c r="L1139" s="221">
        <f t="shared" si="1215"/>
        <v>2416000</v>
      </c>
      <c r="M1139" s="221">
        <f t="shared" si="1215"/>
        <v>0</v>
      </c>
      <c r="N1139" s="221">
        <f t="shared" ref="N1139:O1139" si="1216">SUM(N1140:N1141)</f>
        <v>0</v>
      </c>
      <c r="O1139" s="221">
        <f t="shared" si="1216"/>
        <v>0</v>
      </c>
      <c r="P1139" s="221">
        <f t="shared" ref="P1139:Q1139" si="1217">SUM(P1140:P1141)</f>
        <v>0</v>
      </c>
      <c r="Q1139" s="221">
        <f t="shared" si="1217"/>
        <v>0</v>
      </c>
    </row>
    <row r="1140" spans="1:19" customFormat="1" ht="14.4" hidden="1" x14ac:dyDescent="0.3">
      <c r="A1140" s="266">
        <v>3111</v>
      </c>
      <c r="B1140" s="267" t="s">
        <v>5</v>
      </c>
      <c r="C1140" s="197">
        <v>109000</v>
      </c>
      <c r="D1140" s="197">
        <v>109000</v>
      </c>
      <c r="E1140" s="197"/>
      <c r="F1140" s="182">
        <f t="shared" ref="F1140:F1146" si="1218">C1140-D1140+E1140</f>
        <v>0</v>
      </c>
      <c r="G1140" s="197">
        <v>109000</v>
      </c>
      <c r="H1140" s="197">
        <v>109000</v>
      </c>
      <c r="I1140" s="197"/>
      <c r="J1140" s="295"/>
      <c r="K1140" s="295">
        <v>740000</v>
      </c>
      <c r="L1140" s="295">
        <f>I1140-J1140+K1140</f>
        <v>740000</v>
      </c>
      <c r="M1140" s="197"/>
      <c r="N1140" s="197"/>
      <c r="O1140" s="197"/>
      <c r="P1140" s="197"/>
      <c r="Q1140" s="197"/>
    </row>
    <row r="1141" spans="1:19" customFormat="1" ht="14.4" hidden="1" x14ac:dyDescent="0.3">
      <c r="A1141" s="266">
        <v>3113</v>
      </c>
      <c r="B1141" s="267" t="s">
        <v>6</v>
      </c>
      <c r="C1141" s="197">
        <v>10000</v>
      </c>
      <c r="D1141" s="197">
        <v>10000</v>
      </c>
      <c r="E1141" s="197"/>
      <c r="F1141" s="182">
        <f t="shared" si="1218"/>
        <v>0</v>
      </c>
      <c r="G1141" s="197">
        <v>10000</v>
      </c>
      <c r="H1141" s="197">
        <v>10000</v>
      </c>
      <c r="I1141" s="197">
        <v>876000</v>
      </c>
      <c r="J1141" s="295"/>
      <c r="K1141" s="295">
        <v>800000</v>
      </c>
      <c r="L1141" s="220">
        <f>I1141-J1141+K1141</f>
        <v>1676000</v>
      </c>
      <c r="M1141" s="197"/>
      <c r="N1141" s="197"/>
      <c r="O1141" s="197"/>
      <c r="P1141" s="197"/>
      <c r="Q1141" s="197"/>
      <c r="S1141" t="s">
        <v>442</v>
      </c>
    </row>
    <row r="1142" spans="1:19" customFormat="1" ht="14.4" hidden="1" x14ac:dyDescent="0.3">
      <c r="A1142" s="283">
        <v>312</v>
      </c>
      <c r="B1142" s="284" t="s">
        <v>7</v>
      </c>
      <c r="C1142" s="221">
        <f t="shared" ref="C1142:Q1142" si="1219">SUM(C1143)</f>
        <v>10000</v>
      </c>
      <c r="D1142" s="221">
        <f t="shared" si="1219"/>
        <v>10000</v>
      </c>
      <c r="E1142" s="221">
        <f t="shared" si="1219"/>
        <v>0</v>
      </c>
      <c r="F1142" s="221">
        <f t="shared" si="1219"/>
        <v>0</v>
      </c>
      <c r="G1142" s="221">
        <f t="shared" si="1219"/>
        <v>10000</v>
      </c>
      <c r="H1142" s="221">
        <f t="shared" si="1219"/>
        <v>10000</v>
      </c>
      <c r="I1142" s="221">
        <f t="shared" si="1219"/>
        <v>0</v>
      </c>
      <c r="J1142" s="221">
        <f t="shared" si="1219"/>
        <v>0</v>
      </c>
      <c r="K1142" s="221">
        <f t="shared" si="1219"/>
        <v>0</v>
      </c>
      <c r="L1142" s="221">
        <f t="shared" si="1219"/>
        <v>0</v>
      </c>
      <c r="M1142" s="221">
        <f t="shared" si="1219"/>
        <v>0</v>
      </c>
      <c r="N1142" s="221">
        <f t="shared" si="1219"/>
        <v>0</v>
      </c>
      <c r="O1142" s="221">
        <f t="shared" si="1219"/>
        <v>0</v>
      </c>
      <c r="P1142" s="221">
        <f t="shared" si="1219"/>
        <v>0</v>
      </c>
      <c r="Q1142" s="221">
        <f t="shared" si="1219"/>
        <v>0</v>
      </c>
      <c r="R1142" s="439"/>
    </row>
    <row r="1143" spans="1:19" customFormat="1" ht="14.4" hidden="1" x14ac:dyDescent="0.3">
      <c r="A1143" s="266">
        <v>3121</v>
      </c>
      <c r="B1143" s="267" t="s">
        <v>7</v>
      </c>
      <c r="C1143" s="197">
        <v>10000</v>
      </c>
      <c r="D1143" s="197">
        <v>10000</v>
      </c>
      <c r="E1143" s="197"/>
      <c r="F1143" s="182">
        <f t="shared" si="1218"/>
        <v>0</v>
      </c>
      <c r="G1143" s="197">
        <v>10000</v>
      </c>
      <c r="H1143" s="197">
        <v>10000</v>
      </c>
      <c r="I1143" s="197"/>
      <c r="J1143" s="295"/>
      <c r="K1143" s="295"/>
      <c r="L1143" s="295"/>
      <c r="M1143" s="197"/>
      <c r="N1143" s="197"/>
      <c r="O1143" s="197"/>
      <c r="P1143" s="197"/>
      <c r="Q1143" s="197"/>
    </row>
    <row r="1144" spans="1:19" customFormat="1" ht="14.4" hidden="1" x14ac:dyDescent="0.3">
      <c r="A1144" s="283">
        <v>313</v>
      </c>
      <c r="B1144" s="284" t="s">
        <v>8</v>
      </c>
      <c r="C1144" s="221">
        <f t="shared" ref="C1144:F1144" si="1220">SUM(C1145:C1146)</f>
        <v>80000</v>
      </c>
      <c r="D1144" s="221">
        <f t="shared" si="1220"/>
        <v>80000</v>
      </c>
      <c r="E1144" s="221">
        <f t="shared" si="1220"/>
        <v>0</v>
      </c>
      <c r="F1144" s="221">
        <f t="shared" si="1220"/>
        <v>0</v>
      </c>
      <c r="G1144" s="221">
        <f t="shared" ref="G1144:H1144" si="1221">SUM(G1145:G1146)</f>
        <v>80000</v>
      </c>
      <c r="H1144" s="221">
        <f t="shared" si="1221"/>
        <v>80000</v>
      </c>
      <c r="I1144" s="221">
        <f t="shared" ref="I1144:M1144" si="1222">SUM(I1145:I1146)</f>
        <v>0</v>
      </c>
      <c r="J1144" s="221">
        <f t="shared" si="1222"/>
        <v>0</v>
      </c>
      <c r="K1144" s="221">
        <f t="shared" si="1222"/>
        <v>640000</v>
      </c>
      <c r="L1144" s="221">
        <f t="shared" si="1222"/>
        <v>640000</v>
      </c>
      <c r="M1144" s="221">
        <f t="shared" si="1222"/>
        <v>0</v>
      </c>
      <c r="N1144" s="221">
        <f t="shared" ref="N1144:O1144" si="1223">SUM(N1145:N1146)</f>
        <v>0</v>
      </c>
      <c r="O1144" s="221">
        <f t="shared" si="1223"/>
        <v>0</v>
      </c>
      <c r="P1144" s="221">
        <f t="shared" ref="P1144:Q1144" si="1224">SUM(P1145:P1146)</f>
        <v>0</v>
      </c>
      <c r="Q1144" s="221">
        <f t="shared" si="1224"/>
        <v>0</v>
      </c>
    </row>
    <row r="1145" spans="1:19" customFormat="1" ht="14.4" hidden="1" x14ac:dyDescent="0.3">
      <c r="A1145" s="266">
        <v>3131</v>
      </c>
      <c r="B1145" s="267" t="s">
        <v>9</v>
      </c>
      <c r="C1145" s="197">
        <v>40000</v>
      </c>
      <c r="D1145" s="197">
        <v>40000</v>
      </c>
      <c r="E1145" s="197"/>
      <c r="F1145" s="182">
        <f t="shared" si="1218"/>
        <v>0</v>
      </c>
      <c r="G1145" s="197">
        <v>40000</v>
      </c>
      <c r="H1145" s="197">
        <v>40000</v>
      </c>
      <c r="I1145" s="197"/>
      <c r="J1145" s="295"/>
      <c r="K1145" s="295">
        <v>270000</v>
      </c>
      <c r="L1145" s="295">
        <f>I1145-J1145+K1145</f>
        <v>270000</v>
      </c>
      <c r="M1145" s="197"/>
      <c r="N1145" s="197"/>
      <c r="O1145" s="197"/>
      <c r="P1145" s="197"/>
      <c r="Q1145" s="197"/>
    </row>
    <row r="1146" spans="1:19" customFormat="1" ht="14.4" hidden="1" x14ac:dyDescent="0.3">
      <c r="A1146" s="266">
        <v>3132</v>
      </c>
      <c r="B1146" s="267" t="s">
        <v>10</v>
      </c>
      <c r="C1146" s="197">
        <v>40000</v>
      </c>
      <c r="D1146" s="197">
        <v>40000</v>
      </c>
      <c r="E1146" s="197"/>
      <c r="F1146" s="182">
        <f t="shared" si="1218"/>
        <v>0</v>
      </c>
      <c r="G1146" s="197">
        <v>40000</v>
      </c>
      <c r="H1146" s="197">
        <v>40000</v>
      </c>
      <c r="I1146" s="197"/>
      <c r="J1146" s="295"/>
      <c r="K1146" s="295">
        <v>370000</v>
      </c>
      <c r="L1146" s="295">
        <f>I1146-J1146+K1146</f>
        <v>370000</v>
      </c>
      <c r="M1146" s="197"/>
      <c r="N1146" s="197"/>
      <c r="O1146" s="197"/>
      <c r="P1146" s="197"/>
      <c r="Q1146" s="197"/>
    </row>
    <row r="1147" spans="1:19" customFormat="1" ht="14.4" x14ac:dyDescent="0.3">
      <c r="A1147" s="281">
        <v>32</v>
      </c>
      <c r="B1147" s="282" t="s">
        <v>318</v>
      </c>
      <c r="C1147" s="187">
        <f t="shared" ref="C1147:N1147" si="1225">SUM(C1148,C1153,C1159,C1166,C1168)</f>
        <v>4674000</v>
      </c>
      <c r="D1147" s="187">
        <f>SUM(D1148,D1153,D1159,D1166,D1168)</f>
        <v>3616000</v>
      </c>
      <c r="E1147" s="187">
        <f>SUM(E1148,E1153,E1159,E1166,E1168)</f>
        <v>470000</v>
      </c>
      <c r="F1147" s="187">
        <f t="shared" si="1225"/>
        <v>1528000</v>
      </c>
      <c r="G1147" s="187">
        <f t="shared" si="1225"/>
        <v>5249000</v>
      </c>
      <c r="H1147" s="187">
        <f t="shared" si="1225"/>
        <v>5818000</v>
      </c>
      <c r="I1147" s="187">
        <f t="shared" si="1225"/>
        <v>4164000</v>
      </c>
      <c r="J1147" s="187">
        <f t="shared" si="1225"/>
        <v>1100000</v>
      </c>
      <c r="K1147" s="187">
        <f t="shared" si="1225"/>
        <v>1370000</v>
      </c>
      <c r="L1147" s="187">
        <f t="shared" si="1225"/>
        <v>4434000</v>
      </c>
      <c r="M1147" s="187">
        <f t="shared" si="1225"/>
        <v>5470000</v>
      </c>
      <c r="N1147" s="187">
        <f t="shared" si="1225"/>
        <v>5966000</v>
      </c>
      <c r="O1147" s="187">
        <f t="shared" ref="O1147:P1147" si="1226">SUM(O1148,O1153,O1159,O1166,O1168)</f>
        <v>16625000</v>
      </c>
      <c r="P1147" s="187">
        <f t="shared" si="1226"/>
        <v>9090000</v>
      </c>
      <c r="Q1147" s="187">
        <f t="shared" ref="Q1147" si="1227">SUM(Q1148,Q1153,Q1159,Q1166,Q1168)</f>
        <v>9090000</v>
      </c>
    </row>
    <row r="1148" spans="1:19" customFormat="1" ht="14.4" x14ac:dyDescent="0.3">
      <c r="A1148" s="283">
        <v>321</v>
      </c>
      <c r="B1148" s="284" t="s">
        <v>12</v>
      </c>
      <c r="C1148" s="221">
        <f t="shared" ref="C1148:F1148" si="1228">SUM(C1149:C1151)</f>
        <v>365000</v>
      </c>
      <c r="D1148" s="221">
        <f t="shared" si="1228"/>
        <v>355000</v>
      </c>
      <c r="E1148" s="221">
        <f t="shared" si="1228"/>
        <v>0</v>
      </c>
      <c r="F1148" s="221">
        <f t="shared" si="1228"/>
        <v>10000</v>
      </c>
      <c r="G1148" s="221">
        <f t="shared" ref="G1148:H1148" si="1229">SUM(G1149:G1151)</f>
        <v>365000</v>
      </c>
      <c r="H1148" s="221">
        <f t="shared" si="1229"/>
        <v>365000</v>
      </c>
      <c r="I1148" s="221">
        <f t="shared" ref="I1148:K1148" si="1230">SUM(I1149:I1151)</f>
        <v>1259000</v>
      </c>
      <c r="J1148" s="221">
        <f t="shared" si="1230"/>
        <v>0</v>
      </c>
      <c r="K1148" s="221">
        <f t="shared" si="1230"/>
        <v>120000</v>
      </c>
      <c r="L1148" s="221">
        <f>SUM(L1149:L1152)</f>
        <v>1379000</v>
      </c>
      <c r="M1148" s="221">
        <f t="shared" ref="M1148:Q1148" si="1231">SUM(M1149:M1152)</f>
        <v>55000</v>
      </c>
      <c r="N1148" s="221">
        <f t="shared" si="1231"/>
        <v>61000</v>
      </c>
      <c r="O1148" s="221">
        <f t="shared" si="1231"/>
        <v>1070000</v>
      </c>
      <c r="P1148" s="221">
        <f t="shared" si="1231"/>
        <v>70000</v>
      </c>
      <c r="Q1148" s="221">
        <f t="shared" si="1231"/>
        <v>70000</v>
      </c>
    </row>
    <row r="1149" spans="1:19" customFormat="1" ht="14.4" x14ac:dyDescent="0.3">
      <c r="A1149" s="266">
        <v>3211</v>
      </c>
      <c r="B1149" s="267" t="s">
        <v>13</v>
      </c>
      <c r="C1149" s="197">
        <v>50000</v>
      </c>
      <c r="D1149" s="197">
        <v>40000</v>
      </c>
      <c r="E1149" s="197"/>
      <c r="F1149" s="182">
        <f t="shared" ref="F1149:F1169" si="1232">C1149-D1149+E1149</f>
        <v>10000</v>
      </c>
      <c r="G1149" s="197">
        <v>50000</v>
      </c>
      <c r="H1149" s="197">
        <v>50000</v>
      </c>
      <c r="I1149" s="197"/>
      <c r="J1149" s="295"/>
      <c r="K1149" s="295">
        <v>10000</v>
      </c>
      <c r="L1149" s="295">
        <f>I1149-J1149+K1149</f>
        <v>10000</v>
      </c>
      <c r="M1149" s="197">
        <v>45000</v>
      </c>
      <c r="N1149" s="197">
        <v>50000</v>
      </c>
      <c r="O1149" s="197">
        <v>20000</v>
      </c>
      <c r="P1149" s="197">
        <v>20000</v>
      </c>
      <c r="Q1149" s="197">
        <v>20000</v>
      </c>
    </row>
    <row r="1150" spans="1:19" customFormat="1" ht="24.6" customHeight="1" x14ac:dyDescent="0.3">
      <c r="A1150" s="266">
        <v>3212</v>
      </c>
      <c r="B1150" s="267" t="s">
        <v>14</v>
      </c>
      <c r="C1150" s="197">
        <v>15000</v>
      </c>
      <c r="D1150" s="197">
        <v>15000</v>
      </c>
      <c r="E1150" s="197"/>
      <c r="F1150" s="182">
        <f t="shared" si="1232"/>
        <v>0</v>
      </c>
      <c r="G1150" s="197">
        <v>15000</v>
      </c>
      <c r="H1150" s="197">
        <v>15000</v>
      </c>
      <c r="I1150" s="197">
        <f>9000+1250000</f>
        <v>1259000</v>
      </c>
      <c r="J1150" s="295"/>
      <c r="K1150" s="295">
        <v>110000</v>
      </c>
      <c r="L1150" s="220">
        <f>I1150-J1150+K1150</f>
        <v>1369000</v>
      </c>
      <c r="M1150" s="197">
        <v>10000</v>
      </c>
      <c r="N1150" s="197">
        <v>11000</v>
      </c>
      <c r="O1150" s="197">
        <v>10000</v>
      </c>
      <c r="P1150" s="197">
        <v>10000</v>
      </c>
      <c r="Q1150" s="197">
        <v>10000</v>
      </c>
    </row>
    <row r="1151" spans="1:19" s="6" customFormat="1" ht="14.4" x14ac:dyDescent="0.3">
      <c r="A1151" s="266">
        <v>3213</v>
      </c>
      <c r="B1151" s="267" t="s">
        <v>15</v>
      </c>
      <c r="C1151" s="197">
        <v>300000</v>
      </c>
      <c r="D1151" s="197">
        <v>300000</v>
      </c>
      <c r="E1151" s="197"/>
      <c r="F1151" s="182">
        <f t="shared" si="1232"/>
        <v>0</v>
      </c>
      <c r="G1151" s="197">
        <v>300000</v>
      </c>
      <c r="H1151" s="197">
        <v>300000</v>
      </c>
      <c r="I1151" s="197"/>
      <c r="J1151" s="295"/>
      <c r="K1151" s="295"/>
      <c r="L1151" s="295"/>
      <c r="M1151" s="197"/>
      <c r="N1151" s="197"/>
      <c r="O1151" s="197">
        <v>40000</v>
      </c>
      <c r="P1151" s="197">
        <v>40000</v>
      </c>
      <c r="Q1151" s="197">
        <v>40000</v>
      </c>
    </row>
    <row r="1152" spans="1:19" s="6" customFormat="1" ht="14.4" x14ac:dyDescent="0.3">
      <c r="A1152" s="294">
        <v>3214</v>
      </c>
      <c r="B1152" s="535" t="s">
        <v>121</v>
      </c>
      <c r="C1152" s="295"/>
      <c r="D1152" s="295"/>
      <c r="E1152" s="295"/>
      <c r="F1152" s="220"/>
      <c r="G1152" s="295"/>
      <c r="H1152" s="295"/>
      <c r="I1152" s="295"/>
      <c r="J1152" s="295"/>
      <c r="K1152" s="295"/>
      <c r="L1152" s="295"/>
      <c r="M1152" s="295"/>
      <c r="N1152" s="295"/>
      <c r="O1152" s="661">
        <v>1000000</v>
      </c>
      <c r="P1152" s="295"/>
      <c r="Q1152" s="295"/>
    </row>
    <row r="1153" spans="1:17" customFormat="1" ht="15.6" customHeight="1" x14ac:dyDescent="0.3">
      <c r="A1153" s="283">
        <v>322</v>
      </c>
      <c r="B1153" s="284" t="s">
        <v>16</v>
      </c>
      <c r="C1153" s="221">
        <f t="shared" ref="C1153:F1153" si="1233">SUM(C1154:C1158)</f>
        <v>222000</v>
      </c>
      <c r="D1153" s="221">
        <f t="shared" si="1233"/>
        <v>180000</v>
      </c>
      <c r="E1153" s="221">
        <f t="shared" si="1233"/>
        <v>470000</v>
      </c>
      <c r="F1153" s="221">
        <f t="shared" si="1233"/>
        <v>512000</v>
      </c>
      <c r="G1153" s="221">
        <f t="shared" ref="G1153:H1153" si="1234">SUM(G1154:G1158)</f>
        <v>272000</v>
      </c>
      <c r="H1153" s="221">
        <f t="shared" si="1234"/>
        <v>322000</v>
      </c>
      <c r="I1153" s="221">
        <f t="shared" ref="I1153:N1153" si="1235">SUM(I1154:I1158)</f>
        <v>265000</v>
      </c>
      <c r="J1153" s="221">
        <f t="shared" si="1235"/>
        <v>0</v>
      </c>
      <c r="K1153" s="221">
        <f t="shared" si="1235"/>
        <v>250000</v>
      </c>
      <c r="L1153" s="221">
        <f t="shared" si="1235"/>
        <v>515000</v>
      </c>
      <c r="M1153" s="221">
        <f t="shared" si="1235"/>
        <v>275000</v>
      </c>
      <c r="N1153" s="221">
        <f t="shared" si="1235"/>
        <v>265000</v>
      </c>
      <c r="O1153" s="662">
        <f t="shared" ref="O1153:P1153" si="1236">SUM(O1154:O1158)</f>
        <v>45000</v>
      </c>
      <c r="P1153" s="221">
        <f t="shared" si="1236"/>
        <v>20000</v>
      </c>
      <c r="Q1153" s="221">
        <f t="shared" ref="Q1153" si="1237">SUM(Q1154:Q1158)</f>
        <v>20000</v>
      </c>
    </row>
    <row r="1154" spans="1:17" customFormat="1" ht="14.4" x14ac:dyDescent="0.3">
      <c r="A1154" s="266">
        <v>3221</v>
      </c>
      <c r="B1154" s="267" t="s">
        <v>17</v>
      </c>
      <c r="C1154" s="197">
        <v>10000</v>
      </c>
      <c r="D1154" s="197">
        <v>10000</v>
      </c>
      <c r="E1154" s="197"/>
      <c r="F1154" s="182">
        <f t="shared" si="1232"/>
        <v>0</v>
      </c>
      <c r="G1154" s="197">
        <v>10000</v>
      </c>
      <c r="H1154" s="197">
        <v>10000</v>
      </c>
      <c r="I1154" s="197"/>
      <c r="J1154" s="295"/>
      <c r="K1154" s="295"/>
      <c r="L1154" s="295"/>
      <c r="M1154" s="197"/>
      <c r="N1154" s="197"/>
      <c r="O1154" s="663">
        <v>45000</v>
      </c>
      <c r="P1154" s="197">
        <v>20000</v>
      </c>
      <c r="Q1154" s="197">
        <v>20000</v>
      </c>
    </row>
    <row r="1155" spans="1:17" customFormat="1" ht="14.4" hidden="1" x14ac:dyDescent="0.3">
      <c r="A1155" s="266">
        <v>3222</v>
      </c>
      <c r="B1155" s="267" t="s">
        <v>18</v>
      </c>
      <c r="C1155" s="197">
        <v>149000</v>
      </c>
      <c r="D1155" s="197">
        <v>140000</v>
      </c>
      <c r="E1155" s="197"/>
      <c r="F1155" s="182">
        <f t="shared" si="1232"/>
        <v>9000</v>
      </c>
      <c r="G1155" s="197">
        <v>199000</v>
      </c>
      <c r="H1155" s="197">
        <v>249000</v>
      </c>
      <c r="I1155" s="197">
        <v>200000</v>
      </c>
      <c r="J1155" s="295"/>
      <c r="K1155" s="297">
        <v>100000</v>
      </c>
      <c r="L1155" s="220">
        <f>I1155-J1155+K1155</f>
        <v>300000</v>
      </c>
      <c r="M1155" s="197">
        <v>200000</v>
      </c>
      <c r="N1155" s="197">
        <v>200000</v>
      </c>
      <c r="O1155" s="663"/>
      <c r="P1155" s="197"/>
      <c r="Q1155" s="197"/>
    </row>
    <row r="1156" spans="1:17" customFormat="1" ht="14.4" hidden="1" x14ac:dyDescent="0.3">
      <c r="A1156" s="266">
        <v>3223</v>
      </c>
      <c r="B1156" s="267" t="s">
        <v>19</v>
      </c>
      <c r="C1156" s="197">
        <v>30000</v>
      </c>
      <c r="D1156" s="197"/>
      <c r="E1156" s="197">
        <v>470000</v>
      </c>
      <c r="F1156" s="182">
        <f t="shared" si="1232"/>
        <v>500000</v>
      </c>
      <c r="G1156" s="197">
        <v>30000</v>
      </c>
      <c r="H1156" s="197">
        <v>30000</v>
      </c>
      <c r="I1156" s="197">
        <v>30000</v>
      </c>
      <c r="J1156" s="295"/>
      <c r="K1156" s="295">
        <v>30000</v>
      </c>
      <c r="L1156" s="220">
        <f>I1156-J1156+K1156</f>
        <v>60000</v>
      </c>
      <c r="M1156" s="197">
        <v>30000</v>
      </c>
      <c r="N1156" s="197">
        <v>30000</v>
      </c>
      <c r="O1156" s="663"/>
      <c r="P1156" s="197"/>
      <c r="Q1156" s="197"/>
    </row>
    <row r="1157" spans="1:17" customFormat="1" ht="26.25" hidden="1" customHeight="1" x14ac:dyDescent="0.3">
      <c r="A1157" s="266">
        <v>3224</v>
      </c>
      <c r="B1157" s="267" t="s">
        <v>112</v>
      </c>
      <c r="C1157" s="197">
        <v>3000</v>
      </c>
      <c r="D1157" s="197">
        <v>2000</v>
      </c>
      <c r="E1157" s="197"/>
      <c r="F1157" s="182">
        <f t="shared" si="1232"/>
        <v>1000</v>
      </c>
      <c r="G1157" s="197">
        <v>3000</v>
      </c>
      <c r="H1157" s="197">
        <v>3000</v>
      </c>
      <c r="I1157" s="197">
        <v>5000</v>
      </c>
      <c r="J1157" s="295"/>
      <c r="K1157" s="295"/>
      <c r="L1157" s="220">
        <f>I1157-J1157+K1157</f>
        <v>5000</v>
      </c>
      <c r="M1157" s="197">
        <v>10000</v>
      </c>
      <c r="N1157" s="197">
        <v>5000</v>
      </c>
      <c r="O1157" s="663"/>
      <c r="P1157" s="197"/>
      <c r="Q1157" s="197"/>
    </row>
    <row r="1158" spans="1:17" s="6" customFormat="1" ht="14.4" hidden="1" x14ac:dyDescent="0.3">
      <c r="A1158" s="266">
        <v>3225</v>
      </c>
      <c r="B1158" s="267" t="s">
        <v>21</v>
      </c>
      <c r="C1158" s="197">
        <v>30000</v>
      </c>
      <c r="D1158" s="197">
        <v>28000</v>
      </c>
      <c r="E1158" s="197"/>
      <c r="F1158" s="182">
        <f t="shared" si="1232"/>
        <v>2000</v>
      </c>
      <c r="G1158" s="197">
        <v>30000</v>
      </c>
      <c r="H1158" s="197">
        <v>30000</v>
      </c>
      <c r="I1158" s="197">
        <v>30000</v>
      </c>
      <c r="J1158" s="295"/>
      <c r="K1158" s="295">
        <v>120000</v>
      </c>
      <c r="L1158" s="220">
        <f>I1158-J1158+K1158</f>
        <v>150000</v>
      </c>
      <c r="M1158" s="197">
        <v>35000</v>
      </c>
      <c r="N1158" s="197">
        <v>30000</v>
      </c>
      <c r="O1158" s="663"/>
      <c r="P1158" s="197"/>
      <c r="Q1158" s="197"/>
    </row>
    <row r="1159" spans="1:17" customFormat="1" ht="14.4" x14ac:dyDescent="0.3">
      <c r="A1159" s="283">
        <v>323</v>
      </c>
      <c r="B1159" s="284" t="s">
        <v>23</v>
      </c>
      <c r="C1159" s="221">
        <f t="shared" ref="C1159:F1159" si="1238">SUM(C1160:C1165)</f>
        <v>4032000</v>
      </c>
      <c r="D1159" s="221">
        <f t="shared" si="1238"/>
        <v>3027000</v>
      </c>
      <c r="E1159" s="221">
        <f t="shared" si="1238"/>
        <v>0</v>
      </c>
      <c r="F1159" s="221">
        <f t="shared" si="1238"/>
        <v>1005000</v>
      </c>
      <c r="G1159" s="221">
        <f t="shared" ref="G1159:H1159" si="1239">SUM(G1160:G1165)</f>
        <v>4557000</v>
      </c>
      <c r="H1159" s="221">
        <f t="shared" si="1239"/>
        <v>5076000</v>
      </c>
      <c r="I1159" s="221">
        <f t="shared" ref="I1159:N1159" si="1240">SUM(I1160:I1165)</f>
        <v>2610000</v>
      </c>
      <c r="J1159" s="221">
        <f t="shared" si="1240"/>
        <v>1100000</v>
      </c>
      <c r="K1159" s="221">
        <f t="shared" si="1240"/>
        <v>1000000</v>
      </c>
      <c r="L1159" s="221">
        <f t="shared" si="1240"/>
        <v>2510000</v>
      </c>
      <c r="M1159" s="221">
        <f t="shared" si="1240"/>
        <v>5110000</v>
      </c>
      <c r="N1159" s="221">
        <f t="shared" si="1240"/>
        <v>5610000</v>
      </c>
      <c r="O1159" s="662">
        <f t="shared" ref="O1159:P1159" si="1241">SUM(O1160:O1165)</f>
        <v>15510000</v>
      </c>
      <c r="P1159" s="221">
        <f t="shared" si="1241"/>
        <v>9000000</v>
      </c>
      <c r="Q1159" s="221">
        <f t="shared" ref="Q1159" si="1242">SUM(Q1160:Q1165)</f>
        <v>9000000</v>
      </c>
    </row>
    <row r="1160" spans="1:17" customFormat="1" ht="14.4" x14ac:dyDescent="0.3">
      <c r="A1160" s="266">
        <v>3232</v>
      </c>
      <c r="B1160" s="267" t="s">
        <v>25</v>
      </c>
      <c r="C1160" s="197">
        <v>1493000</v>
      </c>
      <c r="D1160" s="197">
        <v>1000000</v>
      </c>
      <c r="E1160" s="197"/>
      <c r="F1160" s="182">
        <f t="shared" si="1232"/>
        <v>493000</v>
      </c>
      <c r="G1160" s="197">
        <v>1742000</v>
      </c>
      <c r="H1160" s="197">
        <v>1990000</v>
      </c>
      <c r="I1160" s="195">
        <f>1760000-1000000</f>
        <v>760000</v>
      </c>
      <c r="J1160" s="297"/>
      <c r="K1160" s="297">
        <v>1000000</v>
      </c>
      <c r="L1160" s="220">
        <f t="shared" ref="L1160:L1165" si="1243">I1160-J1160+K1160</f>
        <v>1760000</v>
      </c>
      <c r="M1160" s="197">
        <v>2000000</v>
      </c>
      <c r="N1160" s="197">
        <v>2500000</v>
      </c>
      <c r="O1160" s="663">
        <v>2500000</v>
      </c>
      <c r="P1160" s="197">
        <v>2000000</v>
      </c>
      <c r="Q1160" s="197">
        <v>2000000</v>
      </c>
    </row>
    <row r="1161" spans="1:17" customFormat="1" ht="14.4" hidden="1" x14ac:dyDescent="0.3">
      <c r="A1161" s="266">
        <v>3233</v>
      </c>
      <c r="B1161" s="267" t="s">
        <v>26</v>
      </c>
      <c r="C1161" s="197">
        <v>50000</v>
      </c>
      <c r="D1161" s="197">
        <v>48000</v>
      </c>
      <c r="E1161" s="197"/>
      <c r="F1161" s="182">
        <f t="shared" si="1232"/>
        <v>2000</v>
      </c>
      <c r="G1161" s="197">
        <v>50000</v>
      </c>
      <c r="H1161" s="197">
        <v>50000</v>
      </c>
      <c r="I1161" s="197">
        <v>50000</v>
      </c>
      <c r="J1161" s="295"/>
      <c r="K1161" s="295"/>
      <c r="L1161" s="220">
        <f t="shared" si="1243"/>
        <v>50000</v>
      </c>
      <c r="M1161" s="197">
        <v>60000</v>
      </c>
      <c r="N1161" s="197">
        <v>60000</v>
      </c>
      <c r="O1161" s="663"/>
      <c r="P1161" s="197"/>
      <c r="Q1161" s="197"/>
    </row>
    <row r="1162" spans="1:17" customFormat="1" ht="14.4" hidden="1" x14ac:dyDescent="0.3">
      <c r="A1162" s="266">
        <v>3235</v>
      </c>
      <c r="B1162" s="267" t="s">
        <v>28</v>
      </c>
      <c r="C1162" s="197">
        <v>597000</v>
      </c>
      <c r="D1162" s="197">
        <v>590000</v>
      </c>
      <c r="E1162" s="197"/>
      <c r="F1162" s="182">
        <f t="shared" si="1232"/>
        <v>7000</v>
      </c>
      <c r="G1162" s="197">
        <v>624000</v>
      </c>
      <c r="H1162" s="197">
        <v>647000</v>
      </c>
      <c r="I1162" s="197">
        <v>500000</v>
      </c>
      <c r="J1162" s="295">
        <v>100000</v>
      </c>
      <c r="K1162" s="295"/>
      <c r="L1162" s="220">
        <f t="shared" si="1243"/>
        <v>400000</v>
      </c>
      <c r="M1162" s="197">
        <v>500000</v>
      </c>
      <c r="N1162" s="197">
        <v>500000</v>
      </c>
      <c r="O1162" s="663"/>
      <c r="P1162" s="197"/>
      <c r="Q1162" s="197"/>
    </row>
    <row r="1163" spans="1:17" customFormat="1" ht="14.4" hidden="1" x14ac:dyDescent="0.3">
      <c r="A1163" s="266">
        <v>3237</v>
      </c>
      <c r="B1163" s="267" t="s">
        <v>30</v>
      </c>
      <c r="C1163" s="197">
        <v>100000</v>
      </c>
      <c r="D1163" s="197">
        <v>90000</v>
      </c>
      <c r="E1163" s="197"/>
      <c r="F1163" s="182">
        <f t="shared" si="1232"/>
        <v>10000</v>
      </c>
      <c r="G1163" s="197">
        <v>100000</v>
      </c>
      <c r="H1163" s="197">
        <v>100000</v>
      </c>
      <c r="I1163" s="197">
        <v>100000</v>
      </c>
      <c r="J1163" s="295">
        <v>50000</v>
      </c>
      <c r="K1163" s="295"/>
      <c r="L1163" s="220">
        <f t="shared" si="1243"/>
        <v>50000</v>
      </c>
      <c r="M1163" s="197">
        <v>150000</v>
      </c>
      <c r="N1163" s="197">
        <v>150000</v>
      </c>
      <c r="O1163" s="663"/>
      <c r="P1163" s="197"/>
      <c r="Q1163" s="197"/>
    </row>
    <row r="1164" spans="1:17" customFormat="1" ht="14.4" x14ac:dyDescent="0.3">
      <c r="A1164" s="266">
        <v>3238</v>
      </c>
      <c r="B1164" s="267" t="s">
        <v>70</v>
      </c>
      <c r="C1164" s="197">
        <v>1493000</v>
      </c>
      <c r="D1164" s="197">
        <v>1000000</v>
      </c>
      <c r="E1164" s="197"/>
      <c r="F1164" s="182">
        <f t="shared" si="1232"/>
        <v>493000</v>
      </c>
      <c r="G1164" s="197">
        <v>1742000</v>
      </c>
      <c r="H1164" s="197">
        <v>1990000</v>
      </c>
      <c r="I1164" s="195">
        <f>1900000-1000000</f>
        <v>900000</v>
      </c>
      <c r="J1164" s="297">
        <v>800000</v>
      </c>
      <c r="K1164" s="297"/>
      <c r="L1164" s="220">
        <f t="shared" si="1243"/>
        <v>100000</v>
      </c>
      <c r="M1164" s="197">
        <v>2000000</v>
      </c>
      <c r="N1164" s="197">
        <v>2000000</v>
      </c>
      <c r="O1164" s="663">
        <v>13000000</v>
      </c>
      <c r="P1164" s="197">
        <v>7000000</v>
      </c>
      <c r="Q1164" s="197">
        <v>7000000</v>
      </c>
    </row>
    <row r="1165" spans="1:17" s="6" customFormat="1" ht="14.4" x14ac:dyDescent="0.3">
      <c r="A1165" s="266">
        <v>3239</v>
      </c>
      <c r="B1165" s="267" t="s">
        <v>31</v>
      </c>
      <c r="C1165" s="197">
        <v>299000</v>
      </c>
      <c r="D1165" s="197">
        <v>299000</v>
      </c>
      <c r="E1165" s="197"/>
      <c r="F1165" s="182">
        <f t="shared" si="1232"/>
        <v>0</v>
      </c>
      <c r="G1165" s="197">
        <v>299000</v>
      </c>
      <c r="H1165" s="197">
        <v>299000</v>
      </c>
      <c r="I1165" s="197">
        <v>300000</v>
      </c>
      <c r="J1165" s="295">
        <v>150000</v>
      </c>
      <c r="K1165" s="295"/>
      <c r="L1165" s="220">
        <f t="shared" si="1243"/>
        <v>150000</v>
      </c>
      <c r="M1165" s="197">
        <v>400000</v>
      </c>
      <c r="N1165" s="197">
        <v>400000</v>
      </c>
      <c r="O1165" s="663">
        <v>10000</v>
      </c>
      <c r="P1165" s="197"/>
      <c r="Q1165" s="197"/>
    </row>
    <row r="1166" spans="1:17" customFormat="1" ht="26.4" hidden="1" x14ac:dyDescent="0.3">
      <c r="A1166" s="283">
        <v>324</v>
      </c>
      <c r="B1166" s="284" t="s">
        <v>32</v>
      </c>
      <c r="C1166" s="221">
        <f t="shared" ref="C1166:Q1166" si="1244">SUM(C1167)</f>
        <v>25000</v>
      </c>
      <c r="D1166" s="221">
        <f t="shared" si="1244"/>
        <v>25000</v>
      </c>
      <c r="E1166" s="221">
        <f t="shared" si="1244"/>
        <v>0</v>
      </c>
      <c r="F1166" s="221">
        <f t="shared" si="1244"/>
        <v>0</v>
      </c>
      <c r="G1166" s="221">
        <f t="shared" si="1244"/>
        <v>25000</v>
      </c>
      <c r="H1166" s="221">
        <f t="shared" si="1244"/>
        <v>25000</v>
      </c>
      <c r="I1166" s="221">
        <f t="shared" si="1244"/>
        <v>0</v>
      </c>
      <c r="J1166" s="221">
        <f t="shared" si="1244"/>
        <v>0</v>
      </c>
      <c r="K1166" s="221">
        <f t="shared" si="1244"/>
        <v>0</v>
      </c>
      <c r="L1166" s="221">
        <f t="shared" si="1244"/>
        <v>0</v>
      </c>
      <c r="M1166" s="221">
        <f t="shared" si="1244"/>
        <v>0</v>
      </c>
      <c r="N1166" s="221">
        <f t="shared" si="1244"/>
        <v>0</v>
      </c>
      <c r="O1166" s="221">
        <f t="shared" si="1244"/>
        <v>0</v>
      </c>
      <c r="P1166" s="221">
        <f t="shared" si="1244"/>
        <v>0</v>
      </c>
      <c r="Q1166" s="221">
        <f t="shared" si="1244"/>
        <v>0</v>
      </c>
    </row>
    <row r="1167" spans="1:17" customFormat="1" ht="26.4" hidden="1" x14ac:dyDescent="0.3">
      <c r="A1167" s="266">
        <v>3241</v>
      </c>
      <c r="B1167" s="267" t="s">
        <v>32</v>
      </c>
      <c r="C1167" s="197">
        <v>25000</v>
      </c>
      <c r="D1167" s="197">
        <v>25000</v>
      </c>
      <c r="E1167" s="197"/>
      <c r="F1167" s="182">
        <f t="shared" si="1232"/>
        <v>0</v>
      </c>
      <c r="G1167" s="197">
        <v>25000</v>
      </c>
      <c r="H1167" s="197">
        <v>25000</v>
      </c>
      <c r="I1167" s="197"/>
      <c r="J1167" s="295"/>
      <c r="K1167" s="295"/>
      <c r="L1167" s="295"/>
      <c r="M1167" s="197"/>
      <c r="N1167" s="197"/>
      <c r="O1167" s="197"/>
      <c r="P1167" s="197"/>
      <c r="Q1167" s="197"/>
    </row>
    <row r="1168" spans="1:17" customFormat="1" ht="14.4" hidden="1" x14ac:dyDescent="0.3">
      <c r="A1168" s="283">
        <v>329</v>
      </c>
      <c r="B1168" s="284" t="s">
        <v>33</v>
      </c>
      <c r="C1168" s="221">
        <f>SUM(C1169:C1169)</f>
        <v>30000</v>
      </c>
      <c r="D1168" s="221">
        <f>SUM(D1169:D1169)</f>
        <v>29000</v>
      </c>
      <c r="E1168" s="221">
        <f>SUM(E1169:E1169)</f>
        <v>0</v>
      </c>
      <c r="F1168" s="221">
        <f>SUM(F1169:F1169)</f>
        <v>1000</v>
      </c>
      <c r="G1168" s="221">
        <f t="shared" ref="G1168:H1168" si="1245">SUM(G1169)</f>
        <v>30000</v>
      </c>
      <c r="H1168" s="221">
        <f t="shared" si="1245"/>
        <v>30000</v>
      </c>
      <c r="I1168" s="221">
        <f t="shared" ref="I1168:Q1168" si="1246">SUM(I1169)</f>
        <v>30000</v>
      </c>
      <c r="J1168" s="221">
        <f t="shared" si="1246"/>
        <v>0</v>
      </c>
      <c r="K1168" s="221">
        <f t="shared" si="1246"/>
        <v>0</v>
      </c>
      <c r="L1168" s="221">
        <f t="shared" si="1246"/>
        <v>30000</v>
      </c>
      <c r="M1168" s="221">
        <f t="shared" si="1246"/>
        <v>30000</v>
      </c>
      <c r="N1168" s="221">
        <f t="shared" si="1246"/>
        <v>30000</v>
      </c>
      <c r="O1168" s="221">
        <f t="shared" si="1246"/>
        <v>0</v>
      </c>
      <c r="P1168" s="221">
        <f t="shared" si="1246"/>
        <v>0</v>
      </c>
      <c r="Q1168" s="221">
        <f t="shared" si="1246"/>
        <v>0</v>
      </c>
    </row>
    <row r="1169" spans="1:17" customFormat="1" ht="14.4" hidden="1" x14ac:dyDescent="0.3">
      <c r="A1169" s="266">
        <v>3299</v>
      </c>
      <c r="B1169" s="267" t="s">
        <v>33</v>
      </c>
      <c r="C1169" s="197">
        <v>30000</v>
      </c>
      <c r="D1169" s="197">
        <v>29000</v>
      </c>
      <c r="E1169" s="197"/>
      <c r="F1169" s="182">
        <f t="shared" si="1232"/>
        <v>1000</v>
      </c>
      <c r="G1169" s="197">
        <v>30000</v>
      </c>
      <c r="H1169" s="197">
        <v>30000</v>
      </c>
      <c r="I1169" s="197">
        <v>30000</v>
      </c>
      <c r="J1169" s="295"/>
      <c r="K1169" s="295"/>
      <c r="L1169" s="220">
        <f>I1169-J1169+K1169</f>
        <v>30000</v>
      </c>
      <c r="M1169" s="197">
        <v>30000</v>
      </c>
      <c r="N1169" s="197">
        <v>30000</v>
      </c>
      <c r="O1169" s="197"/>
      <c r="P1169" s="197"/>
      <c r="Q1169" s="197"/>
    </row>
    <row r="1170" spans="1:17" customFormat="1" ht="26.4" hidden="1" x14ac:dyDescent="0.3">
      <c r="A1170" s="286">
        <v>41</v>
      </c>
      <c r="B1170" s="186" t="s">
        <v>328</v>
      </c>
      <c r="C1170" s="287">
        <f>SUM(C1171)</f>
        <v>0</v>
      </c>
      <c r="D1170" s="287">
        <f t="shared" ref="D1170:Q1170" si="1247">SUM(D1171)</f>
        <v>0</v>
      </c>
      <c r="E1170" s="287">
        <f t="shared" si="1247"/>
        <v>75000</v>
      </c>
      <c r="F1170" s="287">
        <f t="shared" si="1247"/>
        <v>75000</v>
      </c>
      <c r="G1170" s="287">
        <f t="shared" si="1247"/>
        <v>0</v>
      </c>
      <c r="H1170" s="287">
        <f t="shared" si="1247"/>
        <v>0</v>
      </c>
      <c r="I1170" s="388">
        <f t="shared" si="1247"/>
        <v>0</v>
      </c>
      <c r="J1170" s="388">
        <f t="shared" si="1247"/>
        <v>0</v>
      </c>
      <c r="K1170" s="388">
        <f t="shared" si="1247"/>
        <v>100000</v>
      </c>
      <c r="L1170" s="388">
        <f t="shared" si="1247"/>
        <v>100000</v>
      </c>
      <c r="M1170" s="388">
        <f t="shared" si="1247"/>
        <v>0</v>
      </c>
      <c r="N1170" s="388">
        <f t="shared" si="1247"/>
        <v>0</v>
      </c>
      <c r="O1170" s="388">
        <f t="shared" si="1247"/>
        <v>0</v>
      </c>
      <c r="P1170" s="388">
        <f t="shared" si="1247"/>
        <v>0</v>
      </c>
      <c r="Q1170" s="388">
        <f t="shared" si="1247"/>
        <v>0</v>
      </c>
    </row>
    <row r="1171" spans="1:17" customFormat="1" ht="14.4" hidden="1" x14ac:dyDescent="0.3">
      <c r="A1171" s="288">
        <v>412</v>
      </c>
      <c r="B1171" s="289" t="s">
        <v>68</v>
      </c>
      <c r="C1171" s="290">
        <f>SUM(C1172)</f>
        <v>0</v>
      </c>
      <c r="D1171" s="290">
        <f t="shared" ref="D1171:Q1171" si="1248">SUM(D1172)</f>
        <v>0</v>
      </c>
      <c r="E1171" s="290">
        <f t="shared" si="1248"/>
        <v>75000</v>
      </c>
      <c r="F1171" s="290">
        <f t="shared" si="1248"/>
        <v>75000</v>
      </c>
      <c r="G1171" s="290">
        <f t="shared" si="1248"/>
        <v>0</v>
      </c>
      <c r="H1171" s="290">
        <f t="shared" si="1248"/>
        <v>0</v>
      </c>
      <c r="I1171" s="290">
        <f t="shared" si="1248"/>
        <v>0</v>
      </c>
      <c r="J1171" s="290">
        <f t="shared" si="1248"/>
        <v>0</v>
      </c>
      <c r="K1171" s="290">
        <f t="shared" si="1248"/>
        <v>100000</v>
      </c>
      <c r="L1171" s="290">
        <f t="shared" si="1248"/>
        <v>100000</v>
      </c>
      <c r="M1171" s="290">
        <f t="shared" si="1248"/>
        <v>0</v>
      </c>
      <c r="N1171" s="290">
        <f t="shared" si="1248"/>
        <v>0</v>
      </c>
      <c r="O1171" s="290">
        <f t="shared" si="1248"/>
        <v>0</v>
      </c>
      <c r="P1171" s="290">
        <f t="shared" si="1248"/>
        <v>0</v>
      </c>
      <c r="Q1171" s="290">
        <f t="shared" si="1248"/>
        <v>0</v>
      </c>
    </row>
    <row r="1172" spans="1:17" customFormat="1" ht="14.4" hidden="1" x14ac:dyDescent="0.3">
      <c r="A1172" s="291">
        <v>4123</v>
      </c>
      <c r="B1172" s="292" t="s">
        <v>68</v>
      </c>
      <c r="C1172" s="293"/>
      <c r="D1172" s="293"/>
      <c r="E1172" s="293">
        <v>75000</v>
      </c>
      <c r="F1172" s="220">
        <f t="shared" ref="F1172" si="1249">C1172-D1172+E1172</f>
        <v>75000</v>
      </c>
      <c r="G1172" s="293"/>
      <c r="H1172" s="293"/>
      <c r="I1172" s="293"/>
      <c r="J1172" s="293"/>
      <c r="K1172" s="293">
        <v>100000</v>
      </c>
      <c r="L1172" s="293">
        <f>I1172-J1172+K1172</f>
        <v>100000</v>
      </c>
      <c r="M1172" s="293"/>
      <c r="N1172" s="293"/>
      <c r="O1172" s="293"/>
      <c r="P1172" s="293"/>
      <c r="Q1172" s="293"/>
    </row>
    <row r="1173" spans="1:17" customFormat="1" ht="24" customHeight="1" x14ac:dyDescent="0.3">
      <c r="A1173" s="281">
        <v>42</v>
      </c>
      <c r="B1173" s="186" t="s">
        <v>324</v>
      </c>
      <c r="C1173" s="187">
        <f t="shared" ref="C1173:K1173" si="1250">SUM(C1176,C1181,C1184)</f>
        <v>12890000</v>
      </c>
      <c r="D1173" s="187">
        <f t="shared" si="1250"/>
        <v>12492000</v>
      </c>
      <c r="E1173" s="187">
        <f t="shared" si="1250"/>
        <v>602000</v>
      </c>
      <c r="F1173" s="187">
        <f t="shared" si="1250"/>
        <v>1000000</v>
      </c>
      <c r="G1173" s="187">
        <f t="shared" si="1250"/>
        <v>14382000</v>
      </c>
      <c r="H1173" s="187">
        <f t="shared" si="1250"/>
        <v>15426000</v>
      </c>
      <c r="I1173" s="187">
        <f t="shared" si="1250"/>
        <v>10000000</v>
      </c>
      <c r="J1173" s="187">
        <f t="shared" si="1250"/>
        <v>6350000</v>
      </c>
      <c r="K1173" s="187">
        <f t="shared" si="1250"/>
        <v>1500000</v>
      </c>
      <c r="L1173" s="187">
        <f>SUM(L1174,L1176,L1181,L1184)</f>
        <v>5150000</v>
      </c>
      <c r="M1173" s="187">
        <f t="shared" ref="M1173:Q1173" si="1251">SUM(M1174,M1176,M1181,M1184)</f>
        <v>30700000</v>
      </c>
      <c r="N1173" s="187">
        <f t="shared" si="1251"/>
        <v>26050000</v>
      </c>
      <c r="O1173" s="187">
        <f t="shared" si="1251"/>
        <v>52575000</v>
      </c>
      <c r="P1173" s="187">
        <f t="shared" si="1251"/>
        <v>22900000</v>
      </c>
      <c r="Q1173" s="187">
        <f t="shared" si="1251"/>
        <v>5044000</v>
      </c>
    </row>
    <row r="1174" spans="1:17" customFormat="1" ht="14.4" x14ac:dyDescent="0.3">
      <c r="A1174" s="283">
        <v>421</v>
      </c>
      <c r="B1174" s="284" t="s">
        <v>51</v>
      </c>
      <c r="C1174" s="221">
        <f t="shared" ref="C1174:Q1174" si="1252">SUM(C1175)</f>
        <v>265000</v>
      </c>
      <c r="D1174" s="221">
        <f t="shared" si="1252"/>
        <v>265000</v>
      </c>
      <c r="E1174" s="221">
        <f t="shared" si="1252"/>
        <v>0</v>
      </c>
      <c r="F1174" s="221">
        <f t="shared" si="1252"/>
        <v>0</v>
      </c>
      <c r="G1174" s="221">
        <f t="shared" si="1252"/>
        <v>332000</v>
      </c>
      <c r="H1174" s="221">
        <f t="shared" si="1252"/>
        <v>398000</v>
      </c>
      <c r="I1174" s="221">
        <f t="shared" si="1252"/>
        <v>0</v>
      </c>
      <c r="J1174" s="221">
        <f t="shared" si="1252"/>
        <v>0</v>
      </c>
      <c r="K1174" s="221">
        <f t="shared" si="1252"/>
        <v>0</v>
      </c>
      <c r="L1174" s="221">
        <f t="shared" si="1252"/>
        <v>0</v>
      </c>
      <c r="M1174" s="221">
        <f t="shared" si="1252"/>
        <v>0</v>
      </c>
      <c r="N1174" s="221">
        <f t="shared" si="1252"/>
        <v>0</v>
      </c>
      <c r="O1174" s="221">
        <f t="shared" si="1252"/>
        <v>2400000</v>
      </c>
      <c r="P1174" s="221">
        <f t="shared" si="1252"/>
        <v>0</v>
      </c>
      <c r="Q1174" s="221">
        <f t="shared" si="1252"/>
        <v>0</v>
      </c>
    </row>
    <row r="1175" spans="1:17" s="6" customFormat="1" ht="14.4" x14ac:dyDescent="0.3">
      <c r="A1175" s="266">
        <v>4214</v>
      </c>
      <c r="B1175" s="267" t="s">
        <v>437</v>
      </c>
      <c r="C1175" s="197">
        <v>265000</v>
      </c>
      <c r="D1175" s="197">
        <v>265000</v>
      </c>
      <c r="E1175" s="197"/>
      <c r="F1175" s="182">
        <f t="shared" ref="F1175" si="1253">C1175-D1175+E1175</f>
        <v>0</v>
      </c>
      <c r="G1175" s="197">
        <v>332000</v>
      </c>
      <c r="H1175" s="197">
        <v>398000</v>
      </c>
      <c r="I1175" s="195"/>
      <c r="J1175" s="297"/>
      <c r="K1175" s="297"/>
      <c r="L1175" s="220">
        <f>I1175-J1175+K1175</f>
        <v>0</v>
      </c>
      <c r="M1175" s="197"/>
      <c r="N1175" s="197"/>
      <c r="O1175" s="197">
        <v>2400000</v>
      </c>
      <c r="P1175" s="197"/>
      <c r="Q1175" s="197"/>
    </row>
    <row r="1176" spans="1:17" customFormat="1" ht="14.4" x14ac:dyDescent="0.3">
      <c r="A1176" s="283">
        <v>422</v>
      </c>
      <c r="B1176" s="284" t="s">
        <v>53</v>
      </c>
      <c r="C1176" s="221">
        <f t="shared" ref="C1176:N1176" si="1254">SUM(C1177:C1180)</f>
        <v>7914000</v>
      </c>
      <c r="D1176" s="221">
        <f t="shared" si="1254"/>
        <v>7516000</v>
      </c>
      <c r="E1176" s="221">
        <f t="shared" si="1254"/>
        <v>602000</v>
      </c>
      <c r="F1176" s="221">
        <f t="shared" si="1254"/>
        <v>1000000</v>
      </c>
      <c r="G1176" s="221">
        <f t="shared" si="1254"/>
        <v>8660000</v>
      </c>
      <c r="H1176" s="221">
        <f t="shared" si="1254"/>
        <v>9456000</v>
      </c>
      <c r="I1176" s="221">
        <f t="shared" si="1254"/>
        <v>5000000</v>
      </c>
      <c r="J1176" s="221">
        <f t="shared" si="1254"/>
        <v>3050000</v>
      </c>
      <c r="K1176" s="221">
        <f t="shared" si="1254"/>
        <v>1500000</v>
      </c>
      <c r="L1176" s="221">
        <f t="shared" si="1254"/>
        <v>3450000</v>
      </c>
      <c r="M1176" s="221">
        <f t="shared" si="1254"/>
        <v>8200000</v>
      </c>
      <c r="N1176" s="221">
        <f t="shared" si="1254"/>
        <v>8050000</v>
      </c>
      <c r="O1176" s="221">
        <f t="shared" ref="O1176:P1176" si="1255">SUM(O1177:O1180)</f>
        <v>39660000</v>
      </c>
      <c r="P1176" s="221">
        <f t="shared" si="1255"/>
        <v>14500000</v>
      </c>
      <c r="Q1176" s="221">
        <f t="shared" ref="Q1176" si="1256">SUM(Q1177:Q1180)</f>
        <v>0</v>
      </c>
    </row>
    <row r="1177" spans="1:17" customFormat="1" ht="14.4" x14ac:dyDescent="0.3">
      <c r="A1177" s="266">
        <v>4221</v>
      </c>
      <c r="B1177" s="267" t="s">
        <v>54</v>
      </c>
      <c r="C1177" s="197">
        <v>398000</v>
      </c>
      <c r="D1177" s="197"/>
      <c r="E1177" s="197">
        <v>602000</v>
      </c>
      <c r="F1177" s="182">
        <f t="shared" ref="F1177:F1185" si="1257">C1177-D1177+E1177</f>
        <v>1000000</v>
      </c>
      <c r="G1177" s="197">
        <v>498000</v>
      </c>
      <c r="H1177" s="197">
        <v>597000</v>
      </c>
      <c r="I1177" s="197">
        <v>300000</v>
      </c>
      <c r="J1177" s="295"/>
      <c r="K1177" s="295">
        <v>1500000</v>
      </c>
      <c r="L1177" s="220">
        <f>I1177-J1177+K1177</f>
        <v>1800000</v>
      </c>
      <c r="M1177" s="197">
        <v>300000</v>
      </c>
      <c r="N1177" s="197">
        <v>350000</v>
      </c>
      <c r="O1177" s="197">
        <v>10000</v>
      </c>
      <c r="P1177" s="197"/>
      <c r="Q1177" s="197"/>
    </row>
    <row r="1178" spans="1:17" customFormat="1" ht="14.4" x14ac:dyDescent="0.3">
      <c r="A1178" s="266">
        <v>4222</v>
      </c>
      <c r="B1178" s="267" t="s">
        <v>58</v>
      </c>
      <c r="C1178" s="197">
        <v>697000</v>
      </c>
      <c r="D1178" s="197">
        <v>697000</v>
      </c>
      <c r="E1178" s="197"/>
      <c r="F1178" s="182">
        <f t="shared" si="1257"/>
        <v>0</v>
      </c>
      <c r="G1178" s="197">
        <v>796000</v>
      </c>
      <c r="H1178" s="197">
        <v>896000</v>
      </c>
      <c r="I1178" s="197">
        <v>800000</v>
      </c>
      <c r="J1178" s="295">
        <v>400000</v>
      </c>
      <c r="K1178" s="295"/>
      <c r="L1178" s="220">
        <f>I1178-J1178+K1178</f>
        <v>400000</v>
      </c>
      <c r="M1178" s="197">
        <v>1000000</v>
      </c>
      <c r="N1178" s="197">
        <v>800000</v>
      </c>
      <c r="O1178" s="197">
        <v>14500000</v>
      </c>
      <c r="P1178" s="197">
        <v>14500000</v>
      </c>
      <c r="Q1178" s="197"/>
    </row>
    <row r="1179" spans="1:17" customFormat="1" ht="14.4" x14ac:dyDescent="0.3">
      <c r="A1179" s="266">
        <v>4223</v>
      </c>
      <c r="B1179" s="267" t="s">
        <v>59</v>
      </c>
      <c r="C1179" s="197">
        <v>5973000</v>
      </c>
      <c r="D1179" s="197">
        <v>5973000</v>
      </c>
      <c r="E1179" s="197"/>
      <c r="F1179" s="182">
        <f t="shared" si="1257"/>
        <v>0</v>
      </c>
      <c r="G1179" s="197">
        <v>6470000</v>
      </c>
      <c r="H1179" s="197">
        <v>6968000</v>
      </c>
      <c r="I1179" s="195">
        <f>10000000-7000000</f>
        <v>3000000</v>
      </c>
      <c r="J1179" s="297">
        <v>2500000</v>
      </c>
      <c r="K1179" s="297"/>
      <c r="L1179" s="220">
        <f>I1179-J1179+K1179</f>
        <v>500000</v>
      </c>
      <c r="M1179" s="197">
        <v>6000000</v>
      </c>
      <c r="N1179" s="197">
        <v>6000000</v>
      </c>
      <c r="O1179" s="197">
        <v>11475000</v>
      </c>
      <c r="P1179" s="197"/>
      <c r="Q1179" s="197"/>
    </row>
    <row r="1180" spans="1:17" customFormat="1" ht="14.4" x14ac:dyDescent="0.3">
      <c r="A1180" s="266">
        <v>4227</v>
      </c>
      <c r="B1180" s="267" t="s">
        <v>60</v>
      </c>
      <c r="C1180" s="197">
        <v>846000</v>
      </c>
      <c r="D1180" s="197">
        <v>846000</v>
      </c>
      <c r="E1180" s="197"/>
      <c r="F1180" s="182">
        <f t="shared" si="1257"/>
        <v>0</v>
      </c>
      <c r="G1180" s="197">
        <v>896000</v>
      </c>
      <c r="H1180" s="197">
        <v>995000</v>
      </c>
      <c r="I1180" s="197">
        <v>900000</v>
      </c>
      <c r="J1180" s="295">
        <v>150000</v>
      </c>
      <c r="K1180" s="295"/>
      <c r="L1180" s="220">
        <f>I1180-J1180+K1180</f>
        <v>750000</v>
      </c>
      <c r="M1180" s="197">
        <v>900000</v>
      </c>
      <c r="N1180" s="197">
        <v>900000</v>
      </c>
      <c r="O1180" s="197">
        <v>13675000</v>
      </c>
      <c r="P1180" s="197"/>
      <c r="Q1180" s="197"/>
    </row>
    <row r="1181" spans="1:17" customFormat="1" ht="14.4" x14ac:dyDescent="0.3">
      <c r="A1181" s="283">
        <v>423</v>
      </c>
      <c r="B1181" s="284" t="s">
        <v>61</v>
      </c>
      <c r="C1181" s="221">
        <f t="shared" ref="C1181:F1181" si="1258">SUM(C1182:C1183)</f>
        <v>3483000</v>
      </c>
      <c r="D1181" s="221">
        <f t="shared" si="1258"/>
        <v>3483000</v>
      </c>
      <c r="E1181" s="221">
        <f t="shared" si="1258"/>
        <v>0</v>
      </c>
      <c r="F1181" s="221">
        <f t="shared" si="1258"/>
        <v>0</v>
      </c>
      <c r="G1181" s="221">
        <f t="shared" ref="G1181:H1181" si="1259">SUM(G1182:G1183)</f>
        <v>3980000</v>
      </c>
      <c r="H1181" s="221">
        <f t="shared" si="1259"/>
        <v>3980000</v>
      </c>
      <c r="I1181" s="221">
        <f t="shared" ref="I1181:N1181" si="1260">SUM(I1182:I1183)</f>
        <v>4000000</v>
      </c>
      <c r="J1181" s="221">
        <f t="shared" si="1260"/>
        <v>2800000</v>
      </c>
      <c r="K1181" s="221">
        <f t="shared" si="1260"/>
        <v>0</v>
      </c>
      <c r="L1181" s="221">
        <f t="shared" si="1260"/>
        <v>1200000</v>
      </c>
      <c r="M1181" s="221">
        <f t="shared" si="1260"/>
        <v>18000000</v>
      </c>
      <c r="N1181" s="221">
        <f t="shared" si="1260"/>
        <v>13500000</v>
      </c>
      <c r="O1181" s="221">
        <f t="shared" ref="O1181:P1181" si="1261">SUM(O1182:O1183)</f>
        <v>10515000</v>
      </c>
      <c r="P1181" s="221">
        <f t="shared" si="1261"/>
        <v>8400000</v>
      </c>
      <c r="Q1181" s="221">
        <f t="shared" ref="Q1181" si="1262">SUM(Q1182:Q1183)</f>
        <v>5044000</v>
      </c>
    </row>
    <row r="1182" spans="1:17" customFormat="1" ht="14.4" x14ac:dyDescent="0.3">
      <c r="A1182" s="266">
        <v>4231</v>
      </c>
      <c r="B1182" s="267" t="s">
        <v>62</v>
      </c>
      <c r="C1182" s="197">
        <v>1990000</v>
      </c>
      <c r="D1182" s="197">
        <v>1990000</v>
      </c>
      <c r="E1182" s="197"/>
      <c r="F1182" s="182">
        <f t="shared" si="1257"/>
        <v>0</v>
      </c>
      <c r="G1182" s="197">
        <v>1990000</v>
      </c>
      <c r="H1182" s="197">
        <v>1990000</v>
      </c>
      <c r="I1182" s="195">
        <f>8000000-5000000</f>
        <v>3000000</v>
      </c>
      <c r="J1182" s="297">
        <v>2000000</v>
      </c>
      <c r="K1182" s="297"/>
      <c r="L1182" s="220">
        <f>I1182-J1182+K1182</f>
        <v>1000000</v>
      </c>
      <c r="M1182" s="197">
        <v>9000000</v>
      </c>
      <c r="N1182" s="197">
        <v>9000000</v>
      </c>
      <c r="O1182" s="197">
        <v>10515000</v>
      </c>
      <c r="P1182" s="197">
        <v>8400000</v>
      </c>
      <c r="Q1182" s="197"/>
    </row>
    <row r="1183" spans="1:17" s="6" customFormat="1" ht="24" customHeight="1" x14ac:dyDescent="0.3">
      <c r="A1183" s="266">
        <v>4233</v>
      </c>
      <c r="B1183" s="267" t="s">
        <v>227</v>
      </c>
      <c r="C1183" s="197">
        <v>1493000</v>
      </c>
      <c r="D1183" s="197">
        <v>1493000</v>
      </c>
      <c r="E1183" s="197"/>
      <c r="F1183" s="182">
        <f t="shared" si="1257"/>
        <v>0</v>
      </c>
      <c r="G1183" s="197">
        <v>1990000</v>
      </c>
      <c r="H1183" s="197">
        <v>1990000</v>
      </c>
      <c r="I1183" s="195">
        <f>1500000-500000</f>
        <v>1000000</v>
      </c>
      <c r="J1183" s="297">
        <v>800000</v>
      </c>
      <c r="K1183" s="297"/>
      <c r="L1183" s="220">
        <f>I1183-J1183+K1183</f>
        <v>200000</v>
      </c>
      <c r="M1183" s="197">
        <v>9000000</v>
      </c>
      <c r="N1183" s="197">
        <v>4500000</v>
      </c>
      <c r="O1183" s="197"/>
      <c r="P1183" s="197"/>
      <c r="Q1183" s="197">
        <v>5044000</v>
      </c>
    </row>
    <row r="1184" spans="1:17" customFormat="1" ht="14.4" hidden="1" x14ac:dyDescent="0.3">
      <c r="A1184" s="283">
        <v>426</v>
      </c>
      <c r="B1184" s="284" t="s">
        <v>73</v>
      </c>
      <c r="C1184" s="221">
        <f t="shared" ref="C1184:Q1184" si="1263">SUM(C1185)</f>
        <v>1493000</v>
      </c>
      <c r="D1184" s="221">
        <f t="shared" si="1263"/>
        <v>1493000</v>
      </c>
      <c r="E1184" s="221">
        <f t="shared" si="1263"/>
        <v>0</v>
      </c>
      <c r="F1184" s="221">
        <f t="shared" si="1263"/>
        <v>0</v>
      </c>
      <c r="G1184" s="221">
        <f t="shared" si="1263"/>
        <v>1742000</v>
      </c>
      <c r="H1184" s="221">
        <f t="shared" si="1263"/>
        <v>1990000</v>
      </c>
      <c r="I1184" s="221">
        <f t="shared" si="1263"/>
        <v>1000000</v>
      </c>
      <c r="J1184" s="221">
        <f t="shared" si="1263"/>
        <v>500000</v>
      </c>
      <c r="K1184" s="221">
        <f t="shared" si="1263"/>
        <v>0</v>
      </c>
      <c r="L1184" s="221">
        <f t="shared" si="1263"/>
        <v>500000</v>
      </c>
      <c r="M1184" s="221">
        <f t="shared" si="1263"/>
        <v>4500000</v>
      </c>
      <c r="N1184" s="221">
        <f t="shared" si="1263"/>
        <v>4500000</v>
      </c>
      <c r="O1184" s="221">
        <f t="shared" si="1263"/>
        <v>0</v>
      </c>
      <c r="P1184" s="221">
        <f t="shared" si="1263"/>
        <v>0</v>
      </c>
      <c r="Q1184" s="221">
        <f t="shared" si="1263"/>
        <v>0</v>
      </c>
    </row>
    <row r="1185" spans="1:17" customFormat="1" ht="14.4" hidden="1" x14ac:dyDescent="0.3">
      <c r="A1185" s="266">
        <v>4262</v>
      </c>
      <c r="B1185" s="267" t="s">
        <v>88</v>
      </c>
      <c r="C1185" s="197">
        <v>1493000</v>
      </c>
      <c r="D1185" s="197">
        <v>1493000</v>
      </c>
      <c r="E1185" s="197"/>
      <c r="F1185" s="182">
        <f t="shared" si="1257"/>
        <v>0</v>
      </c>
      <c r="G1185" s="197">
        <v>1742000</v>
      </c>
      <c r="H1185" s="197">
        <v>1990000</v>
      </c>
      <c r="I1185" s="195">
        <f>4000000-3000000</f>
        <v>1000000</v>
      </c>
      <c r="J1185" s="297">
        <v>500000</v>
      </c>
      <c r="K1185" s="297"/>
      <c r="L1185" s="220">
        <f>I1185-J1185+K1185</f>
        <v>500000</v>
      </c>
      <c r="M1185" s="197">
        <v>4500000</v>
      </c>
      <c r="N1185" s="197">
        <v>4500000</v>
      </c>
      <c r="O1185" s="197"/>
      <c r="P1185" s="197"/>
      <c r="Q1185" s="197"/>
    </row>
    <row r="1186" spans="1:17" customFormat="1" ht="26.4" hidden="1" x14ac:dyDescent="0.3">
      <c r="A1186" s="281">
        <v>45</v>
      </c>
      <c r="B1186" s="210" t="s">
        <v>326</v>
      </c>
      <c r="C1186" s="187">
        <f t="shared" ref="C1186:Q1187" si="1264">SUM(C1187)</f>
        <v>398000</v>
      </c>
      <c r="D1186" s="187">
        <f t="shared" si="1264"/>
        <v>398000</v>
      </c>
      <c r="E1186" s="187">
        <f t="shared" si="1264"/>
        <v>0</v>
      </c>
      <c r="F1186" s="187">
        <f t="shared" si="1264"/>
        <v>0</v>
      </c>
      <c r="G1186" s="187">
        <f t="shared" si="1264"/>
        <v>398000</v>
      </c>
      <c r="H1186" s="187">
        <f t="shared" si="1264"/>
        <v>398000</v>
      </c>
      <c r="I1186" s="187">
        <f t="shared" si="1264"/>
        <v>500000</v>
      </c>
      <c r="J1186" s="187">
        <f t="shared" si="1264"/>
        <v>500000</v>
      </c>
      <c r="K1186" s="187">
        <f t="shared" si="1264"/>
        <v>0</v>
      </c>
      <c r="L1186" s="187">
        <f t="shared" si="1264"/>
        <v>0</v>
      </c>
      <c r="M1186" s="187">
        <f t="shared" si="1264"/>
        <v>3000000</v>
      </c>
      <c r="N1186" s="187">
        <f t="shared" si="1264"/>
        <v>3000000</v>
      </c>
      <c r="O1186" s="187">
        <f t="shared" si="1264"/>
        <v>0</v>
      </c>
      <c r="P1186" s="187">
        <f t="shared" si="1264"/>
        <v>0</v>
      </c>
      <c r="Q1186" s="187">
        <f t="shared" si="1264"/>
        <v>0</v>
      </c>
    </row>
    <row r="1187" spans="1:17" customFormat="1" ht="26.4" hidden="1" x14ac:dyDescent="0.3">
      <c r="A1187" s="283">
        <v>451</v>
      </c>
      <c r="B1187" s="284" t="s">
        <v>55</v>
      </c>
      <c r="C1187" s="221">
        <f t="shared" si="1264"/>
        <v>398000</v>
      </c>
      <c r="D1187" s="221">
        <f t="shared" si="1264"/>
        <v>398000</v>
      </c>
      <c r="E1187" s="221">
        <f t="shared" si="1264"/>
        <v>0</v>
      </c>
      <c r="F1187" s="221">
        <f t="shared" si="1264"/>
        <v>0</v>
      </c>
      <c r="G1187" s="221">
        <f t="shared" si="1264"/>
        <v>398000</v>
      </c>
      <c r="H1187" s="221">
        <f t="shared" si="1264"/>
        <v>398000</v>
      </c>
      <c r="I1187" s="221">
        <f t="shared" si="1264"/>
        <v>500000</v>
      </c>
      <c r="J1187" s="221">
        <f t="shared" si="1264"/>
        <v>500000</v>
      </c>
      <c r="K1187" s="221">
        <f t="shared" si="1264"/>
        <v>0</v>
      </c>
      <c r="L1187" s="221">
        <f t="shared" si="1264"/>
        <v>0</v>
      </c>
      <c r="M1187" s="221">
        <f t="shared" si="1264"/>
        <v>3000000</v>
      </c>
      <c r="N1187" s="221">
        <f t="shared" si="1264"/>
        <v>3000000</v>
      </c>
      <c r="O1187" s="221">
        <f t="shared" si="1264"/>
        <v>0</v>
      </c>
      <c r="P1187" s="221">
        <f t="shared" si="1264"/>
        <v>0</v>
      </c>
      <c r="Q1187" s="221">
        <f t="shared" si="1264"/>
        <v>0</v>
      </c>
    </row>
    <row r="1188" spans="1:17" customFormat="1" ht="16.5" hidden="1" customHeight="1" x14ac:dyDescent="0.3">
      <c r="A1188" s="266">
        <v>4511</v>
      </c>
      <c r="B1188" s="267" t="s">
        <v>55</v>
      </c>
      <c r="C1188" s="197">
        <v>398000</v>
      </c>
      <c r="D1188" s="197">
        <v>398000</v>
      </c>
      <c r="E1188" s="197"/>
      <c r="F1188" s="182">
        <f t="shared" ref="F1188" si="1265">C1188-D1188+E1188</f>
        <v>0</v>
      </c>
      <c r="G1188" s="197">
        <v>398000</v>
      </c>
      <c r="H1188" s="197">
        <v>398000</v>
      </c>
      <c r="I1188" s="195">
        <f>1000000-500000</f>
        <v>500000</v>
      </c>
      <c r="J1188" s="297">
        <v>500000</v>
      </c>
      <c r="K1188" s="297"/>
      <c r="L1188" s="220">
        <f>I1188-J1188+K1188</f>
        <v>0</v>
      </c>
      <c r="M1188" s="197">
        <v>3000000</v>
      </c>
      <c r="N1188" s="197">
        <v>3000000</v>
      </c>
      <c r="O1188" s="197"/>
      <c r="P1188" s="197"/>
      <c r="Q1188" s="197"/>
    </row>
    <row r="1189" spans="1:17" customFormat="1" ht="26.25" customHeight="1" x14ac:dyDescent="0.3">
      <c r="A1189" s="242" t="s">
        <v>409</v>
      </c>
      <c r="B1189" s="231" t="s">
        <v>410</v>
      </c>
      <c r="C1189" s="285">
        <f>SUM(C1190)</f>
        <v>0</v>
      </c>
      <c r="D1189" s="285">
        <f t="shared" ref="D1189:L1189" si="1266">SUM(D1190)</f>
        <v>0</v>
      </c>
      <c r="E1189" s="285">
        <f t="shared" si="1266"/>
        <v>712000</v>
      </c>
      <c r="F1189" s="285">
        <f t="shared" si="1266"/>
        <v>712000</v>
      </c>
      <c r="G1189" s="285">
        <f t="shared" si="1266"/>
        <v>0</v>
      </c>
      <c r="H1189" s="285">
        <f t="shared" si="1266"/>
        <v>0</v>
      </c>
      <c r="I1189" s="285">
        <f t="shared" si="1266"/>
        <v>1855000</v>
      </c>
      <c r="J1189" s="285">
        <f t="shared" si="1266"/>
        <v>600000</v>
      </c>
      <c r="K1189" s="285">
        <f t="shared" si="1266"/>
        <v>668000</v>
      </c>
      <c r="L1189" s="285">
        <f t="shared" si="1266"/>
        <v>1923000</v>
      </c>
      <c r="M1189" s="285">
        <f t="shared" ref="M1189:O1189" si="1267">SUM(M1190)</f>
        <v>1848000</v>
      </c>
      <c r="N1189" s="285">
        <f t="shared" ref="N1189:Q1189" si="1268">SUM(N1190)</f>
        <v>1940000</v>
      </c>
      <c r="O1189" s="285">
        <f t="shared" si="1267"/>
        <v>2419000</v>
      </c>
      <c r="P1189" s="285">
        <f t="shared" si="1268"/>
        <v>2119000</v>
      </c>
      <c r="Q1189" s="285">
        <f t="shared" si="1268"/>
        <v>2119000</v>
      </c>
    </row>
    <row r="1190" spans="1:17" customFormat="1" ht="16.5" customHeight="1" x14ac:dyDescent="0.3">
      <c r="A1190" s="721" t="s">
        <v>118</v>
      </c>
      <c r="B1190" s="721"/>
      <c r="C1190" s="173">
        <f>SUM(C1191,C1200,C1219,C1222,C1232)</f>
        <v>0</v>
      </c>
      <c r="D1190" s="173">
        <f>SUM(D1191,D1200,D1219,D1222,D1232)</f>
        <v>0</v>
      </c>
      <c r="E1190" s="173">
        <f>E1191+E1200+E1219+E1222+E1232</f>
        <v>712000</v>
      </c>
      <c r="F1190" s="173">
        <f>SUM(F1191+F1200+F1219+F1222+F1232)</f>
        <v>712000</v>
      </c>
      <c r="G1190" s="173">
        <f>SUM(G1191,G1200,G1219,G1222,G1232)</f>
        <v>0</v>
      </c>
      <c r="H1190" s="173">
        <f>SUM(H1191,H1200,H1219,H1222,H1232)</f>
        <v>0</v>
      </c>
      <c r="I1190" s="173">
        <f>SUM(I1191,I1200,I1219,I1222,I1232)</f>
        <v>1855000</v>
      </c>
      <c r="J1190" s="173">
        <f t="shared" ref="J1190:K1190" si="1269">SUM(J1191,J1200,J1219,J1222,J1232)</f>
        <v>600000</v>
      </c>
      <c r="K1190" s="173">
        <f t="shared" si="1269"/>
        <v>668000</v>
      </c>
      <c r="L1190" s="173">
        <f t="shared" ref="L1190:Q1190" si="1270">SUM(L1191,L1200,L1219,L1222,L1232)</f>
        <v>1923000</v>
      </c>
      <c r="M1190" s="173">
        <f t="shared" si="1270"/>
        <v>1848000</v>
      </c>
      <c r="N1190" s="173">
        <f t="shared" si="1270"/>
        <v>1940000</v>
      </c>
      <c r="O1190" s="173">
        <f t="shared" si="1270"/>
        <v>2419000</v>
      </c>
      <c r="P1190" s="173">
        <f t="shared" si="1270"/>
        <v>2119000</v>
      </c>
      <c r="Q1190" s="173">
        <f t="shared" si="1270"/>
        <v>2119000</v>
      </c>
    </row>
    <row r="1191" spans="1:17" customFormat="1" ht="16.5" customHeight="1" x14ac:dyDescent="0.3">
      <c r="A1191" s="281">
        <v>31</v>
      </c>
      <c r="B1191" s="282" t="s">
        <v>316</v>
      </c>
      <c r="C1191" s="187">
        <f t="shared" ref="C1191:N1191" si="1271">SUM(C1192,C1195,C1197)</f>
        <v>0</v>
      </c>
      <c r="D1191" s="187">
        <f t="shared" si="1271"/>
        <v>0</v>
      </c>
      <c r="E1191" s="187">
        <f t="shared" si="1271"/>
        <v>314000</v>
      </c>
      <c r="F1191" s="187">
        <f>SUM(F1192+F1195+F1197)</f>
        <v>314000</v>
      </c>
      <c r="G1191" s="187">
        <f t="shared" si="1271"/>
        <v>0</v>
      </c>
      <c r="H1191" s="187">
        <f t="shared" si="1271"/>
        <v>0</v>
      </c>
      <c r="I1191" s="187">
        <f t="shared" si="1271"/>
        <v>790000</v>
      </c>
      <c r="J1191" s="187">
        <f t="shared" si="1271"/>
        <v>0</v>
      </c>
      <c r="K1191" s="187">
        <f t="shared" si="1271"/>
        <v>0</v>
      </c>
      <c r="L1191" s="187">
        <f t="shared" si="1271"/>
        <v>790000</v>
      </c>
      <c r="M1191" s="187">
        <f t="shared" si="1271"/>
        <v>610000</v>
      </c>
      <c r="N1191" s="187">
        <f t="shared" si="1271"/>
        <v>630000</v>
      </c>
      <c r="O1191" s="187">
        <f t="shared" ref="O1191:P1191" si="1272">SUM(O1192,O1195,O1197)</f>
        <v>860000</v>
      </c>
      <c r="P1191" s="187">
        <f t="shared" si="1272"/>
        <v>860000</v>
      </c>
      <c r="Q1191" s="187">
        <f t="shared" ref="Q1191" si="1273">SUM(Q1192,Q1195,Q1197)</f>
        <v>860000</v>
      </c>
    </row>
    <row r="1192" spans="1:17" customFormat="1" ht="16.5" customHeight="1" x14ac:dyDescent="0.3">
      <c r="A1192" s="283">
        <v>311</v>
      </c>
      <c r="B1192" s="284" t="s">
        <v>4</v>
      </c>
      <c r="C1192" s="221">
        <f>SUM(C1193:C1194)</f>
        <v>0</v>
      </c>
      <c r="D1192" s="221">
        <f t="shared" ref="D1192:L1192" si="1274">SUM(D1193:D1194)</f>
        <v>0</v>
      </c>
      <c r="E1192" s="221">
        <f t="shared" si="1274"/>
        <v>270000</v>
      </c>
      <c r="F1192" s="221">
        <f t="shared" si="1274"/>
        <v>270000</v>
      </c>
      <c r="G1192" s="221">
        <f t="shared" si="1274"/>
        <v>0</v>
      </c>
      <c r="H1192" s="221">
        <f t="shared" si="1274"/>
        <v>0</v>
      </c>
      <c r="I1192" s="221">
        <f t="shared" si="1274"/>
        <v>520000</v>
      </c>
      <c r="J1192" s="221">
        <f t="shared" si="1274"/>
        <v>0</v>
      </c>
      <c r="K1192" s="221">
        <f t="shared" si="1274"/>
        <v>0</v>
      </c>
      <c r="L1192" s="221">
        <f t="shared" si="1274"/>
        <v>520000</v>
      </c>
      <c r="M1192" s="221">
        <f t="shared" ref="M1192:O1192" si="1275">SUM(M1193:M1194)</f>
        <v>380000</v>
      </c>
      <c r="N1192" s="221">
        <f t="shared" ref="N1192:P1192" si="1276">SUM(N1193:N1194)</f>
        <v>400000</v>
      </c>
      <c r="O1192" s="221">
        <f t="shared" si="1275"/>
        <v>530000</v>
      </c>
      <c r="P1192" s="221">
        <f t="shared" si="1276"/>
        <v>530000</v>
      </c>
      <c r="Q1192" s="221">
        <f t="shared" ref="Q1192" si="1277">SUM(Q1193:Q1194)</f>
        <v>530000</v>
      </c>
    </row>
    <row r="1193" spans="1:17" customFormat="1" ht="16.5" customHeight="1" x14ac:dyDescent="0.3">
      <c r="A1193" s="266">
        <v>3111</v>
      </c>
      <c r="B1193" s="267" t="s">
        <v>5</v>
      </c>
      <c r="C1193" s="197"/>
      <c r="D1193" s="197"/>
      <c r="E1193" s="197">
        <v>270000</v>
      </c>
      <c r="F1193" s="182">
        <f t="shared" ref="F1193" si="1278">C1193-D1193+E1193</f>
        <v>270000</v>
      </c>
      <c r="G1193" s="197"/>
      <c r="H1193" s="197"/>
      <c r="I1193" s="197">
        <v>490000</v>
      </c>
      <c r="J1193" s="295"/>
      <c r="K1193" s="295"/>
      <c r="L1193" s="220">
        <f>I1193-J1193+K1193</f>
        <v>490000</v>
      </c>
      <c r="M1193" s="197">
        <v>350000</v>
      </c>
      <c r="N1193" s="197">
        <v>370000</v>
      </c>
      <c r="O1193" s="197">
        <v>500000</v>
      </c>
      <c r="P1193" s="197">
        <v>500000</v>
      </c>
      <c r="Q1193" s="197">
        <v>500000</v>
      </c>
    </row>
    <row r="1194" spans="1:17" customFormat="1" ht="16.5" customHeight="1" x14ac:dyDescent="0.3">
      <c r="A1194" s="294">
        <v>3113</v>
      </c>
      <c r="B1194" s="292" t="s">
        <v>6</v>
      </c>
      <c r="C1194" s="295"/>
      <c r="D1194" s="295"/>
      <c r="E1194" s="295"/>
      <c r="F1194" s="220"/>
      <c r="G1194" s="295"/>
      <c r="H1194" s="295"/>
      <c r="I1194" s="295">
        <v>30000</v>
      </c>
      <c r="J1194" s="295"/>
      <c r="K1194" s="295"/>
      <c r="L1194" s="220">
        <f>I1194-J1194+K1194</f>
        <v>30000</v>
      </c>
      <c r="M1194" s="295">
        <v>30000</v>
      </c>
      <c r="N1194" s="295">
        <v>30000</v>
      </c>
      <c r="O1194" s="295">
        <v>30000</v>
      </c>
      <c r="P1194" s="295">
        <v>30000</v>
      </c>
      <c r="Q1194" s="295">
        <v>30000</v>
      </c>
    </row>
    <row r="1195" spans="1:17" customFormat="1" ht="16.5" customHeight="1" x14ac:dyDescent="0.3">
      <c r="A1195" s="283">
        <v>312</v>
      </c>
      <c r="B1195" s="284" t="s">
        <v>7</v>
      </c>
      <c r="C1195" s="221">
        <f t="shared" ref="C1195:Q1195" si="1279">SUM(C1196)</f>
        <v>0</v>
      </c>
      <c r="D1195" s="221">
        <f t="shared" si="1279"/>
        <v>0</v>
      </c>
      <c r="E1195" s="221">
        <f t="shared" si="1279"/>
        <v>10000</v>
      </c>
      <c r="F1195" s="221">
        <f t="shared" si="1279"/>
        <v>10000</v>
      </c>
      <c r="G1195" s="221">
        <f t="shared" si="1279"/>
        <v>0</v>
      </c>
      <c r="H1195" s="221">
        <f t="shared" si="1279"/>
        <v>0</v>
      </c>
      <c r="I1195" s="221">
        <f t="shared" si="1279"/>
        <v>20000</v>
      </c>
      <c r="J1195" s="221">
        <f t="shared" si="1279"/>
        <v>0</v>
      </c>
      <c r="K1195" s="221">
        <f t="shared" si="1279"/>
        <v>0</v>
      </c>
      <c r="L1195" s="221">
        <f t="shared" si="1279"/>
        <v>20000</v>
      </c>
      <c r="M1195" s="221">
        <f t="shared" si="1279"/>
        <v>20000</v>
      </c>
      <c r="N1195" s="221">
        <f t="shared" si="1279"/>
        <v>20000</v>
      </c>
      <c r="O1195" s="221">
        <f t="shared" si="1279"/>
        <v>30000</v>
      </c>
      <c r="P1195" s="221">
        <f t="shared" si="1279"/>
        <v>30000</v>
      </c>
      <c r="Q1195" s="221">
        <f t="shared" si="1279"/>
        <v>30000</v>
      </c>
    </row>
    <row r="1196" spans="1:17" customFormat="1" ht="16.5" customHeight="1" x14ac:dyDescent="0.3">
      <c r="A1196" s="266">
        <v>3121</v>
      </c>
      <c r="B1196" s="267" t="s">
        <v>7</v>
      </c>
      <c r="C1196" s="197"/>
      <c r="D1196" s="197"/>
      <c r="E1196" s="197">
        <v>10000</v>
      </c>
      <c r="F1196" s="182">
        <f t="shared" ref="F1196" si="1280">C1196-D1196+E1196</f>
        <v>10000</v>
      </c>
      <c r="G1196" s="197"/>
      <c r="H1196" s="197"/>
      <c r="I1196" s="197">
        <v>20000</v>
      </c>
      <c r="J1196" s="295"/>
      <c r="K1196" s="295"/>
      <c r="L1196" s="220">
        <f>I1196-J1196+K1196</f>
        <v>20000</v>
      </c>
      <c r="M1196" s="197">
        <v>20000</v>
      </c>
      <c r="N1196" s="197">
        <v>20000</v>
      </c>
      <c r="O1196" s="197">
        <v>30000</v>
      </c>
      <c r="P1196" s="197">
        <v>30000</v>
      </c>
      <c r="Q1196" s="197">
        <v>30000</v>
      </c>
    </row>
    <row r="1197" spans="1:17" customFormat="1" ht="16.5" customHeight="1" x14ac:dyDescent="0.3">
      <c r="A1197" s="283">
        <v>313</v>
      </c>
      <c r="B1197" s="284" t="s">
        <v>8</v>
      </c>
      <c r="C1197" s="221">
        <f t="shared" ref="C1197:N1197" si="1281">SUM(C1198:C1199)</f>
        <v>0</v>
      </c>
      <c r="D1197" s="221">
        <f t="shared" si="1281"/>
        <v>0</v>
      </c>
      <c r="E1197" s="221">
        <f t="shared" si="1281"/>
        <v>34000</v>
      </c>
      <c r="F1197" s="221">
        <f t="shared" si="1281"/>
        <v>34000</v>
      </c>
      <c r="G1197" s="221">
        <f t="shared" si="1281"/>
        <v>0</v>
      </c>
      <c r="H1197" s="221">
        <f t="shared" si="1281"/>
        <v>0</v>
      </c>
      <c r="I1197" s="221">
        <f t="shared" si="1281"/>
        <v>250000</v>
      </c>
      <c r="J1197" s="221">
        <f t="shared" si="1281"/>
        <v>0</v>
      </c>
      <c r="K1197" s="221">
        <f t="shared" si="1281"/>
        <v>0</v>
      </c>
      <c r="L1197" s="221">
        <f t="shared" si="1281"/>
        <v>250000</v>
      </c>
      <c r="M1197" s="221">
        <f t="shared" si="1281"/>
        <v>210000</v>
      </c>
      <c r="N1197" s="221">
        <f t="shared" si="1281"/>
        <v>210000</v>
      </c>
      <c r="O1197" s="221">
        <f t="shared" ref="O1197:P1197" si="1282">SUM(O1198:O1199)</f>
        <v>300000</v>
      </c>
      <c r="P1197" s="221">
        <f t="shared" si="1282"/>
        <v>300000</v>
      </c>
      <c r="Q1197" s="221">
        <f t="shared" ref="Q1197" si="1283">SUM(Q1198:Q1199)</f>
        <v>300000</v>
      </c>
    </row>
    <row r="1198" spans="1:17" customFormat="1" ht="16.5" customHeight="1" x14ac:dyDescent="0.3">
      <c r="A1198" s="266">
        <v>3131</v>
      </c>
      <c r="B1198" s="267" t="s">
        <v>9</v>
      </c>
      <c r="C1198" s="197"/>
      <c r="D1198" s="197"/>
      <c r="E1198" s="197"/>
      <c r="F1198" s="182">
        <f t="shared" ref="F1198:F1199" si="1284">C1198-D1198+E1198</f>
        <v>0</v>
      </c>
      <c r="G1198" s="197"/>
      <c r="H1198" s="197"/>
      <c r="I1198" s="197">
        <v>100000</v>
      </c>
      <c r="J1198" s="295"/>
      <c r="K1198" s="295"/>
      <c r="L1198" s="220">
        <f>I1198-J1198+K1198</f>
        <v>100000</v>
      </c>
      <c r="M1198" s="197">
        <v>100000</v>
      </c>
      <c r="N1198" s="197">
        <v>100000</v>
      </c>
      <c r="O1198" s="197">
        <v>140000</v>
      </c>
      <c r="P1198" s="197">
        <v>140000</v>
      </c>
      <c r="Q1198" s="197">
        <v>140000</v>
      </c>
    </row>
    <row r="1199" spans="1:17" customFormat="1" ht="16.5" customHeight="1" x14ac:dyDescent="0.3">
      <c r="A1199" s="266">
        <v>3132</v>
      </c>
      <c r="B1199" s="267" t="s">
        <v>10</v>
      </c>
      <c r="C1199" s="197"/>
      <c r="D1199" s="197"/>
      <c r="E1199" s="197">
        <v>34000</v>
      </c>
      <c r="F1199" s="182">
        <f t="shared" si="1284"/>
        <v>34000</v>
      </c>
      <c r="G1199" s="197"/>
      <c r="H1199" s="197"/>
      <c r="I1199" s="197">
        <v>150000</v>
      </c>
      <c r="J1199" s="295"/>
      <c r="K1199" s="295"/>
      <c r="L1199" s="220">
        <f>I1199-J1199+K1199</f>
        <v>150000</v>
      </c>
      <c r="M1199" s="197">
        <v>110000</v>
      </c>
      <c r="N1199" s="197">
        <v>110000</v>
      </c>
      <c r="O1199" s="197">
        <v>160000</v>
      </c>
      <c r="P1199" s="197">
        <v>160000</v>
      </c>
      <c r="Q1199" s="197">
        <v>160000</v>
      </c>
    </row>
    <row r="1200" spans="1:17" customFormat="1" ht="16.5" customHeight="1" x14ac:dyDescent="0.3">
      <c r="A1200" s="281">
        <v>32</v>
      </c>
      <c r="B1200" s="282" t="s">
        <v>318</v>
      </c>
      <c r="C1200" s="187">
        <f t="shared" ref="C1200:N1200" si="1285">SUM(C1201,C1205,C1211,C1215)</f>
        <v>0</v>
      </c>
      <c r="D1200" s="187">
        <f t="shared" si="1285"/>
        <v>0</v>
      </c>
      <c r="E1200" s="187">
        <f>SUM(E1201+E1205+E1211+E1215+E1217)</f>
        <v>188000</v>
      </c>
      <c r="F1200" s="187">
        <f>SUM(F1201+F1205+F1211+F1215+F1217)</f>
        <v>188000</v>
      </c>
      <c r="G1200" s="187">
        <f t="shared" si="1285"/>
        <v>0</v>
      </c>
      <c r="H1200" s="187">
        <f t="shared" si="1285"/>
        <v>0</v>
      </c>
      <c r="I1200" s="187">
        <f>SUM(I1201,I1205,I1211,I1215)</f>
        <v>990000</v>
      </c>
      <c r="J1200" s="187">
        <f t="shared" si="1285"/>
        <v>600000</v>
      </c>
      <c r="K1200" s="187">
        <f t="shared" si="1285"/>
        <v>18000</v>
      </c>
      <c r="L1200" s="187">
        <f t="shared" si="1285"/>
        <v>408000</v>
      </c>
      <c r="M1200" s="187">
        <f t="shared" si="1285"/>
        <v>603000</v>
      </c>
      <c r="N1200" s="187">
        <f t="shared" si="1285"/>
        <v>1095000</v>
      </c>
      <c r="O1200" s="187">
        <f t="shared" ref="O1200:P1200" si="1286">SUM(O1201,O1205,O1211,O1215)</f>
        <v>1409000</v>
      </c>
      <c r="P1200" s="187">
        <f t="shared" si="1286"/>
        <v>1009000</v>
      </c>
      <c r="Q1200" s="187">
        <f t="shared" ref="Q1200" si="1287">SUM(Q1201,Q1205,Q1211,Q1215)</f>
        <v>1009000</v>
      </c>
    </row>
    <row r="1201" spans="1:19" customFormat="1" ht="16.5" customHeight="1" x14ac:dyDescent="0.3">
      <c r="A1201" s="283">
        <v>321</v>
      </c>
      <c r="B1201" s="284" t="s">
        <v>12</v>
      </c>
      <c r="C1201" s="221">
        <f>SUM(C1202:C1203,C1204)</f>
        <v>0</v>
      </c>
      <c r="D1201" s="221">
        <f t="shared" ref="D1201:L1201" si="1288">SUM(D1202:D1203,D1204)</f>
        <v>0</v>
      </c>
      <c r="E1201" s="221">
        <f t="shared" si="1288"/>
        <v>8000</v>
      </c>
      <c r="F1201" s="221">
        <f t="shared" si="1288"/>
        <v>8000</v>
      </c>
      <c r="G1201" s="221">
        <f t="shared" si="1288"/>
        <v>0</v>
      </c>
      <c r="H1201" s="221">
        <f t="shared" si="1288"/>
        <v>0</v>
      </c>
      <c r="I1201" s="221">
        <f t="shared" si="1288"/>
        <v>13000</v>
      </c>
      <c r="J1201" s="221">
        <f t="shared" si="1288"/>
        <v>0</v>
      </c>
      <c r="K1201" s="221">
        <f t="shared" si="1288"/>
        <v>13000</v>
      </c>
      <c r="L1201" s="221">
        <f t="shared" si="1288"/>
        <v>26000</v>
      </c>
      <c r="M1201" s="221">
        <f t="shared" ref="M1201:O1201" si="1289">SUM(M1202:M1203,M1204)</f>
        <v>16000</v>
      </c>
      <c r="N1201" s="221">
        <f t="shared" ref="N1201:P1201" si="1290">SUM(N1202:N1203,N1204)</f>
        <v>18000</v>
      </c>
      <c r="O1201" s="221">
        <f t="shared" si="1289"/>
        <v>22000</v>
      </c>
      <c r="P1201" s="221">
        <f t="shared" si="1290"/>
        <v>22000</v>
      </c>
      <c r="Q1201" s="221">
        <f t="shared" ref="Q1201" si="1291">SUM(Q1202:Q1203,Q1204)</f>
        <v>22000</v>
      </c>
    </row>
    <row r="1202" spans="1:19" customFormat="1" ht="16.5" customHeight="1" x14ac:dyDescent="0.3">
      <c r="A1202" s="266">
        <v>3211</v>
      </c>
      <c r="B1202" s="267" t="s">
        <v>13</v>
      </c>
      <c r="C1202" s="197"/>
      <c r="D1202" s="197"/>
      <c r="E1202" s="197"/>
      <c r="F1202" s="182">
        <f t="shared" ref="F1202:F1203" si="1292">C1202-D1202+E1202</f>
        <v>0</v>
      </c>
      <c r="G1202" s="197"/>
      <c r="H1202" s="197"/>
      <c r="I1202" s="197">
        <v>7000</v>
      </c>
      <c r="J1202" s="295"/>
      <c r="K1202" s="295">
        <v>13000</v>
      </c>
      <c r="L1202" s="220">
        <f>I1202-J1202+K1202</f>
        <v>20000</v>
      </c>
      <c r="M1202" s="197">
        <v>8000</v>
      </c>
      <c r="N1202" s="197">
        <v>9000</v>
      </c>
      <c r="O1202" s="197">
        <v>10000</v>
      </c>
      <c r="P1202" s="197">
        <v>10000</v>
      </c>
      <c r="Q1202" s="197">
        <v>10000</v>
      </c>
      <c r="S1202" s="440"/>
    </row>
    <row r="1203" spans="1:19" customFormat="1" ht="25.5" customHeight="1" x14ac:dyDescent="0.3">
      <c r="A1203" s="266">
        <v>3212</v>
      </c>
      <c r="B1203" s="267" t="s">
        <v>14</v>
      </c>
      <c r="C1203" s="197"/>
      <c r="D1203" s="197"/>
      <c r="E1203" s="197">
        <v>8000</v>
      </c>
      <c r="F1203" s="182">
        <f t="shared" si="1292"/>
        <v>8000</v>
      </c>
      <c r="G1203" s="197"/>
      <c r="H1203" s="197"/>
      <c r="I1203" s="197">
        <v>2000</v>
      </c>
      <c r="J1203" s="295"/>
      <c r="K1203" s="295"/>
      <c r="L1203" s="220">
        <f>I1203-J1203+K1203</f>
        <v>2000</v>
      </c>
      <c r="M1203" s="197">
        <v>3000</v>
      </c>
      <c r="N1203" s="197">
        <v>3000</v>
      </c>
      <c r="O1203" s="197">
        <v>5000</v>
      </c>
      <c r="P1203" s="197">
        <v>5000</v>
      </c>
      <c r="Q1203" s="197">
        <v>5000</v>
      </c>
      <c r="S1203" s="433"/>
    </row>
    <row r="1204" spans="1:19" customFormat="1" ht="16.5" customHeight="1" x14ac:dyDescent="0.3">
      <c r="A1204" s="294">
        <v>3213</v>
      </c>
      <c r="B1204" s="292" t="s">
        <v>15</v>
      </c>
      <c r="C1204" s="295"/>
      <c r="D1204" s="295"/>
      <c r="E1204" s="295"/>
      <c r="F1204" s="220"/>
      <c r="G1204" s="295"/>
      <c r="H1204" s="295"/>
      <c r="I1204" s="295">
        <v>4000</v>
      </c>
      <c r="J1204" s="295"/>
      <c r="K1204" s="295"/>
      <c r="L1204" s="220">
        <f>I1204-J1204+K1204</f>
        <v>4000</v>
      </c>
      <c r="M1204" s="295">
        <v>5000</v>
      </c>
      <c r="N1204" s="295">
        <v>6000</v>
      </c>
      <c r="O1204" s="295">
        <v>7000</v>
      </c>
      <c r="P1204" s="295">
        <v>7000</v>
      </c>
      <c r="Q1204" s="295">
        <v>7000</v>
      </c>
    </row>
    <row r="1205" spans="1:19" customFormat="1" ht="16.5" customHeight="1" x14ac:dyDescent="0.3">
      <c r="A1205" s="283">
        <v>322</v>
      </c>
      <c r="B1205" s="284" t="s">
        <v>16</v>
      </c>
      <c r="C1205" s="296">
        <f>SUM(C1206,C1207,C1208,C1209,C1210)</f>
        <v>0</v>
      </c>
      <c r="D1205" s="296">
        <f t="shared" ref="D1205:L1205" si="1293">SUM(D1206,D1207,D1208,D1209,D1210)</f>
        <v>0</v>
      </c>
      <c r="E1205" s="296">
        <f t="shared" si="1293"/>
        <v>0</v>
      </c>
      <c r="F1205" s="296">
        <f t="shared" si="1293"/>
        <v>0</v>
      </c>
      <c r="G1205" s="296">
        <f t="shared" si="1293"/>
        <v>0</v>
      </c>
      <c r="H1205" s="296">
        <f t="shared" si="1293"/>
        <v>0</v>
      </c>
      <c r="I1205" s="296">
        <f>SUM(I1206,I1207,I1208,I1209,I1210)</f>
        <v>12000</v>
      </c>
      <c r="J1205" s="296">
        <f t="shared" ref="J1205:K1205" si="1294">SUM(J1206,J1207,J1208,J1209,J1210)</f>
        <v>0</v>
      </c>
      <c r="K1205" s="296">
        <f t="shared" si="1294"/>
        <v>5000</v>
      </c>
      <c r="L1205" s="296">
        <f t="shared" si="1293"/>
        <v>17000</v>
      </c>
      <c r="M1205" s="296">
        <f t="shared" ref="M1205:O1205" si="1295">SUM(M1206,M1207,M1208,M1209,M1210)</f>
        <v>12000</v>
      </c>
      <c r="N1205" s="296">
        <f t="shared" ref="N1205:P1205" si="1296">SUM(N1206,N1207,N1208,N1209,N1210)</f>
        <v>12000</v>
      </c>
      <c r="O1205" s="296">
        <f t="shared" si="1295"/>
        <v>12000</v>
      </c>
      <c r="P1205" s="296">
        <f t="shared" si="1296"/>
        <v>12000</v>
      </c>
      <c r="Q1205" s="296">
        <f t="shared" ref="Q1205" si="1297">SUM(Q1206,Q1207,Q1208,Q1209,Q1210)</f>
        <v>12000</v>
      </c>
    </row>
    <row r="1206" spans="1:19" customFormat="1" ht="15" customHeight="1" x14ac:dyDescent="0.3">
      <c r="A1206" s="266">
        <v>3221</v>
      </c>
      <c r="B1206" s="267" t="s">
        <v>17</v>
      </c>
      <c r="C1206" s="295"/>
      <c r="D1206" s="295"/>
      <c r="E1206" s="295"/>
      <c r="F1206" s="220"/>
      <c r="G1206" s="295"/>
      <c r="H1206" s="295"/>
      <c r="I1206" s="295">
        <v>2000</v>
      </c>
      <c r="J1206" s="295"/>
      <c r="K1206" s="295">
        <v>5000</v>
      </c>
      <c r="L1206" s="220">
        <f>I1206-J1206+K1206</f>
        <v>7000</v>
      </c>
      <c r="M1206" s="295">
        <v>2000</v>
      </c>
      <c r="N1206" s="295">
        <v>2000</v>
      </c>
      <c r="O1206" s="295">
        <v>2000</v>
      </c>
      <c r="P1206" s="295">
        <v>2000</v>
      </c>
      <c r="Q1206" s="295">
        <v>2000</v>
      </c>
    </row>
    <row r="1207" spans="1:19" customFormat="1" ht="16.5" hidden="1" customHeight="1" x14ac:dyDescent="0.3">
      <c r="A1207" s="266">
        <v>3222</v>
      </c>
      <c r="B1207" s="267" t="s">
        <v>18</v>
      </c>
      <c r="C1207" s="295"/>
      <c r="D1207" s="295"/>
      <c r="E1207" s="295"/>
      <c r="F1207" s="220"/>
      <c r="G1207" s="295"/>
      <c r="H1207" s="295"/>
      <c r="I1207" s="295"/>
      <c r="J1207" s="295"/>
      <c r="K1207" s="295"/>
      <c r="L1207" s="295"/>
      <c r="M1207" s="295"/>
      <c r="N1207" s="295"/>
      <c r="O1207" s="295"/>
      <c r="P1207" s="295"/>
      <c r="Q1207" s="295"/>
    </row>
    <row r="1208" spans="1:19" customFormat="1" ht="16.5" hidden="1" customHeight="1" x14ac:dyDescent="0.3">
      <c r="A1208" s="266">
        <v>3223</v>
      </c>
      <c r="B1208" s="267" t="s">
        <v>19</v>
      </c>
      <c r="C1208" s="295"/>
      <c r="D1208" s="295"/>
      <c r="E1208" s="295"/>
      <c r="F1208" s="220"/>
      <c r="G1208" s="295"/>
      <c r="H1208" s="295"/>
      <c r="I1208" s="295"/>
      <c r="J1208" s="295"/>
      <c r="K1208" s="295"/>
      <c r="L1208" s="295"/>
      <c r="M1208" s="295"/>
      <c r="N1208" s="295"/>
      <c r="O1208" s="295"/>
      <c r="P1208" s="295"/>
      <c r="Q1208" s="295"/>
    </row>
    <row r="1209" spans="1:19" customFormat="1" ht="22.5" hidden="1" customHeight="1" x14ac:dyDescent="0.3">
      <c r="A1209" s="266">
        <v>3224</v>
      </c>
      <c r="B1209" s="267" t="s">
        <v>112</v>
      </c>
      <c r="C1209" s="295"/>
      <c r="D1209" s="295"/>
      <c r="E1209" s="295"/>
      <c r="F1209" s="220"/>
      <c r="G1209" s="295"/>
      <c r="H1209" s="295"/>
      <c r="I1209" s="295"/>
      <c r="J1209" s="295"/>
      <c r="K1209" s="295"/>
      <c r="L1209" s="295"/>
      <c r="M1209" s="295"/>
      <c r="N1209" s="295"/>
      <c r="O1209" s="295"/>
      <c r="P1209" s="295"/>
      <c r="Q1209" s="295"/>
    </row>
    <row r="1210" spans="1:19" customFormat="1" ht="16.5" customHeight="1" x14ac:dyDescent="0.3">
      <c r="A1210" s="266">
        <v>3225</v>
      </c>
      <c r="B1210" s="267" t="s">
        <v>21</v>
      </c>
      <c r="C1210" s="295"/>
      <c r="D1210" s="295"/>
      <c r="E1210" s="295"/>
      <c r="F1210" s="220"/>
      <c r="G1210" s="295"/>
      <c r="H1210" s="295"/>
      <c r="I1210" s="295">
        <v>10000</v>
      </c>
      <c r="J1210" s="295"/>
      <c r="K1210" s="295"/>
      <c r="L1210" s="220">
        <f>I1210-J1210+K1210</f>
        <v>10000</v>
      </c>
      <c r="M1210" s="295">
        <v>10000</v>
      </c>
      <c r="N1210" s="295">
        <v>10000</v>
      </c>
      <c r="O1210" s="295">
        <v>10000</v>
      </c>
      <c r="P1210" s="295">
        <v>10000</v>
      </c>
      <c r="Q1210" s="295">
        <v>10000</v>
      </c>
    </row>
    <row r="1211" spans="1:19" customFormat="1" ht="16.5" customHeight="1" x14ac:dyDescent="0.3">
      <c r="A1211" s="283">
        <v>323</v>
      </c>
      <c r="B1211" s="284" t="s">
        <v>23</v>
      </c>
      <c r="C1211" s="221">
        <f>SUM(C1212,C1213,C1214)</f>
        <v>0</v>
      </c>
      <c r="D1211" s="221">
        <f t="shared" ref="D1211:L1211" si="1298">SUM(D1212,D1213,D1214)</f>
        <v>0</v>
      </c>
      <c r="E1211" s="221">
        <f t="shared" si="1298"/>
        <v>150000</v>
      </c>
      <c r="F1211" s="221">
        <f t="shared" si="1298"/>
        <v>150000</v>
      </c>
      <c r="G1211" s="221">
        <f t="shared" si="1298"/>
        <v>0</v>
      </c>
      <c r="H1211" s="221">
        <f t="shared" si="1298"/>
        <v>0</v>
      </c>
      <c r="I1211" s="221">
        <f t="shared" si="1298"/>
        <v>575000</v>
      </c>
      <c r="J1211" s="221">
        <f t="shared" si="1298"/>
        <v>300000</v>
      </c>
      <c r="K1211" s="221">
        <f t="shared" si="1298"/>
        <v>0</v>
      </c>
      <c r="L1211" s="221">
        <f t="shared" si="1298"/>
        <v>275000</v>
      </c>
      <c r="M1211" s="221">
        <f t="shared" ref="M1211:O1211" si="1299">SUM(M1212,M1213,M1214)</f>
        <v>325000</v>
      </c>
      <c r="N1211" s="221">
        <f t="shared" ref="N1211:P1211" si="1300">SUM(N1212,N1213,N1214)</f>
        <v>725000</v>
      </c>
      <c r="O1211" s="221">
        <f t="shared" si="1299"/>
        <v>1075000</v>
      </c>
      <c r="P1211" s="221">
        <f t="shared" si="1300"/>
        <v>675000</v>
      </c>
      <c r="Q1211" s="221">
        <f t="shared" ref="Q1211" si="1301">SUM(Q1212,Q1213,Q1214)</f>
        <v>675000</v>
      </c>
    </row>
    <row r="1212" spans="1:19" customFormat="1" ht="16.5" customHeight="1" x14ac:dyDescent="0.3">
      <c r="A1212" s="266">
        <v>3232</v>
      </c>
      <c r="B1212" s="267" t="s">
        <v>25</v>
      </c>
      <c r="C1212" s="296"/>
      <c r="D1212" s="296"/>
      <c r="E1212" s="296"/>
      <c r="F1212" s="296"/>
      <c r="G1212" s="296"/>
      <c r="H1212" s="296"/>
      <c r="I1212" s="295">
        <v>25000</v>
      </c>
      <c r="J1212" s="295"/>
      <c r="K1212" s="295"/>
      <c r="L1212" s="220">
        <f>I1212-J1212+K1212</f>
        <v>25000</v>
      </c>
      <c r="M1212" s="295">
        <v>25000</v>
      </c>
      <c r="N1212" s="295">
        <v>25000</v>
      </c>
      <c r="O1212" s="295">
        <v>25000</v>
      </c>
      <c r="P1212" s="295">
        <v>25000</v>
      </c>
      <c r="Q1212" s="295">
        <v>25000</v>
      </c>
    </row>
    <row r="1213" spans="1:19" customFormat="1" ht="16.5" customHeight="1" x14ac:dyDescent="0.3">
      <c r="A1213" s="266">
        <v>3233</v>
      </c>
      <c r="B1213" s="267" t="s">
        <v>26</v>
      </c>
      <c r="C1213" s="296"/>
      <c r="D1213" s="296"/>
      <c r="E1213" s="296"/>
      <c r="F1213" s="296"/>
      <c r="G1213" s="296"/>
      <c r="H1213" s="296"/>
      <c r="I1213" s="295">
        <v>50000</v>
      </c>
      <c r="J1213" s="295"/>
      <c r="K1213" s="295"/>
      <c r="L1213" s="220">
        <f>I1213-J1213+K1213</f>
        <v>50000</v>
      </c>
      <c r="M1213" s="295">
        <v>50000</v>
      </c>
      <c r="N1213" s="295">
        <v>50000</v>
      </c>
      <c r="O1213" s="295">
        <v>50000</v>
      </c>
      <c r="P1213" s="295">
        <v>50000</v>
      </c>
      <c r="Q1213" s="295">
        <v>50000</v>
      </c>
    </row>
    <row r="1214" spans="1:19" customFormat="1" ht="16.5" customHeight="1" x14ac:dyDescent="0.3">
      <c r="A1214" s="266">
        <v>3237</v>
      </c>
      <c r="B1214" s="267" t="s">
        <v>30</v>
      </c>
      <c r="C1214" s="295"/>
      <c r="D1214" s="295"/>
      <c r="E1214" s="295">
        <v>150000</v>
      </c>
      <c r="F1214" s="182">
        <f t="shared" ref="F1214" si="1302">C1214-D1214+E1214</f>
        <v>150000</v>
      </c>
      <c r="G1214" s="295"/>
      <c r="H1214" s="295"/>
      <c r="I1214" s="297">
        <f>1000000-500000</f>
        <v>500000</v>
      </c>
      <c r="J1214" s="297">
        <v>300000</v>
      </c>
      <c r="K1214" s="297"/>
      <c r="L1214" s="220">
        <f>I1214-J1214+K1214</f>
        <v>200000</v>
      </c>
      <c r="M1214" s="295">
        <v>250000</v>
      </c>
      <c r="N1214" s="295">
        <v>650000</v>
      </c>
      <c r="O1214" s="295">
        <v>1000000</v>
      </c>
      <c r="P1214" s="295">
        <v>600000</v>
      </c>
      <c r="Q1214" s="295">
        <v>600000</v>
      </c>
    </row>
    <row r="1215" spans="1:19" customFormat="1" ht="27" customHeight="1" x14ac:dyDescent="0.3">
      <c r="A1215" s="283">
        <v>324</v>
      </c>
      <c r="B1215" s="284" t="s">
        <v>32</v>
      </c>
      <c r="C1215" s="296">
        <f>SUM(C1216)</f>
        <v>0</v>
      </c>
      <c r="D1215" s="296">
        <f t="shared" ref="D1215:Q1215" si="1303">SUM(D1216)</f>
        <v>0</v>
      </c>
      <c r="E1215" s="296">
        <f t="shared" si="1303"/>
        <v>0</v>
      </c>
      <c r="F1215" s="296">
        <f t="shared" si="1303"/>
        <v>0</v>
      </c>
      <c r="G1215" s="296">
        <f t="shared" si="1303"/>
        <v>0</v>
      </c>
      <c r="H1215" s="296">
        <f t="shared" si="1303"/>
        <v>0</v>
      </c>
      <c r="I1215" s="296">
        <f t="shared" si="1303"/>
        <v>390000</v>
      </c>
      <c r="J1215" s="296">
        <f t="shared" si="1303"/>
        <v>300000</v>
      </c>
      <c r="K1215" s="296">
        <f t="shared" si="1303"/>
        <v>0</v>
      </c>
      <c r="L1215" s="296">
        <f t="shared" si="1303"/>
        <v>90000</v>
      </c>
      <c r="M1215" s="296">
        <f t="shared" si="1303"/>
        <v>250000</v>
      </c>
      <c r="N1215" s="296">
        <f t="shared" si="1303"/>
        <v>340000</v>
      </c>
      <c r="O1215" s="296">
        <f t="shared" si="1303"/>
        <v>300000</v>
      </c>
      <c r="P1215" s="296">
        <f t="shared" si="1303"/>
        <v>300000</v>
      </c>
      <c r="Q1215" s="296">
        <f t="shared" si="1303"/>
        <v>300000</v>
      </c>
    </row>
    <row r="1216" spans="1:19" customFormat="1" ht="24" customHeight="1" x14ac:dyDescent="0.3">
      <c r="A1216" s="266">
        <v>3241</v>
      </c>
      <c r="B1216" s="267" t="s">
        <v>32</v>
      </c>
      <c r="C1216" s="295"/>
      <c r="D1216" s="295"/>
      <c r="E1216" s="295"/>
      <c r="F1216" s="220"/>
      <c r="G1216" s="295"/>
      <c r="H1216" s="295"/>
      <c r="I1216" s="295">
        <v>390000</v>
      </c>
      <c r="J1216" s="295">
        <v>300000</v>
      </c>
      <c r="K1216" s="295"/>
      <c r="L1216" s="220">
        <f>I1216-J1216+K1216</f>
        <v>90000</v>
      </c>
      <c r="M1216" s="295">
        <v>250000</v>
      </c>
      <c r="N1216" s="295">
        <v>340000</v>
      </c>
      <c r="O1216" s="295">
        <v>300000</v>
      </c>
      <c r="P1216" s="295">
        <v>300000</v>
      </c>
      <c r="Q1216" s="295">
        <v>300000</v>
      </c>
    </row>
    <row r="1217" spans="1:17" customFormat="1" ht="16.5" hidden="1" customHeight="1" x14ac:dyDescent="0.3">
      <c r="A1217" s="298">
        <v>329</v>
      </c>
      <c r="B1217" s="284" t="s">
        <v>33</v>
      </c>
      <c r="C1217" s="296">
        <f>SUM(C1218)</f>
        <v>0</v>
      </c>
      <c r="D1217" s="296">
        <f t="shared" ref="D1217" si="1304">SUM(D1218)</f>
        <v>0</v>
      </c>
      <c r="E1217" s="296">
        <f>SUM(E1218)</f>
        <v>30000</v>
      </c>
      <c r="F1217" s="296">
        <f>SUM(F1218)</f>
        <v>30000</v>
      </c>
      <c r="G1217" s="296"/>
      <c r="H1217" s="296"/>
      <c r="I1217" s="296">
        <f>SUM(I1218)</f>
        <v>0</v>
      </c>
      <c r="J1217" s="296">
        <f t="shared" ref="J1217:Q1217" si="1305">SUM(J1218)</f>
        <v>0</v>
      </c>
      <c r="K1217" s="296">
        <f t="shared" si="1305"/>
        <v>0</v>
      </c>
      <c r="L1217" s="296">
        <f t="shared" si="1305"/>
        <v>0</v>
      </c>
      <c r="M1217" s="296">
        <f t="shared" si="1305"/>
        <v>0</v>
      </c>
      <c r="N1217" s="296">
        <f t="shared" si="1305"/>
        <v>0</v>
      </c>
      <c r="O1217" s="296">
        <f t="shared" si="1305"/>
        <v>0</v>
      </c>
      <c r="P1217" s="296">
        <f t="shared" si="1305"/>
        <v>0</v>
      </c>
      <c r="Q1217" s="296">
        <f t="shared" si="1305"/>
        <v>0</v>
      </c>
    </row>
    <row r="1218" spans="1:17" customFormat="1" ht="16.5" hidden="1" customHeight="1" x14ac:dyDescent="0.3">
      <c r="A1218" s="294">
        <v>3293</v>
      </c>
      <c r="B1218" s="292" t="s">
        <v>36</v>
      </c>
      <c r="C1218" s="295"/>
      <c r="D1218" s="295"/>
      <c r="E1218" s="295">
        <v>30000</v>
      </c>
      <c r="F1218" s="182">
        <f t="shared" ref="F1218" si="1306">C1218-D1218+E1218</f>
        <v>30000</v>
      </c>
      <c r="G1218" s="295"/>
      <c r="H1218" s="295"/>
      <c r="I1218" s="295"/>
      <c r="J1218" s="295"/>
      <c r="K1218" s="295"/>
      <c r="L1218" s="295"/>
      <c r="M1218" s="295"/>
      <c r="N1218" s="295"/>
      <c r="O1218" s="295"/>
      <c r="P1218" s="295"/>
      <c r="Q1218" s="295"/>
    </row>
    <row r="1219" spans="1:17" customFormat="1" ht="27.75" customHeight="1" x14ac:dyDescent="0.3">
      <c r="A1219" s="174">
        <v>41</v>
      </c>
      <c r="B1219" s="186" t="s">
        <v>328</v>
      </c>
      <c r="C1219" s="187">
        <f t="shared" ref="C1219:Q1220" si="1307">SUM(C1220)</f>
        <v>0</v>
      </c>
      <c r="D1219" s="187">
        <f t="shared" si="1307"/>
        <v>0</v>
      </c>
      <c r="E1219" s="187">
        <f t="shared" si="1307"/>
        <v>0</v>
      </c>
      <c r="F1219" s="187">
        <f t="shared" si="1307"/>
        <v>0</v>
      </c>
      <c r="G1219" s="187">
        <f t="shared" si="1307"/>
        <v>0</v>
      </c>
      <c r="H1219" s="187">
        <f t="shared" si="1307"/>
        <v>0</v>
      </c>
      <c r="I1219" s="187">
        <f t="shared" si="1307"/>
        <v>5000</v>
      </c>
      <c r="J1219" s="187">
        <f t="shared" si="1307"/>
        <v>0</v>
      </c>
      <c r="K1219" s="187">
        <f t="shared" si="1307"/>
        <v>0</v>
      </c>
      <c r="L1219" s="187">
        <f t="shared" si="1307"/>
        <v>5000</v>
      </c>
      <c r="M1219" s="187">
        <f t="shared" si="1307"/>
        <v>5000</v>
      </c>
      <c r="N1219" s="187">
        <f t="shared" si="1307"/>
        <v>5000</v>
      </c>
      <c r="O1219" s="187">
        <f t="shared" si="1307"/>
        <v>15000</v>
      </c>
      <c r="P1219" s="187">
        <f t="shared" si="1307"/>
        <v>15000</v>
      </c>
      <c r="Q1219" s="187">
        <f t="shared" si="1307"/>
        <v>15000</v>
      </c>
    </row>
    <row r="1220" spans="1:17" customFormat="1" ht="16.5" customHeight="1" x14ac:dyDescent="0.3">
      <c r="A1220" s="283">
        <v>412</v>
      </c>
      <c r="B1220" s="284" t="s">
        <v>67</v>
      </c>
      <c r="C1220" s="221">
        <f t="shared" si="1307"/>
        <v>0</v>
      </c>
      <c r="D1220" s="221">
        <f t="shared" si="1307"/>
        <v>0</v>
      </c>
      <c r="E1220" s="221">
        <f t="shared" si="1307"/>
        <v>0</v>
      </c>
      <c r="F1220" s="221">
        <f t="shared" si="1307"/>
        <v>0</v>
      </c>
      <c r="G1220" s="221">
        <f t="shared" si="1307"/>
        <v>0</v>
      </c>
      <c r="H1220" s="221">
        <f t="shared" si="1307"/>
        <v>0</v>
      </c>
      <c r="I1220" s="221">
        <f t="shared" si="1307"/>
        <v>5000</v>
      </c>
      <c r="J1220" s="221">
        <f t="shared" si="1307"/>
        <v>0</v>
      </c>
      <c r="K1220" s="221">
        <f t="shared" si="1307"/>
        <v>0</v>
      </c>
      <c r="L1220" s="221">
        <f t="shared" si="1307"/>
        <v>5000</v>
      </c>
      <c r="M1220" s="221">
        <f t="shared" si="1307"/>
        <v>5000</v>
      </c>
      <c r="N1220" s="221">
        <f t="shared" si="1307"/>
        <v>5000</v>
      </c>
      <c r="O1220" s="221">
        <f t="shared" si="1307"/>
        <v>15000</v>
      </c>
      <c r="P1220" s="221">
        <f t="shared" si="1307"/>
        <v>15000</v>
      </c>
      <c r="Q1220" s="221">
        <f t="shared" si="1307"/>
        <v>15000</v>
      </c>
    </row>
    <row r="1221" spans="1:17" customFormat="1" ht="16.5" customHeight="1" x14ac:dyDescent="0.3">
      <c r="A1221" s="266">
        <v>4123</v>
      </c>
      <c r="B1221" s="267" t="s">
        <v>68</v>
      </c>
      <c r="C1221" s="197">
        <v>0</v>
      </c>
      <c r="D1221" s="197"/>
      <c r="E1221" s="197"/>
      <c r="F1221" s="182">
        <f t="shared" ref="F1221" si="1308">C1221-D1221+E1221</f>
        <v>0</v>
      </c>
      <c r="G1221" s="197">
        <v>0</v>
      </c>
      <c r="H1221" s="197">
        <v>0</v>
      </c>
      <c r="I1221" s="197">
        <v>5000</v>
      </c>
      <c r="J1221" s="295"/>
      <c r="K1221" s="295"/>
      <c r="L1221" s="220">
        <f>I1221-J1221+K1221</f>
        <v>5000</v>
      </c>
      <c r="M1221" s="197">
        <v>5000</v>
      </c>
      <c r="N1221" s="197">
        <v>5000</v>
      </c>
      <c r="O1221" s="197">
        <v>15000</v>
      </c>
      <c r="P1221" s="197">
        <v>15000</v>
      </c>
      <c r="Q1221" s="197">
        <v>15000</v>
      </c>
    </row>
    <row r="1222" spans="1:17" customFormat="1" ht="30.75" customHeight="1" x14ac:dyDescent="0.3">
      <c r="A1222" s="281">
        <v>42</v>
      </c>
      <c r="B1222" s="186" t="s">
        <v>324</v>
      </c>
      <c r="C1222" s="187">
        <f>SUM(C1223,C1228,C1230)</f>
        <v>0</v>
      </c>
      <c r="D1222" s="187">
        <f t="shared" ref="D1222:L1222" si="1309">SUM(D1223,D1228,D1230)</f>
        <v>0</v>
      </c>
      <c r="E1222" s="187">
        <f t="shared" si="1309"/>
        <v>10000</v>
      </c>
      <c r="F1222" s="187">
        <f t="shared" si="1309"/>
        <v>10000</v>
      </c>
      <c r="G1222" s="187">
        <f t="shared" si="1309"/>
        <v>0</v>
      </c>
      <c r="H1222" s="187">
        <f t="shared" si="1309"/>
        <v>0</v>
      </c>
      <c r="I1222" s="187">
        <f t="shared" si="1309"/>
        <v>70000</v>
      </c>
      <c r="J1222" s="187">
        <f t="shared" si="1309"/>
        <v>0</v>
      </c>
      <c r="K1222" s="187">
        <f t="shared" si="1309"/>
        <v>600000</v>
      </c>
      <c r="L1222" s="187">
        <f t="shared" si="1309"/>
        <v>670000</v>
      </c>
      <c r="M1222" s="187">
        <f t="shared" ref="M1222:O1222" si="1310">SUM(M1223,M1228,M1230)</f>
        <v>610000</v>
      </c>
      <c r="N1222" s="187">
        <f t="shared" ref="N1222:P1222" si="1311">SUM(N1223,N1228,N1230)</f>
        <v>160000</v>
      </c>
      <c r="O1222" s="187">
        <f t="shared" si="1310"/>
        <v>115000</v>
      </c>
      <c r="P1222" s="187">
        <f t="shared" si="1311"/>
        <v>215000</v>
      </c>
      <c r="Q1222" s="187">
        <f t="shared" ref="Q1222" si="1312">SUM(Q1223,Q1228,Q1230)</f>
        <v>215000</v>
      </c>
    </row>
    <row r="1223" spans="1:17" customFormat="1" ht="16.5" customHeight="1" x14ac:dyDescent="0.3">
      <c r="A1223" s="283">
        <v>422</v>
      </c>
      <c r="B1223" s="284" t="s">
        <v>53</v>
      </c>
      <c r="C1223" s="221">
        <f>SUM(C1224,C1225,C1226,C1227)</f>
        <v>0</v>
      </c>
      <c r="D1223" s="221">
        <f t="shared" ref="D1223:L1223" si="1313">SUM(D1224,D1225,D1226,D1227)</f>
        <v>0</v>
      </c>
      <c r="E1223" s="221">
        <f t="shared" si="1313"/>
        <v>10000</v>
      </c>
      <c r="F1223" s="221">
        <f t="shared" si="1313"/>
        <v>10000</v>
      </c>
      <c r="G1223" s="221">
        <f t="shared" si="1313"/>
        <v>0</v>
      </c>
      <c r="H1223" s="221">
        <f t="shared" si="1313"/>
        <v>0</v>
      </c>
      <c r="I1223" s="221">
        <f t="shared" si="1313"/>
        <v>65000</v>
      </c>
      <c r="J1223" s="221">
        <f t="shared" si="1313"/>
        <v>0</v>
      </c>
      <c r="K1223" s="221">
        <f t="shared" si="1313"/>
        <v>0</v>
      </c>
      <c r="L1223" s="221">
        <f t="shared" si="1313"/>
        <v>65000</v>
      </c>
      <c r="M1223" s="221">
        <f t="shared" ref="M1223:O1223" si="1314">SUM(M1224,M1225,M1226,M1227)</f>
        <v>105000</v>
      </c>
      <c r="N1223" s="221">
        <f t="shared" ref="N1223:P1223" si="1315">SUM(N1224,N1225,N1226,N1227)</f>
        <v>155000</v>
      </c>
      <c r="O1223" s="221">
        <f t="shared" si="1314"/>
        <v>110000</v>
      </c>
      <c r="P1223" s="221">
        <f t="shared" si="1315"/>
        <v>110000</v>
      </c>
      <c r="Q1223" s="221">
        <f t="shared" ref="Q1223" si="1316">SUM(Q1224,Q1225,Q1226,Q1227)</f>
        <v>110000</v>
      </c>
    </row>
    <row r="1224" spans="1:17" customFormat="1" ht="16.5" customHeight="1" x14ac:dyDescent="0.3">
      <c r="A1224" s="266">
        <v>4221</v>
      </c>
      <c r="B1224" s="267" t="s">
        <v>54</v>
      </c>
      <c r="C1224" s="197"/>
      <c r="D1224" s="197"/>
      <c r="E1224" s="197">
        <v>10000</v>
      </c>
      <c r="F1224" s="182">
        <f t="shared" ref="F1224" si="1317">C1224-D1224+E1224</f>
        <v>10000</v>
      </c>
      <c r="G1224" s="197"/>
      <c r="H1224" s="197"/>
      <c r="I1224" s="197">
        <v>50000</v>
      </c>
      <c r="J1224" s="295"/>
      <c r="K1224" s="295"/>
      <c r="L1224" s="220">
        <f>I1224-J1224+K1224</f>
        <v>50000</v>
      </c>
      <c r="M1224" s="197">
        <v>50000</v>
      </c>
      <c r="N1224" s="197">
        <v>100000</v>
      </c>
      <c r="O1224" s="197">
        <v>50000</v>
      </c>
      <c r="P1224" s="197">
        <v>50000</v>
      </c>
      <c r="Q1224" s="197">
        <v>50000</v>
      </c>
    </row>
    <row r="1225" spans="1:17" customFormat="1" ht="16.05" customHeight="1" x14ac:dyDescent="0.3">
      <c r="A1225" s="266">
        <v>4222</v>
      </c>
      <c r="B1225" s="267" t="s">
        <v>58</v>
      </c>
      <c r="C1225" s="197"/>
      <c r="D1225" s="197"/>
      <c r="E1225" s="197"/>
      <c r="F1225" s="182"/>
      <c r="G1225" s="197"/>
      <c r="H1225" s="197"/>
      <c r="I1225" s="197">
        <v>10000</v>
      </c>
      <c r="J1225" s="295"/>
      <c r="K1225" s="295"/>
      <c r="L1225" s="220">
        <f>I1225-J1225+K1225</f>
        <v>10000</v>
      </c>
      <c r="M1225" s="197">
        <v>50000</v>
      </c>
      <c r="N1225" s="197">
        <v>50000</v>
      </c>
      <c r="O1225" s="197">
        <v>50000</v>
      </c>
      <c r="P1225" s="197">
        <v>50000</v>
      </c>
      <c r="Q1225" s="197">
        <v>50000</v>
      </c>
    </row>
    <row r="1226" spans="1:17" customFormat="1" ht="16.5" hidden="1" customHeight="1" x14ac:dyDescent="0.3">
      <c r="A1226" s="266">
        <v>4223</v>
      </c>
      <c r="B1226" s="267" t="s">
        <v>59</v>
      </c>
      <c r="C1226" s="197"/>
      <c r="D1226" s="197"/>
      <c r="E1226" s="197"/>
      <c r="F1226" s="182"/>
      <c r="G1226" s="197"/>
      <c r="H1226" s="197"/>
      <c r="I1226" s="197"/>
      <c r="J1226" s="295"/>
      <c r="K1226" s="295"/>
      <c r="L1226" s="295"/>
      <c r="M1226" s="197"/>
      <c r="N1226" s="197"/>
      <c r="O1226" s="197"/>
      <c r="P1226" s="197"/>
      <c r="Q1226" s="197"/>
    </row>
    <row r="1227" spans="1:17" customFormat="1" ht="14.4" x14ac:dyDescent="0.3">
      <c r="A1227" s="266">
        <v>4227</v>
      </c>
      <c r="B1227" s="267" t="s">
        <v>60</v>
      </c>
      <c r="C1227" s="197"/>
      <c r="D1227" s="197"/>
      <c r="E1227" s="197"/>
      <c r="F1227" s="182"/>
      <c r="G1227" s="197"/>
      <c r="H1227" s="197"/>
      <c r="I1227" s="197">
        <v>5000</v>
      </c>
      <c r="J1227" s="295"/>
      <c r="K1227" s="295"/>
      <c r="L1227" s="220">
        <f>I1227-J1227+K1227</f>
        <v>5000</v>
      </c>
      <c r="M1227" s="197">
        <v>5000</v>
      </c>
      <c r="N1227" s="197">
        <v>5000</v>
      </c>
      <c r="O1227" s="197">
        <v>10000</v>
      </c>
      <c r="P1227" s="197">
        <v>10000</v>
      </c>
      <c r="Q1227" s="197">
        <v>10000</v>
      </c>
    </row>
    <row r="1228" spans="1:17" customFormat="1" ht="14.4" x14ac:dyDescent="0.3">
      <c r="A1228" s="283">
        <v>423</v>
      </c>
      <c r="B1228" s="284" t="s">
        <v>61</v>
      </c>
      <c r="C1228" s="221">
        <f>SUM(C1229)</f>
        <v>0</v>
      </c>
      <c r="D1228" s="221">
        <f t="shared" ref="D1228:Q1228" si="1318">SUM(D1229)</f>
        <v>0</v>
      </c>
      <c r="E1228" s="221">
        <f t="shared" si="1318"/>
        <v>0</v>
      </c>
      <c r="F1228" s="221">
        <f t="shared" si="1318"/>
        <v>0</v>
      </c>
      <c r="G1228" s="221">
        <f t="shared" si="1318"/>
        <v>0</v>
      </c>
      <c r="H1228" s="221">
        <f t="shared" si="1318"/>
        <v>0</v>
      </c>
      <c r="I1228" s="221">
        <f t="shared" si="1318"/>
        <v>0</v>
      </c>
      <c r="J1228" s="221">
        <f t="shared" si="1318"/>
        <v>0</v>
      </c>
      <c r="K1228" s="221">
        <f t="shared" si="1318"/>
        <v>0</v>
      </c>
      <c r="L1228" s="221">
        <f t="shared" si="1318"/>
        <v>0</v>
      </c>
      <c r="M1228" s="221">
        <f t="shared" si="1318"/>
        <v>500000</v>
      </c>
      <c r="N1228" s="221">
        <f t="shared" si="1318"/>
        <v>0</v>
      </c>
      <c r="O1228" s="221">
        <f t="shared" si="1318"/>
        <v>0</v>
      </c>
      <c r="P1228" s="221">
        <f t="shared" si="1318"/>
        <v>100000</v>
      </c>
      <c r="Q1228" s="221">
        <f t="shared" si="1318"/>
        <v>100000</v>
      </c>
    </row>
    <row r="1229" spans="1:17" customFormat="1" ht="14.4" x14ac:dyDescent="0.3">
      <c r="A1229" s="266">
        <v>4231</v>
      </c>
      <c r="B1229" s="267" t="s">
        <v>62</v>
      </c>
      <c r="C1229" s="197"/>
      <c r="D1229" s="197"/>
      <c r="E1229" s="197"/>
      <c r="F1229" s="182"/>
      <c r="G1229" s="197"/>
      <c r="H1229" s="197"/>
      <c r="I1229" s="197"/>
      <c r="J1229" s="295"/>
      <c r="K1229" s="295"/>
      <c r="L1229" s="295"/>
      <c r="M1229" s="197">
        <v>500000</v>
      </c>
      <c r="N1229" s="197"/>
      <c r="O1229" s="197"/>
      <c r="P1229" s="197">
        <v>100000</v>
      </c>
      <c r="Q1229" s="197">
        <v>100000</v>
      </c>
    </row>
    <row r="1230" spans="1:17" customFormat="1" ht="16.5" customHeight="1" x14ac:dyDescent="0.3">
      <c r="A1230" s="283">
        <v>426</v>
      </c>
      <c r="B1230" s="284" t="s">
        <v>73</v>
      </c>
      <c r="C1230" s="221">
        <f t="shared" ref="C1230:Q1230" si="1319">SUM(C1231)</f>
        <v>0</v>
      </c>
      <c r="D1230" s="221">
        <f t="shared" si="1319"/>
        <v>0</v>
      </c>
      <c r="E1230" s="221">
        <f t="shared" si="1319"/>
        <v>0</v>
      </c>
      <c r="F1230" s="221">
        <f t="shared" si="1319"/>
        <v>0</v>
      </c>
      <c r="G1230" s="221">
        <f t="shared" si="1319"/>
        <v>0</v>
      </c>
      <c r="H1230" s="221">
        <f t="shared" si="1319"/>
        <v>0</v>
      </c>
      <c r="I1230" s="221">
        <f t="shared" si="1319"/>
        <v>5000</v>
      </c>
      <c r="J1230" s="221">
        <f t="shared" si="1319"/>
        <v>0</v>
      </c>
      <c r="K1230" s="221">
        <f t="shared" si="1319"/>
        <v>600000</v>
      </c>
      <c r="L1230" s="221">
        <f t="shared" si="1319"/>
        <v>605000</v>
      </c>
      <c r="M1230" s="221">
        <f t="shared" si="1319"/>
        <v>5000</v>
      </c>
      <c r="N1230" s="221">
        <f t="shared" si="1319"/>
        <v>5000</v>
      </c>
      <c r="O1230" s="221">
        <f t="shared" si="1319"/>
        <v>5000</v>
      </c>
      <c r="P1230" s="221">
        <f t="shared" si="1319"/>
        <v>5000</v>
      </c>
      <c r="Q1230" s="221">
        <f t="shared" si="1319"/>
        <v>5000</v>
      </c>
    </row>
    <row r="1231" spans="1:17" customFormat="1" ht="16.5" customHeight="1" x14ac:dyDescent="0.3">
      <c r="A1231" s="266">
        <v>4262</v>
      </c>
      <c r="B1231" s="267" t="s">
        <v>88</v>
      </c>
      <c r="C1231" s="197"/>
      <c r="D1231" s="197"/>
      <c r="E1231" s="197"/>
      <c r="F1231" s="182"/>
      <c r="G1231" s="197"/>
      <c r="H1231" s="197"/>
      <c r="I1231" s="197">
        <v>5000</v>
      </c>
      <c r="J1231" s="295"/>
      <c r="K1231" s="295">
        <v>600000</v>
      </c>
      <c r="L1231" s="220">
        <f>I1231-J1231+K1231</f>
        <v>605000</v>
      </c>
      <c r="M1231" s="197">
        <v>5000</v>
      </c>
      <c r="N1231" s="197">
        <v>5000</v>
      </c>
      <c r="O1231" s="197">
        <v>5000</v>
      </c>
      <c r="P1231" s="197">
        <v>5000</v>
      </c>
      <c r="Q1231" s="197">
        <v>5000</v>
      </c>
    </row>
    <row r="1232" spans="1:17" customFormat="1" ht="32.25" customHeight="1" x14ac:dyDescent="0.3">
      <c r="A1232" s="281">
        <v>45</v>
      </c>
      <c r="B1232" s="210" t="s">
        <v>326</v>
      </c>
      <c r="C1232" s="187">
        <f t="shared" ref="C1232:Q1233" si="1320">SUM(C1233)</f>
        <v>0</v>
      </c>
      <c r="D1232" s="187">
        <f t="shared" si="1320"/>
        <v>0</v>
      </c>
      <c r="E1232" s="187">
        <f t="shared" si="1320"/>
        <v>200000</v>
      </c>
      <c r="F1232" s="187">
        <f t="shared" si="1320"/>
        <v>200000</v>
      </c>
      <c r="G1232" s="187">
        <f t="shared" si="1320"/>
        <v>0</v>
      </c>
      <c r="H1232" s="187">
        <f t="shared" si="1320"/>
        <v>0</v>
      </c>
      <c r="I1232" s="187">
        <f t="shared" si="1320"/>
        <v>0</v>
      </c>
      <c r="J1232" s="187">
        <f t="shared" si="1320"/>
        <v>0</v>
      </c>
      <c r="K1232" s="187">
        <f t="shared" si="1320"/>
        <v>50000</v>
      </c>
      <c r="L1232" s="187">
        <f t="shared" si="1320"/>
        <v>50000</v>
      </c>
      <c r="M1232" s="187">
        <f t="shared" si="1320"/>
        <v>20000</v>
      </c>
      <c r="N1232" s="187">
        <f t="shared" si="1320"/>
        <v>50000</v>
      </c>
      <c r="O1232" s="187">
        <f t="shared" si="1320"/>
        <v>20000</v>
      </c>
      <c r="P1232" s="187">
        <f t="shared" si="1320"/>
        <v>20000</v>
      </c>
      <c r="Q1232" s="187">
        <f t="shared" si="1320"/>
        <v>20000</v>
      </c>
    </row>
    <row r="1233" spans="1:17" customFormat="1" ht="22.5" customHeight="1" x14ac:dyDescent="0.3">
      <c r="A1233" s="283">
        <v>451</v>
      </c>
      <c r="B1233" s="284" t="s">
        <v>55</v>
      </c>
      <c r="C1233" s="221">
        <f t="shared" si="1320"/>
        <v>0</v>
      </c>
      <c r="D1233" s="221">
        <f t="shared" si="1320"/>
        <v>0</v>
      </c>
      <c r="E1233" s="221">
        <f t="shared" si="1320"/>
        <v>200000</v>
      </c>
      <c r="F1233" s="296">
        <f>SUM(F1234)</f>
        <v>200000</v>
      </c>
      <c r="G1233" s="221">
        <f t="shared" si="1320"/>
        <v>0</v>
      </c>
      <c r="H1233" s="221">
        <f t="shared" si="1320"/>
        <v>0</v>
      </c>
      <c r="I1233" s="221">
        <f t="shared" si="1320"/>
        <v>0</v>
      </c>
      <c r="J1233" s="221">
        <f t="shared" si="1320"/>
        <v>0</v>
      </c>
      <c r="K1233" s="221">
        <f t="shared" si="1320"/>
        <v>50000</v>
      </c>
      <c r="L1233" s="221">
        <f t="shared" si="1320"/>
        <v>50000</v>
      </c>
      <c r="M1233" s="221">
        <f t="shared" si="1320"/>
        <v>20000</v>
      </c>
      <c r="N1233" s="221">
        <f t="shared" si="1320"/>
        <v>50000</v>
      </c>
      <c r="O1233" s="221">
        <f t="shared" si="1320"/>
        <v>20000</v>
      </c>
      <c r="P1233" s="221">
        <f t="shared" si="1320"/>
        <v>20000</v>
      </c>
      <c r="Q1233" s="221">
        <f t="shared" si="1320"/>
        <v>20000</v>
      </c>
    </row>
    <row r="1234" spans="1:17" customFormat="1" ht="25.5" customHeight="1" x14ac:dyDescent="0.3">
      <c r="A1234" s="266">
        <v>4511</v>
      </c>
      <c r="B1234" s="267" t="s">
        <v>55</v>
      </c>
      <c r="C1234" s="197"/>
      <c r="D1234" s="197"/>
      <c r="E1234" s="197">
        <v>200000</v>
      </c>
      <c r="F1234" s="182">
        <f t="shared" ref="F1234" si="1321">C1234-D1234+E1234</f>
        <v>200000</v>
      </c>
      <c r="G1234" s="197"/>
      <c r="H1234" s="197"/>
      <c r="I1234" s="197"/>
      <c r="J1234" s="295"/>
      <c r="K1234" s="295">
        <v>50000</v>
      </c>
      <c r="L1234" s="295">
        <f>I1234-J1234+K1234</f>
        <v>50000</v>
      </c>
      <c r="M1234" s="197">
        <v>20000</v>
      </c>
      <c r="N1234" s="197">
        <v>50000</v>
      </c>
      <c r="O1234" s="197">
        <v>20000</v>
      </c>
      <c r="P1234" s="197">
        <v>20000</v>
      </c>
      <c r="Q1234" s="197">
        <v>20000</v>
      </c>
    </row>
    <row r="1235" spans="1:17" customFormat="1" ht="29.25" hidden="1" customHeight="1" x14ac:dyDescent="0.3">
      <c r="A1235" s="414" t="s">
        <v>299</v>
      </c>
      <c r="B1235" s="413" t="s">
        <v>310</v>
      </c>
      <c r="C1235" s="285">
        <f>SUM(C1236,C1249)</f>
        <v>13125015</v>
      </c>
      <c r="D1235" s="285">
        <f t="shared" ref="D1235:F1235" si="1322">SUM(D1236,D1249)</f>
        <v>0</v>
      </c>
      <c r="E1235" s="285">
        <f t="shared" si="1322"/>
        <v>0</v>
      </c>
      <c r="F1235" s="285">
        <f t="shared" si="1322"/>
        <v>13125015</v>
      </c>
      <c r="G1235" s="285">
        <f t="shared" ref="G1235:H1235" si="1323">SUM(G1236,G1249)</f>
        <v>0</v>
      </c>
      <c r="H1235" s="285">
        <f t="shared" si="1323"/>
        <v>0</v>
      </c>
      <c r="I1235" s="285">
        <f t="shared" ref="I1235:M1235" si="1324">SUM(I1236,I1249)</f>
        <v>0</v>
      </c>
      <c r="J1235" s="285">
        <f t="shared" si="1324"/>
        <v>0</v>
      </c>
      <c r="K1235" s="285">
        <f t="shared" si="1324"/>
        <v>0</v>
      </c>
      <c r="L1235" s="285">
        <f t="shared" si="1324"/>
        <v>0</v>
      </c>
      <c r="M1235" s="285">
        <f t="shared" si="1324"/>
        <v>0</v>
      </c>
      <c r="N1235" s="285">
        <f t="shared" ref="N1235:O1235" si="1325">SUM(N1236,N1249)</f>
        <v>0</v>
      </c>
      <c r="O1235" s="285">
        <f t="shared" si="1325"/>
        <v>0</v>
      </c>
      <c r="P1235" s="285">
        <f t="shared" ref="P1235:Q1235" si="1326">SUM(P1236,P1249)</f>
        <v>0</v>
      </c>
      <c r="Q1235" s="285">
        <f t="shared" si="1326"/>
        <v>0</v>
      </c>
    </row>
    <row r="1236" spans="1:17" customFormat="1" ht="17.100000000000001" hidden="1" customHeight="1" x14ac:dyDescent="0.3">
      <c r="A1236" s="721" t="s">
        <v>305</v>
      </c>
      <c r="B1236" s="721"/>
      <c r="C1236" s="173">
        <f>SUM(C1237,C1241,C1246)</f>
        <v>1461544</v>
      </c>
      <c r="D1236" s="173">
        <f t="shared" ref="D1236:F1236" si="1327">SUM(D1237,D1241,D1246)</f>
        <v>0</v>
      </c>
      <c r="E1236" s="173">
        <f t="shared" si="1327"/>
        <v>0</v>
      </c>
      <c r="F1236" s="173">
        <f t="shared" si="1327"/>
        <v>1461544</v>
      </c>
      <c r="G1236" s="173">
        <f t="shared" ref="G1236:H1236" si="1328">SUM(G1237,G1241,G1246)</f>
        <v>0</v>
      </c>
      <c r="H1236" s="173">
        <f t="shared" si="1328"/>
        <v>0</v>
      </c>
      <c r="I1236" s="173">
        <f t="shared" ref="I1236:M1236" si="1329">SUM(I1237,I1241,I1246)</f>
        <v>0</v>
      </c>
      <c r="J1236" s="173">
        <f t="shared" si="1329"/>
        <v>0</v>
      </c>
      <c r="K1236" s="173">
        <f t="shared" si="1329"/>
        <v>0</v>
      </c>
      <c r="L1236" s="173">
        <f t="shared" si="1329"/>
        <v>0</v>
      </c>
      <c r="M1236" s="173">
        <f t="shared" si="1329"/>
        <v>0</v>
      </c>
      <c r="N1236" s="173">
        <f t="shared" ref="N1236:O1236" si="1330">SUM(N1237,N1241,N1246)</f>
        <v>0</v>
      </c>
      <c r="O1236" s="173">
        <f t="shared" si="1330"/>
        <v>0</v>
      </c>
      <c r="P1236" s="173">
        <f t="shared" ref="P1236:Q1236" si="1331">SUM(P1237,P1241,P1246)</f>
        <v>0</v>
      </c>
      <c r="Q1236" s="173">
        <f t="shared" si="1331"/>
        <v>0</v>
      </c>
    </row>
    <row r="1237" spans="1:17" customFormat="1" ht="27" hidden="1" customHeight="1" x14ac:dyDescent="0.3">
      <c r="A1237" s="174">
        <v>36</v>
      </c>
      <c r="B1237" s="186" t="s">
        <v>334</v>
      </c>
      <c r="C1237" s="218">
        <f>SUM(C1238)</f>
        <v>551000</v>
      </c>
      <c r="D1237" s="218">
        <f t="shared" ref="D1237:Q1237" si="1332">SUM(D1238)</f>
        <v>0</v>
      </c>
      <c r="E1237" s="218">
        <f t="shared" si="1332"/>
        <v>0</v>
      </c>
      <c r="F1237" s="218">
        <f t="shared" si="1332"/>
        <v>551000</v>
      </c>
      <c r="G1237" s="218">
        <f t="shared" si="1332"/>
        <v>0</v>
      </c>
      <c r="H1237" s="218">
        <f t="shared" si="1332"/>
        <v>0</v>
      </c>
      <c r="I1237" s="218">
        <f t="shared" si="1332"/>
        <v>0</v>
      </c>
      <c r="J1237" s="218">
        <f t="shared" si="1332"/>
        <v>0</v>
      </c>
      <c r="K1237" s="218">
        <f t="shared" si="1332"/>
        <v>0</v>
      </c>
      <c r="L1237" s="218">
        <f t="shared" si="1332"/>
        <v>0</v>
      </c>
      <c r="M1237" s="218">
        <f t="shared" si="1332"/>
        <v>0</v>
      </c>
      <c r="N1237" s="218">
        <f t="shared" si="1332"/>
        <v>0</v>
      </c>
      <c r="O1237" s="218">
        <f t="shared" si="1332"/>
        <v>0</v>
      </c>
      <c r="P1237" s="218">
        <f t="shared" si="1332"/>
        <v>0</v>
      </c>
      <c r="Q1237" s="218">
        <f t="shared" si="1332"/>
        <v>0</v>
      </c>
    </row>
    <row r="1238" spans="1:17" customFormat="1" ht="17.100000000000001" hidden="1" customHeight="1" x14ac:dyDescent="0.3">
      <c r="A1238" s="264">
        <v>368</v>
      </c>
      <c r="B1238" s="276" t="s">
        <v>308</v>
      </c>
      <c r="C1238" s="299">
        <f t="shared" ref="C1238:F1238" si="1333">SUM(C1239,C1240)</f>
        <v>551000</v>
      </c>
      <c r="D1238" s="299">
        <f t="shared" si="1333"/>
        <v>0</v>
      </c>
      <c r="E1238" s="299">
        <f t="shared" si="1333"/>
        <v>0</v>
      </c>
      <c r="F1238" s="299">
        <f t="shared" si="1333"/>
        <v>551000</v>
      </c>
      <c r="G1238" s="299">
        <f t="shared" ref="G1238:H1238" si="1334">SUM(G1239,G1240)</f>
        <v>0</v>
      </c>
      <c r="H1238" s="299">
        <f t="shared" si="1334"/>
        <v>0</v>
      </c>
      <c r="I1238" s="299">
        <f t="shared" ref="I1238:M1238" si="1335">SUM(I1239,I1240)</f>
        <v>0</v>
      </c>
      <c r="J1238" s="299">
        <f t="shared" si="1335"/>
        <v>0</v>
      </c>
      <c r="K1238" s="299">
        <f t="shared" si="1335"/>
        <v>0</v>
      </c>
      <c r="L1238" s="299">
        <f t="shared" si="1335"/>
        <v>0</v>
      </c>
      <c r="M1238" s="299">
        <f t="shared" si="1335"/>
        <v>0</v>
      </c>
      <c r="N1238" s="299">
        <f t="shared" ref="N1238:O1238" si="1336">SUM(N1239,N1240)</f>
        <v>0</v>
      </c>
      <c r="O1238" s="299">
        <f t="shared" si="1336"/>
        <v>0</v>
      </c>
      <c r="P1238" s="299">
        <f t="shared" ref="P1238:Q1238" si="1337">SUM(P1239,P1240)</f>
        <v>0</v>
      </c>
      <c r="Q1238" s="299">
        <f t="shared" si="1337"/>
        <v>0</v>
      </c>
    </row>
    <row r="1239" spans="1:17" customFormat="1" ht="17.100000000000001" hidden="1" customHeight="1" x14ac:dyDescent="0.3">
      <c r="A1239" s="200">
        <v>3681</v>
      </c>
      <c r="B1239" s="253" t="s">
        <v>306</v>
      </c>
      <c r="C1239" s="195">
        <v>500000</v>
      </c>
      <c r="D1239" s="195"/>
      <c r="E1239" s="195"/>
      <c r="F1239" s="182">
        <f t="shared" ref="F1239:F1245" si="1338">C1239-D1239+E1239</f>
        <v>500000</v>
      </c>
      <c r="G1239" s="195"/>
      <c r="H1239" s="195"/>
      <c r="I1239" s="195"/>
      <c r="J1239" s="297"/>
      <c r="K1239" s="297"/>
      <c r="L1239" s="297"/>
      <c r="M1239" s="195"/>
      <c r="N1239" s="195"/>
      <c r="O1239" s="195"/>
      <c r="P1239" s="195"/>
      <c r="Q1239" s="195"/>
    </row>
    <row r="1240" spans="1:17" customFormat="1" ht="17.100000000000001" hidden="1" customHeight="1" x14ac:dyDescent="0.3">
      <c r="A1240" s="200">
        <v>3682</v>
      </c>
      <c r="B1240" s="253" t="s">
        <v>307</v>
      </c>
      <c r="C1240" s="195">
        <v>51000</v>
      </c>
      <c r="D1240" s="194"/>
      <c r="E1240" s="194"/>
      <c r="F1240" s="182">
        <f t="shared" si="1338"/>
        <v>51000</v>
      </c>
      <c r="G1240" s="194"/>
      <c r="H1240" s="194"/>
      <c r="I1240" s="194"/>
      <c r="J1240" s="389"/>
      <c r="K1240" s="389"/>
      <c r="L1240" s="389"/>
      <c r="M1240" s="194"/>
      <c r="N1240" s="194"/>
      <c r="O1240" s="194"/>
      <c r="P1240" s="194"/>
      <c r="Q1240" s="194"/>
    </row>
    <row r="1241" spans="1:17" customFormat="1" ht="17.100000000000001" hidden="1" customHeight="1" x14ac:dyDescent="0.3">
      <c r="A1241" s="281">
        <v>38</v>
      </c>
      <c r="B1241" s="282" t="s">
        <v>314</v>
      </c>
      <c r="C1241" s="187">
        <f>SUM(C1242,C1244)</f>
        <v>200000</v>
      </c>
      <c r="D1241" s="187">
        <f t="shared" ref="D1241:F1241" si="1339">SUM(D1242,D1244)</f>
        <v>0</v>
      </c>
      <c r="E1241" s="187">
        <f t="shared" si="1339"/>
        <v>0</v>
      </c>
      <c r="F1241" s="187">
        <f t="shared" si="1339"/>
        <v>200000</v>
      </c>
      <c r="G1241" s="187">
        <f t="shared" ref="G1241:H1241" si="1340">SUM(G1242,G1244)</f>
        <v>0</v>
      </c>
      <c r="H1241" s="187">
        <f t="shared" si="1340"/>
        <v>0</v>
      </c>
      <c r="I1241" s="187">
        <f t="shared" ref="I1241:M1241" si="1341">SUM(I1242,I1244)</f>
        <v>0</v>
      </c>
      <c r="J1241" s="187">
        <f t="shared" si="1341"/>
        <v>0</v>
      </c>
      <c r="K1241" s="187">
        <f t="shared" si="1341"/>
        <v>0</v>
      </c>
      <c r="L1241" s="187">
        <f t="shared" si="1341"/>
        <v>0</v>
      </c>
      <c r="M1241" s="187">
        <f t="shared" si="1341"/>
        <v>0</v>
      </c>
      <c r="N1241" s="187">
        <f t="shared" ref="N1241:O1241" si="1342">SUM(N1242,N1244)</f>
        <v>0</v>
      </c>
      <c r="O1241" s="187">
        <f t="shared" si="1342"/>
        <v>0</v>
      </c>
      <c r="P1241" s="187">
        <f t="shared" ref="P1241:Q1241" si="1343">SUM(P1242,P1244)</f>
        <v>0</v>
      </c>
      <c r="Q1241" s="187">
        <f t="shared" si="1343"/>
        <v>0</v>
      </c>
    </row>
    <row r="1242" spans="1:17" customFormat="1" ht="17.100000000000001" hidden="1" customHeight="1" x14ac:dyDescent="0.3">
      <c r="A1242" s="264">
        <v>381</v>
      </c>
      <c r="B1242" s="276" t="s">
        <v>124</v>
      </c>
      <c r="C1242" s="299">
        <f t="shared" ref="C1242:Q1247" si="1344">SUM(C1243)</f>
        <v>100000</v>
      </c>
      <c r="D1242" s="299">
        <f t="shared" si="1344"/>
        <v>0</v>
      </c>
      <c r="E1242" s="299">
        <f t="shared" si="1344"/>
        <v>0</v>
      </c>
      <c r="F1242" s="299">
        <f t="shared" si="1344"/>
        <v>100000</v>
      </c>
      <c r="G1242" s="299">
        <f t="shared" si="1344"/>
        <v>0</v>
      </c>
      <c r="H1242" s="299">
        <f t="shared" si="1344"/>
        <v>0</v>
      </c>
      <c r="I1242" s="299">
        <f t="shared" si="1344"/>
        <v>0</v>
      </c>
      <c r="J1242" s="299">
        <f t="shared" si="1344"/>
        <v>0</v>
      </c>
      <c r="K1242" s="299">
        <f t="shared" si="1344"/>
        <v>0</v>
      </c>
      <c r="L1242" s="299">
        <f t="shared" si="1344"/>
        <v>0</v>
      </c>
      <c r="M1242" s="299">
        <f t="shared" si="1344"/>
        <v>0</v>
      </c>
      <c r="N1242" s="299">
        <f t="shared" si="1344"/>
        <v>0</v>
      </c>
      <c r="O1242" s="299">
        <f t="shared" si="1344"/>
        <v>0</v>
      </c>
      <c r="P1242" s="299">
        <f t="shared" si="1344"/>
        <v>0</v>
      </c>
      <c r="Q1242" s="299">
        <f t="shared" si="1344"/>
        <v>0</v>
      </c>
    </row>
    <row r="1243" spans="1:17" customFormat="1" ht="17.100000000000001" hidden="1" customHeight="1" x14ac:dyDescent="0.3">
      <c r="A1243" s="200">
        <v>3811</v>
      </c>
      <c r="B1243" s="253" t="s">
        <v>46</v>
      </c>
      <c r="C1243" s="195">
        <v>100000</v>
      </c>
      <c r="D1243" s="195"/>
      <c r="E1243" s="194"/>
      <c r="F1243" s="182">
        <f t="shared" si="1338"/>
        <v>100000</v>
      </c>
      <c r="G1243" s="194"/>
      <c r="H1243" s="194"/>
      <c r="I1243" s="194"/>
      <c r="J1243" s="389"/>
      <c r="K1243" s="389"/>
      <c r="L1243" s="389"/>
      <c r="M1243" s="194"/>
      <c r="N1243" s="194"/>
      <c r="O1243" s="194"/>
      <c r="P1243" s="194"/>
      <c r="Q1243" s="194"/>
    </row>
    <row r="1244" spans="1:17" customFormat="1" ht="17.100000000000001" hidden="1" customHeight="1" x14ac:dyDescent="0.3">
      <c r="A1244" s="264">
        <v>382</v>
      </c>
      <c r="B1244" s="276" t="s">
        <v>211</v>
      </c>
      <c r="C1244" s="299">
        <f t="shared" si="1344"/>
        <v>100000</v>
      </c>
      <c r="D1244" s="299">
        <f t="shared" si="1344"/>
        <v>0</v>
      </c>
      <c r="E1244" s="299">
        <f t="shared" si="1344"/>
        <v>0</v>
      </c>
      <c r="F1244" s="299">
        <f t="shared" si="1344"/>
        <v>100000</v>
      </c>
      <c r="G1244" s="299">
        <f t="shared" si="1344"/>
        <v>0</v>
      </c>
      <c r="H1244" s="299">
        <f t="shared" si="1344"/>
        <v>0</v>
      </c>
      <c r="I1244" s="299">
        <f t="shared" si="1344"/>
        <v>0</v>
      </c>
      <c r="J1244" s="299">
        <f t="shared" si="1344"/>
        <v>0</v>
      </c>
      <c r="K1244" s="299">
        <f t="shared" si="1344"/>
        <v>0</v>
      </c>
      <c r="L1244" s="299">
        <f t="shared" si="1344"/>
        <v>0</v>
      </c>
      <c r="M1244" s="299">
        <f t="shared" si="1344"/>
        <v>0</v>
      </c>
      <c r="N1244" s="299">
        <f t="shared" si="1344"/>
        <v>0</v>
      </c>
      <c r="O1244" s="299">
        <f t="shared" si="1344"/>
        <v>0</v>
      </c>
      <c r="P1244" s="299">
        <f t="shared" si="1344"/>
        <v>0</v>
      </c>
      <c r="Q1244" s="299">
        <f t="shared" si="1344"/>
        <v>0</v>
      </c>
    </row>
    <row r="1245" spans="1:17" customFormat="1" ht="17.100000000000001" hidden="1" customHeight="1" x14ac:dyDescent="0.3">
      <c r="A1245" s="200">
        <v>3821</v>
      </c>
      <c r="B1245" s="253" t="s">
        <v>130</v>
      </c>
      <c r="C1245" s="195">
        <v>100000</v>
      </c>
      <c r="D1245" s="195"/>
      <c r="E1245" s="194"/>
      <c r="F1245" s="182">
        <f t="shared" si="1338"/>
        <v>100000</v>
      </c>
      <c r="G1245" s="194"/>
      <c r="H1245" s="194"/>
      <c r="I1245" s="194"/>
      <c r="J1245" s="389"/>
      <c r="K1245" s="389"/>
      <c r="L1245" s="389"/>
      <c r="M1245" s="194"/>
      <c r="N1245" s="194"/>
      <c r="O1245" s="194"/>
      <c r="P1245" s="194"/>
      <c r="Q1245" s="194"/>
    </row>
    <row r="1246" spans="1:17" customFormat="1" ht="26.4" hidden="1" x14ac:dyDescent="0.3">
      <c r="A1246" s="281">
        <v>45</v>
      </c>
      <c r="B1246" s="210" t="s">
        <v>326</v>
      </c>
      <c r="C1246" s="187">
        <f>SUM(C1247)</f>
        <v>710544</v>
      </c>
      <c r="D1246" s="187">
        <f t="shared" ref="D1246:Q1246" si="1345">SUM(D1247)</f>
        <v>0</v>
      </c>
      <c r="E1246" s="187">
        <f t="shared" si="1345"/>
        <v>0</v>
      </c>
      <c r="F1246" s="187">
        <f t="shared" si="1345"/>
        <v>710544</v>
      </c>
      <c r="G1246" s="187">
        <f t="shared" si="1345"/>
        <v>0</v>
      </c>
      <c r="H1246" s="187">
        <f t="shared" si="1345"/>
        <v>0</v>
      </c>
      <c r="I1246" s="187">
        <f t="shared" si="1345"/>
        <v>0</v>
      </c>
      <c r="J1246" s="187">
        <f t="shared" si="1345"/>
        <v>0</v>
      </c>
      <c r="K1246" s="187">
        <f t="shared" si="1345"/>
        <v>0</v>
      </c>
      <c r="L1246" s="187">
        <f t="shared" si="1345"/>
        <v>0</v>
      </c>
      <c r="M1246" s="187">
        <f t="shared" si="1345"/>
        <v>0</v>
      </c>
      <c r="N1246" s="187">
        <f t="shared" si="1345"/>
        <v>0</v>
      </c>
      <c r="O1246" s="187">
        <f t="shared" si="1345"/>
        <v>0</v>
      </c>
      <c r="P1246" s="187">
        <f t="shared" si="1345"/>
        <v>0</v>
      </c>
      <c r="Q1246" s="187">
        <f t="shared" si="1345"/>
        <v>0</v>
      </c>
    </row>
    <row r="1247" spans="1:17" customFormat="1" ht="24" hidden="1" customHeight="1" x14ac:dyDescent="0.3">
      <c r="A1247" s="269">
        <v>451</v>
      </c>
      <c r="B1247" s="247" t="s">
        <v>55</v>
      </c>
      <c r="C1247" s="299">
        <f t="shared" si="1344"/>
        <v>710544</v>
      </c>
      <c r="D1247" s="299">
        <f t="shared" si="1344"/>
        <v>0</v>
      </c>
      <c r="E1247" s="299">
        <f t="shared" si="1344"/>
        <v>0</v>
      </c>
      <c r="F1247" s="299">
        <f t="shared" si="1344"/>
        <v>710544</v>
      </c>
      <c r="G1247" s="299">
        <f t="shared" si="1344"/>
        <v>0</v>
      </c>
      <c r="H1247" s="299">
        <f t="shared" si="1344"/>
        <v>0</v>
      </c>
      <c r="I1247" s="299">
        <f t="shared" si="1344"/>
        <v>0</v>
      </c>
      <c r="J1247" s="299">
        <f t="shared" si="1344"/>
        <v>0</v>
      </c>
      <c r="K1247" s="299">
        <f t="shared" si="1344"/>
        <v>0</v>
      </c>
      <c r="L1247" s="299">
        <f t="shared" si="1344"/>
        <v>0</v>
      </c>
      <c r="M1247" s="299">
        <f t="shared" si="1344"/>
        <v>0</v>
      </c>
      <c r="N1247" s="299">
        <f t="shared" si="1344"/>
        <v>0</v>
      </c>
      <c r="O1247" s="299">
        <f t="shared" si="1344"/>
        <v>0</v>
      </c>
      <c r="P1247" s="299">
        <f t="shared" si="1344"/>
        <v>0</v>
      </c>
      <c r="Q1247" s="299">
        <f t="shared" si="1344"/>
        <v>0</v>
      </c>
    </row>
    <row r="1248" spans="1:17" customFormat="1" ht="15" hidden="1" customHeight="1" x14ac:dyDescent="0.3">
      <c r="A1248" s="249">
        <v>4511</v>
      </c>
      <c r="B1248" s="300" t="s">
        <v>55</v>
      </c>
      <c r="C1248" s="277">
        <v>710544</v>
      </c>
      <c r="D1248" s="277"/>
      <c r="E1248" s="277"/>
      <c r="F1248" s="182">
        <f t="shared" ref="F1248" si="1346">C1248-D1248+E1248</f>
        <v>710544</v>
      </c>
      <c r="G1248" s="277"/>
      <c r="H1248" s="277"/>
      <c r="I1248" s="277"/>
      <c r="J1248" s="403"/>
      <c r="K1248" s="403"/>
      <c r="L1248" s="403"/>
      <c r="M1248" s="277"/>
      <c r="N1248" s="277"/>
      <c r="O1248" s="277"/>
      <c r="P1248" s="277"/>
      <c r="Q1248" s="277"/>
    </row>
    <row r="1249" spans="1:24" customFormat="1" ht="15" hidden="1" customHeight="1" x14ac:dyDescent="0.3">
      <c r="A1249" s="721" t="s">
        <v>311</v>
      </c>
      <c r="B1249" s="721"/>
      <c r="C1249" s="173">
        <f>SUM(C1250,C1254,)</f>
        <v>11663471</v>
      </c>
      <c r="D1249" s="173">
        <f t="shared" ref="D1249:N1249" si="1347">SUM(D1250,D1254,)</f>
        <v>0</v>
      </c>
      <c r="E1249" s="173">
        <f t="shared" si="1347"/>
        <v>0</v>
      </c>
      <c r="F1249" s="173">
        <f t="shared" si="1347"/>
        <v>11663471</v>
      </c>
      <c r="G1249" s="173">
        <f t="shared" si="1347"/>
        <v>0</v>
      </c>
      <c r="H1249" s="173">
        <f t="shared" si="1347"/>
        <v>0</v>
      </c>
      <c r="I1249" s="173">
        <f t="shared" si="1347"/>
        <v>0</v>
      </c>
      <c r="J1249" s="173">
        <f t="shared" si="1347"/>
        <v>0</v>
      </c>
      <c r="K1249" s="173">
        <f t="shared" si="1347"/>
        <v>0</v>
      </c>
      <c r="L1249" s="173">
        <f t="shared" si="1347"/>
        <v>0</v>
      </c>
      <c r="M1249" s="173">
        <f t="shared" si="1347"/>
        <v>0</v>
      </c>
      <c r="N1249" s="173">
        <f t="shared" si="1347"/>
        <v>0</v>
      </c>
      <c r="O1249" s="173">
        <f t="shared" ref="O1249:P1249" si="1348">SUM(O1250,O1254,)</f>
        <v>0</v>
      </c>
      <c r="P1249" s="173">
        <f t="shared" si="1348"/>
        <v>0</v>
      </c>
      <c r="Q1249" s="173">
        <f t="shared" ref="Q1249" si="1349">SUM(Q1250,Q1254,)</f>
        <v>0</v>
      </c>
    </row>
    <row r="1250" spans="1:24" customFormat="1" ht="24" hidden="1" customHeight="1" x14ac:dyDescent="0.3">
      <c r="A1250" s="174">
        <v>36</v>
      </c>
      <c r="B1250" s="186" t="s">
        <v>334</v>
      </c>
      <c r="C1250" s="218">
        <f t="shared" ref="C1250:Q1250" si="1350">SUM(C1251)</f>
        <v>2529471</v>
      </c>
      <c r="D1250" s="218">
        <f t="shared" si="1350"/>
        <v>0</v>
      </c>
      <c r="E1250" s="218">
        <f t="shared" si="1350"/>
        <v>0</v>
      </c>
      <c r="F1250" s="218">
        <f t="shared" si="1350"/>
        <v>2529471</v>
      </c>
      <c r="G1250" s="218">
        <f t="shared" si="1350"/>
        <v>0</v>
      </c>
      <c r="H1250" s="218">
        <f t="shared" si="1350"/>
        <v>0</v>
      </c>
      <c r="I1250" s="218">
        <f t="shared" si="1350"/>
        <v>0</v>
      </c>
      <c r="J1250" s="218">
        <f t="shared" si="1350"/>
        <v>0</v>
      </c>
      <c r="K1250" s="218">
        <f t="shared" si="1350"/>
        <v>0</v>
      </c>
      <c r="L1250" s="218">
        <f t="shared" si="1350"/>
        <v>0</v>
      </c>
      <c r="M1250" s="218">
        <f t="shared" si="1350"/>
        <v>0</v>
      </c>
      <c r="N1250" s="218">
        <f t="shared" si="1350"/>
        <v>0</v>
      </c>
      <c r="O1250" s="218">
        <f t="shared" si="1350"/>
        <v>0</v>
      </c>
      <c r="P1250" s="218">
        <f t="shared" si="1350"/>
        <v>0</v>
      </c>
      <c r="Q1250" s="218">
        <f t="shared" si="1350"/>
        <v>0</v>
      </c>
    </row>
    <row r="1251" spans="1:24" customFormat="1" ht="15" hidden="1" customHeight="1" x14ac:dyDescent="0.3">
      <c r="A1251" s="264">
        <v>368</v>
      </c>
      <c r="B1251" s="276" t="s">
        <v>308</v>
      </c>
      <c r="C1251" s="299">
        <f t="shared" ref="C1251:F1251" si="1351">SUM(C1252,C1253)</f>
        <v>2529471</v>
      </c>
      <c r="D1251" s="299">
        <f t="shared" si="1351"/>
        <v>0</v>
      </c>
      <c r="E1251" s="299">
        <f t="shared" si="1351"/>
        <v>0</v>
      </c>
      <c r="F1251" s="299">
        <f t="shared" si="1351"/>
        <v>2529471</v>
      </c>
      <c r="G1251" s="299">
        <f t="shared" ref="G1251:H1251" si="1352">SUM(G1252,G1253)</f>
        <v>0</v>
      </c>
      <c r="H1251" s="299">
        <f t="shared" si="1352"/>
        <v>0</v>
      </c>
      <c r="I1251" s="299">
        <f t="shared" ref="I1251:M1251" si="1353">SUM(I1252,I1253)</f>
        <v>0</v>
      </c>
      <c r="J1251" s="299">
        <f t="shared" si="1353"/>
        <v>0</v>
      </c>
      <c r="K1251" s="299">
        <f t="shared" si="1353"/>
        <v>0</v>
      </c>
      <c r="L1251" s="299">
        <f t="shared" si="1353"/>
        <v>0</v>
      </c>
      <c r="M1251" s="299">
        <f t="shared" si="1353"/>
        <v>0</v>
      </c>
      <c r="N1251" s="299">
        <f t="shared" ref="N1251:O1251" si="1354">SUM(N1252,N1253)</f>
        <v>0</v>
      </c>
      <c r="O1251" s="299">
        <f t="shared" si="1354"/>
        <v>0</v>
      </c>
      <c r="P1251" s="299">
        <f t="shared" ref="P1251:Q1251" si="1355">SUM(P1252,P1253)</f>
        <v>0</v>
      </c>
      <c r="Q1251" s="299">
        <f t="shared" si="1355"/>
        <v>0</v>
      </c>
    </row>
    <row r="1252" spans="1:24" customFormat="1" ht="15" hidden="1" customHeight="1" x14ac:dyDescent="0.3">
      <c r="A1252" s="200">
        <v>3681</v>
      </c>
      <c r="B1252" s="253" t="s">
        <v>306</v>
      </c>
      <c r="C1252" s="195">
        <v>1011471</v>
      </c>
      <c r="D1252" s="195"/>
      <c r="E1252" s="194"/>
      <c r="F1252" s="182">
        <f t="shared" ref="F1252" si="1356">C1252-D1252+E1252</f>
        <v>1011471</v>
      </c>
      <c r="G1252" s="194"/>
      <c r="H1252" s="194"/>
      <c r="I1252" s="194"/>
      <c r="J1252" s="389"/>
      <c r="K1252" s="389"/>
      <c r="L1252" s="389"/>
      <c r="M1252" s="194"/>
      <c r="N1252" s="194"/>
      <c r="O1252" s="194"/>
      <c r="P1252" s="194"/>
      <c r="Q1252" s="194"/>
    </row>
    <row r="1253" spans="1:24" customFormat="1" ht="15" hidden="1" customHeight="1" x14ac:dyDescent="0.3">
      <c r="A1253" s="200">
        <v>3682</v>
      </c>
      <c r="B1253" s="253" t="s">
        <v>307</v>
      </c>
      <c r="C1253" s="195">
        <v>1518000</v>
      </c>
      <c r="D1253" s="195"/>
      <c r="E1253" s="194"/>
      <c r="F1253" s="182">
        <f t="shared" ref="F1253" si="1357">C1253-D1253+E1253</f>
        <v>1518000</v>
      </c>
      <c r="G1253" s="194"/>
      <c r="H1253" s="194"/>
      <c r="I1253" s="194"/>
      <c r="J1253" s="389"/>
      <c r="K1253" s="389"/>
      <c r="L1253" s="389"/>
      <c r="M1253" s="194"/>
      <c r="N1253" s="194"/>
      <c r="O1253" s="194"/>
      <c r="P1253" s="194"/>
      <c r="Q1253" s="194"/>
    </row>
    <row r="1254" spans="1:24" customFormat="1" ht="14.4" hidden="1" x14ac:dyDescent="0.3">
      <c r="A1254" s="281">
        <v>38</v>
      </c>
      <c r="B1254" s="282" t="s">
        <v>314</v>
      </c>
      <c r="C1254" s="187">
        <f>SUM(C1255,C1257)</f>
        <v>9134000</v>
      </c>
      <c r="D1254" s="187">
        <f t="shared" ref="D1254:F1254" si="1358">SUM(D1255,D1257)</f>
        <v>0</v>
      </c>
      <c r="E1254" s="187">
        <f t="shared" si="1358"/>
        <v>0</v>
      </c>
      <c r="F1254" s="187">
        <f t="shared" si="1358"/>
        <v>9134000</v>
      </c>
      <c r="G1254" s="187">
        <f t="shared" ref="G1254:H1254" si="1359">SUM(G1255,G1257)</f>
        <v>0</v>
      </c>
      <c r="H1254" s="187">
        <f t="shared" si="1359"/>
        <v>0</v>
      </c>
      <c r="I1254" s="187">
        <f t="shared" ref="I1254:M1254" si="1360">SUM(I1255,I1257)</f>
        <v>0</v>
      </c>
      <c r="J1254" s="187">
        <f t="shared" si="1360"/>
        <v>0</v>
      </c>
      <c r="K1254" s="187">
        <f t="shared" si="1360"/>
        <v>0</v>
      </c>
      <c r="L1254" s="187">
        <f t="shared" si="1360"/>
        <v>0</v>
      </c>
      <c r="M1254" s="187">
        <f t="shared" si="1360"/>
        <v>0</v>
      </c>
      <c r="N1254" s="187">
        <f t="shared" ref="N1254:O1254" si="1361">SUM(N1255,N1257)</f>
        <v>0</v>
      </c>
      <c r="O1254" s="187">
        <f t="shared" si="1361"/>
        <v>0</v>
      </c>
      <c r="P1254" s="187">
        <f t="shared" ref="P1254:Q1254" si="1362">SUM(P1255,P1257)</f>
        <v>0</v>
      </c>
      <c r="Q1254" s="187">
        <f t="shared" si="1362"/>
        <v>0</v>
      </c>
    </row>
    <row r="1255" spans="1:24" customFormat="1" ht="15.75" hidden="1" customHeight="1" x14ac:dyDescent="0.3">
      <c r="A1255" s="264">
        <v>381</v>
      </c>
      <c r="B1255" s="276" t="s">
        <v>124</v>
      </c>
      <c r="C1255" s="299">
        <f t="shared" ref="C1255:Q1255" si="1363">SUM(C1256)</f>
        <v>6557000</v>
      </c>
      <c r="D1255" s="299">
        <f t="shared" si="1363"/>
        <v>0</v>
      </c>
      <c r="E1255" s="299">
        <f t="shared" si="1363"/>
        <v>0</v>
      </c>
      <c r="F1255" s="299">
        <f t="shared" si="1363"/>
        <v>6557000</v>
      </c>
      <c r="G1255" s="299">
        <f t="shared" si="1363"/>
        <v>0</v>
      </c>
      <c r="H1255" s="299">
        <f t="shared" si="1363"/>
        <v>0</v>
      </c>
      <c r="I1255" s="299">
        <f t="shared" si="1363"/>
        <v>0</v>
      </c>
      <c r="J1255" s="299">
        <f t="shared" si="1363"/>
        <v>0</v>
      </c>
      <c r="K1255" s="299">
        <f t="shared" si="1363"/>
        <v>0</v>
      </c>
      <c r="L1255" s="299">
        <f t="shared" si="1363"/>
        <v>0</v>
      </c>
      <c r="M1255" s="299">
        <f t="shared" si="1363"/>
        <v>0</v>
      </c>
      <c r="N1255" s="299">
        <f t="shared" si="1363"/>
        <v>0</v>
      </c>
      <c r="O1255" s="299">
        <f t="shared" si="1363"/>
        <v>0</v>
      </c>
      <c r="P1255" s="299">
        <f t="shared" si="1363"/>
        <v>0</v>
      </c>
      <c r="Q1255" s="299">
        <f t="shared" si="1363"/>
        <v>0</v>
      </c>
    </row>
    <row r="1256" spans="1:24" customFormat="1" ht="14.4" hidden="1" x14ac:dyDescent="0.3">
      <c r="A1256" s="200">
        <v>3811</v>
      </c>
      <c r="B1256" s="253" t="s">
        <v>46</v>
      </c>
      <c r="C1256" s="195">
        <v>6557000</v>
      </c>
      <c r="D1256" s="195"/>
      <c r="E1256" s="195"/>
      <c r="F1256" s="182">
        <f t="shared" ref="F1256:F1258" si="1364">C1256-D1256+E1256</f>
        <v>6557000</v>
      </c>
      <c r="G1256" s="195"/>
      <c r="H1256" s="195"/>
      <c r="I1256" s="195"/>
      <c r="J1256" s="297"/>
      <c r="K1256" s="297"/>
      <c r="L1256" s="297"/>
      <c r="M1256" s="195"/>
      <c r="N1256" s="195"/>
      <c r="O1256" s="195"/>
      <c r="P1256" s="195"/>
      <c r="Q1256" s="195"/>
    </row>
    <row r="1257" spans="1:24" customFormat="1" ht="14.4" hidden="1" x14ac:dyDescent="0.3">
      <c r="A1257" s="264">
        <v>382</v>
      </c>
      <c r="B1257" s="276" t="s">
        <v>211</v>
      </c>
      <c r="C1257" s="299">
        <f t="shared" ref="C1257:Q1257" si="1365">SUM(C1258)</f>
        <v>2577000</v>
      </c>
      <c r="D1257" s="299">
        <f t="shared" si="1365"/>
        <v>0</v>
      </c>
      <c r="E1257" s="299">
        <f t="shared" si="1365"/>
        <v>0</v>
      </c>
      <c r="F1257" s="299">
        <f t="shared" si="1365"/>
        <v>2577000</v>
      </c>
      <c r="G1257" s="299">
        <f t="shared" si="1365"/>
        <v>0</v>
      </c>
      <c r="H1257" s="299">
        <f t="shared" si="1365"/>
        <v>0</v>
      </c>
      <c r="I1257" s="299">
        <f t="shared" si="1365"/>
        <v>0</v>
      </c>
      <c r="J1257" s="299">
        <f t="shared" si="1365"/>
        <v>0</v>
      </c>
      <c r="K1257" s="299">
        <f t="shared" si="1365"/>
        <v>0</v>
      </c>
      <c r="L1257" s="299">
        <f t="shared" si="1365"/>
        <v>0</v>
      </c>
      <c r="M1257" s="299">
        <f t="shared" si="1365"/>
        <v>0</v>
      </c>
      <c r="N1257" s="299">
        <f t="shared" si="1365"/>
        <v>0</v>
      </c>
      <c r="O1257" s="299">
        <f t="shared" si="1365"/>
        <v>0</v>
      </c>
      <c r="P1257" s="299">
        <f t="shared" si="1365"/>
        <v>0</v>
      </c>
      <c r="Q1257" s="299">
        <f t="shared" si="1365"/>
        <v>0</v>
      </c>
    </row>
    <row r="1258" spans="1:24" customFormat="1" ht="14.4" hidden="1" x14ac:dyDescent="0.3">
      <c r="A1258" s="200">
        <v>3821</v>
      </c>
      <c r="B1258" s="253" t="s">
        <v>130</v>
      </c>
      <c r="C1258" s="195">
        <v>2577000</v>
      </c>
      <c r="D1258" s="195"/>
      <c r="E1258" s="194"/>
      <c r="F1258" s="182">
        <f t="shared" si="1364"/>
        <v>2577000</v>
      </c>
      <c r="G1258" s="194"/>
      <c r="H1258" s="194"/>
      <c r="I1258" s="194"/>
      <c r="J1258" s="389"/>
      <c r="K1258" s="389"/>
      <c r="L1258" s="389"/>
      <c r="M1258" s="194"/>
      <c r="N1258" s="194"/>
      <c r="O1258" s="194"/>
      <c r="P1258" s="194"/>
      <c r="Q1258" s="194"/>
    </row>
    <row r="1259" spans="1:24" customFormat="1" ht="26.4" hidden="1" x14ac:dyDescent="0.3">
      <c r="A1259" s="269">
        <v>451</v>
      </c>
      <c r="B1259" s="247" t="s">
        <v>55</v>
      </c>
      <c r="C1259" s="299">
        <f t="shared" ref="C1259:Q1259" si="1366">SUM(C1260)</f>
        <v>0</v>
      </c>
      <c r="D1259" s="299">
        <f t="shared" si="1366"/>
        <v>0</v>
      </c>
      <c r="E1259" s="299">
        <f t="shared" si="1366"/>
        <v>0</v>
      </c>
      <c r="F1259" s="299">
        <f t="shared" si="1366"/>
        <v>0</v>
      </c>
      <c r="G1259" s="299">
        <f t="shared" si="1366"/>
        <v>0</v>
      </c>
      <c r="H1259" s="299">
        <f t="shared" si="1366"/>
        <v>0</v>
      </c>
      <c r="I1259" s="299">
        <f t="shared" si="1366"/>
        <v>0</v>
      </c>
      <c r="J1259" s="405"/>
      <c r="K1259" s="405"/>
      <c r="L1259" s="405"/>
      <c r="M1259" s="299">
        <f t="shared" si="1366"/>
        <v>0</v>
      </c>
      <c r="N1259" s="299">
        <f t="shared" si="1366"/>
        <v>0</v>
      </c>
      <c r="O1259" s="299">
        <f t="shared" si="1366"/>
        <v>0</v>
      </c>
      <c r="P1259" s="299">
        <f t="shared" si="1366"/>
        <v>0</v>
      </c>
      <c r="Q1259" s="299">
        <f t="shared" si="1366"/>
        <v>0</v>
      </c>
    </row>
    <row r="1260" spans="1:24" s="10" customFormat="1" ht="14.4" hidden="1" x14ac:dyDescent="0.3">
      <c r="A1260" s="249">
        <v>4511</v>
      </c>
      <c r="B1260" s="300" t="s">
        <v>55</v>
      </c>
      <c r="C1260" s="277"/>
      <c r="D1260" s="277"/>
      <c r="E1260" s="277"/>
      <c r="F1260" s="182">
        <f t="shared" ref="F1260" si="1367">C1260-D1260+E1260</f>
        <v>0</v>
      </c>
      <c r="G1260" s="277"/>
      <c r="H1260" s="277"/>
      <c r="I1260" s="277"/>
      <c r="J1260" s="403"/>
      <c r="K1260" s="403"/>
      <c r="L1260" s="403"/>
      <c r="M1260" s="277"/>
      <c r="N1260" s="277"/>
      <c r="O1260" s="277"/>
      <c r="P1260" s="277"/>
      <c r="Q1260" s="277"/>
    </row>
    <row r="1261" spans="1:24" s="10" customFormat="1" ht="25.5" customHeight="1" x14ac:dyDescent="0.3">
      <c r="A1261" s="242" t="s">
        <v>300</v>
      </c>
      <c r="B1261" s="231" t="s">
        <v>298</v>
      </c>
      <c r="C1261" s="285">
        <f t="shared" ref="C1261:H1261" si="1368">SUM(C1262)</f>
        <v>7473000</v>
      </c>
      <c r="D1261" s="285">
        <f t="shared" si="1368"/>
        <v>0</v>
      </c>
      <c r="E1261" s="285">
        <f t="shared" si="1368"/>
        <v>0</v>
      </c>
      <c r="F1261" s="285">
        <f>SUM(F1262)</f>
        <v>7473000</v>
      </c>
      <c r="G1261" s="285">
        <f t="shared" si="1368"/>
        <v>2813000</v>
      </c>
      <c r="H1261" s="285">
        <f t="shared" si="1368"/>
        <v>85000</v>
      </c>
      <c r="I1261" s="285">
        <f>SUM(I1262,I1291)</f>
        <v>16309000</v>
      </c>
      <c r="J1261" s="285">
        <f t="shared" ref="J1261:K1261" si="1369">SUM(J1262,J1291)</f>
        <v>0</v>
      </c>
      <c r="K1261" s="285">
        <f t="shared" si="1369"/>
        <v>1555000</v>
      </c>
      <c r="L1261" s="285">
        <f>SUM(L1262,L1291)</f>
        <v>17864000</v>
      </c>
      <c r="M1261" s="285">
        <f t="shared" ref="M1261:Q1261" si="1370">SUM(M1262,M1291)</f>
        <v>879000</v>
      </c>
      <c r="N1261" s="285">
        <f t="shared" si="1370"/>
        <v>0</v>
      </c>
      <c r="O1261" s="285">
        <f t="shared" si="1370"/>
        <v>1099000</v>
      </c>
      <c r="P1261" s="285">
        <f t="shared" si="1370"/>
        <v>0</v>
      </c>
      <c r="Q1261" s="285">
        <f t="shared" si="1370"/>
        <v>0</v>
      </c>
    </row>
    <row r="1262" spans="1:24" s="10" customFormat="1" ht="14.4" x14ac:dyDescent="0.3">
      <c r="A1262" s="721" t="s">
        <v>302</v>
      </c>
      <c r="B1262" s="721"/>
      <c r="C1262" s="173">
        <f>C1274+C1283+C1292</f>
        <v>7473000</v>
      </c>
      <c r="D1262" s="173">
        <f>SUM(D1266,D1283,D1292)</f>
        <v>0</v>
      </c>
      <c r="E1262" s="173">
        <f>E1274+E1283+E1292</f>
        <v>0</v>
      </c>
      <c r="F1262" s="173">
        <f>SUM(F1266,F1283,F1292)</f>
        <v>7473000</v>
      </c>
      <c r="G1262" s="173">
        <f>SUM(G1266,G1283,G1292)</f>
        <v>2813000</v>
      </c>
      <c r="H1262" s="173">
        <f>SUM(H1266,H1283,H1292)</f>
        <v>85000</v>
      </c>
      <c r="I1262" s="173">
        <f>SUM(I1263+I1283+I1288)</f>
        <v>1699000</v>
      </c>
      <c r="J1262" s="173">
        <f t="shared" ref="J1262:Q1262" si="1371">SUM(J1263+J1283+J1288)</f>
        <v>0</v>
      </c>
      <c r="K1262" s="173">
        <f t="shared" si="1371"/>
        <v>1555000</v>
      </c>
      <c r="L1262" s="173">
        <f t="shared" si="1371"/>
        <v>3254000</v>
      </c>
      <c r="M1262" s="173">
        <f t="shared" si="1371"/>
        <v>879000</v>
      </c>
      <c r="N1262" s="173">
        <f t="shared" si="1371"/>
        <v>0</v>
      </c>
      <c r="O1262" s="173">
        <f t="shared" si="1371"/>
        <v>1099000</v>
      </c>
      <c r="P1262" s="173">
        <f t="shared" si="1371"/>
        <v>0</v>
      </c>
      <c r="Q1262" s="173">
        <f t="shared" si="1371"/>
        <v>0</v>
      </c>
    </row>
    <row r="1263" spans="1:24" s="10" customFormat="1" ht="14.4" x14ac:dyDescent="0.3">
      <c r="A1263" s="305">
        <v>32</v>
      </c>
      <c r="B1263" s="306" t="s">
        <v>318</v>
      </c>
      <c r="C1263" s="307">
        <f>SUM(C1268)</f>
        <v>0</v>
      </c>
      <c r="D1263" s="307">
        <f>SUM(D1272,D1274,D1276)</f>
        <v>0</v>
      </c>
      <c r="E1263" s="307">
        <f>SUM(E1272,E1274,E1276)</f>
        <v>0</v>
      </c>
      <c r="F1263" s="307">
        <f>F1268</f>
        <v>50000</v>
      </c>
      <c r="G1263" s="307">
        <f>SUM(G1272,G1274,G1276)</f>
        <v>796000</v>
      </c>
      <c r="H1263" s="307">
        <f>SUM(H1272,H1274,H1276)</f>
        <v>0</v>
      </c>
      <c r="I1263" s="307">
        <f>I1264+I1275+I1279</f>
        <v>390000</v>
      </c>
      <c r="J1263" s="307">
        <f t="shared" ref="J1263:Q1263" si="1372">J1264+J1275+J1279</f>
        <v>0</v>
      </c>
      <c r="K1263" s="307">
        <f t="shared" si="1372"/>
        <v>155000</v>
      </c>
      <c r="L1263" s="307">
        <f t="shared" si="1372"/>
        <v>545000</v>
      </c>
      <c r="M1263" s="307">
        <f t="shared" si="1372"/>
        <v>702000</v>
      </c>
      <c r="N1263" s="307">
        <f t="shared" si="1372"/>
        <v>0</v>
      </c>
      <c r="O1263" s="307">
        <f t="shared" si="1372"/>
        <v>790000</v>
      </c>
      <c r="P1263" s="307">
        <f t="shared" si="1372"/>
        <v>0</v>
      </c>
      <c r="Q1263" s="307">
        <f t="shared" si="1372"/>
        <v>0</v>
      </c>
      <c r="W1263" s="476"/>
      <c r="X1263" s="476"/>
    </row>
    <row r="1264" spans="1:24" s="10" customFormat="1" ht="14.4" x14ac:dyDescent="0.3">
      <c r="A1264" s="177">
        <v>321</v>
      </c>
      <c r="B1264" s="178" t="s">
        <v>12</v>
      </c>
      <c r="C1264" s="194">
        <f t="shared" ref="C1264:Q1264" si="1373">SUM(C1265)</f>
        <v>0</v>
      </c>
      <c r="D1264" s="194">
        <f t="shared" si="1373"/>
        <v>0</v>
      </c>
      <c r="E1264" s="194">
        <f t="shared" si="1373"/>
        <v>0</v>
      </c>
      <c r="F1264" s="194">
        <f t="shared" si="1373"/>
        <v>0</v>
      </c>
      <c r="G1264" s="194">
        <f t="shared" si="1373"/>
        <v>0</v>
      </c>
      <c r="H1264" s="194">
        <f t="shared" si="1373"/>
        <v>0</v>
      </c>
      <c r="I1264" s="194">
        <f t="shared" si="1373"/>
        <v>0</v>
      </c>
      <c r="J1264" s="194">
        <f t="shared" si="1373"/>
        <v>0</v>
      </c>
      <c r="K1264" s="194">
        <f t="shared" si="1373"/>
        <v>0</v>
      </c>
      <c r="L1264" s="194">
        <f t="shared" si="1373"/>
        <v>0</v>
      </c>
      <c r="M1264" s="194">
        <f t="shared" si="1373"/>
        <v>0</v>
      </c>
      <c r="N1264" s="194">
        <f t="shared" si="1373"/>
        <v>0</v>
      </c>
      <c r="O1264" s="194">
        <f t="shared" si="1373"/>
        <v>100000</v>
      </c>
      <c r="P1264" s="194">
        <f t="shared" si="1373"/>
        <v>0</v>
      </c>
      <c r="Q1264" s="194">
        <f t="shared" si="1373"/>
        <v>0</v>
      </c>
    </row>
    <row r="1265" spans="1:24" s="10" customFormat="1" ht="14.4" x14ac:dyDescent="0.3">
      <c r="A1265" s="180">
        <v>3213</v>
      </c>
      <c r="B1265" s="181" t="s">
        <v>15</v>
      </c>
      <c r="C1265" s="195"/>
      <c r="D1265" s="195"/>
      <c r="E1265" s="195"/>
      <c r="F1265" s="195"/>
      <c r="G1265" s="195"/>
      <c r="H1265" s="195"/>
      <c r="I1265" s="195"/>
      <c r="J1265" s="297"/>
      <c r="K1265" s="297"/>
      <c r="L1265" s="297"/>
      <c r="M1265" s="195"/>
      <c r="N1265" s="195"/>
      <c r="O1265" s="195">
        <v>100000</v>
      </c>
      <c r="P1265" s="195"/>
      <c r="Q1265" s="195"/>
    </row>
    <row r="1266" spans="1:24" s="10" customFormat="1" ht="14.4" hidden="1" x14ac:dyDescent="0.3">
      <c r="A1266" s="301">
        <v>32</v>
      </c>
      <c r="B1266" s="302" t="s">
        <v>318</v>
      </c>
      <c r="C1266" s="251">
        <f t="shared" ref="C1266:H1266" si="1374">SUM(C1267)</f>
        <v>40000</v>
      </c>
      <c r="D1266" s="251">
        <f t="shared" si="1374"/>
        <v>0</v>
      </c>
      <c r="E1266" s="251">
        <f t="shared" si="1374"/>
        <v>50000</v>
      </c>
      <c r="F1266" s="251">
        <f t="shared" si="1374"/>
        <v>90000</v>
      </c>
      <c r="G1266" s="251">
        <f t="shared" si="1374"/>
        <v>66000</v>
      </c>
      <c r="H1266" s="251">
        <f t="shared" si="1374"/>
        <v>85000</v>
      </c>
      <c r="I1266" s="251"/>
      <c r="J1266" s="397"/>
      <c r="K1266" s="397"/>
      <c r="L1266" s="397"/>
      <c r="M1266" s="251"/>
      <c r="N1266" s="251"/>
      <c r="O1266" s="251"/>
      <c r="P1266" s="251"/>
      <c r="Q1266" s="251"/>
    </row>
    <row r="1267" spans="1:24" s="10" customFormat="1" ht="14.4" hidden="1" x14ac:dyDescent="0.3">
      <c r="A1267" s="264">
        <v>323</v>
      </c>
      <c r="B1267" s="271" t="s">
        <v>23</v>
      </c>
      <c r="C1267" s="202">
        <f t="shared" ref="C1267:F1267" si="1375">SUM(C1268,C1269,C1270)</f>
        <v>40000</v>
      </c>
      <c r="D1267" s="202">
        <f t="shared" si="1375"/>
        <v>0</v>
      </c>
      <c r="E1267" s="202">
        <f t="shared" si="1375"/>
        <v>50000</v>
      </c>
      <c r="F1267" s="202">
        <f t="shared" si="1375"/>
        <v>90000</v>
      </c>
      <c r="G1267" s="202">
        <f t="shared" ref="G1267:H1267" si="1376">SUM(G1268,G1269,G1270)</f>
        <v>66000</v>
      </c>
      <c r="H1267" s="202">
        <f t="shared" si="1376"/>
        <v>85000</v>
      </c>
      <c r="I1267" s="202"/>
      <c r="J1267" s="232"/>
      <c r="K1267" s="232"/>
      <c r="L1267" s="232"/>
      <c r="M1267" s="202"/>
      <c r="N1267" s="202"/>
      <c r="O1267" s="202"/>
      <c r="P1267" s="202"/>
      <c r="Q1267" s="202"/>
    </row>
    <row r="1268" spans="1:24" s="10" customFormat="1" ht="14.4" hidden="1" x14ac:dyDescent="0.3">
      <c r="A1268" s="180">
        <v>3233</v>
      </c>
      <c r="B1268" s="181" t="s">
        <v>26</v>
      </c>
      <c r="C1268" s="191"/>
      <c r="D1268" s="191"/>
      <c r="E1268" s="191">
        <v>50000</v>
      </c>
      <c r="F1268" s="191">
        <f t="shared" ref="F1268" si="1377">C1268-D1268+E1268</f>
        <v>50000</v>
      </c>
      <c r="G1268" s="191"/>
      <c r="H1268" s="191"/>
      <c r="I1268" s="191"/>
      <c r="J1268" s="233"/>
      <c r="K1268" s="233"/>
      <c r="L1268" s="233"/>
      <c r="M1268" s="191"/>
      <c r="N1268" s="191"/>
      <c r="O1268" s="191"/>
      <c r="P1268" s="191"/>
      <c r="Q1268" s="191"/>
    </row>
    <row r="1269" spans="1:24" customFormat="1" ht="14.4" hidden="1" x14ac:dyDescent="0.3">
      <c r="A1269" s="200">
        <v>3237</v>
      </c>
      <c r="B1269" s="201" t="s">
        <v>30</v>
      </c>
      <c r="C1269" s="191">
        <v>40000</v>
      </c>
      <c r="D1269" s="191"/>
      <c r="E1269" s="191"/>
      <c r="F1269" s="182">
        <f>C1269-D1269+E1269</f>
        <v>40000</v>
      </c>
      <c r="G1269" s="191">
        <v>66000</v>
      </c>
      <c r="H1269" s="191">
        <v>85000</v>
      </c>
      <c r="I1269" s="191"/>
      <c r="J1269" s="233"/>
      <c r="K1269" s="233"/>
      <c r="L1269" s="220"/>
      <c r="M1269" s="191"/>
      <c r="N1269" s="191"/>
      <c r="O1269" s="191"/>
      <c r="P1269" s="191"/>
      <c r="Q1269" s="191"/>
    </row>
    <row r="1270" spans="1:24" customFormat="1" ht="14.4" hidden="1" x14ac:dyDescent="0.3">
      <c r="A1270" s="200">
        <v>3238</v>
      </c>
      <c r="B1270" s="201" t="s">
        <v>70</v>
      </c>
      <c r="C1270" s="191"/>
      <c r="D1270" s="191"/>
      <c r="E1270" s="191"/>
      <c r="F1270" s="191"/>
      <c r="G1270" s="191"/>
      <c r="H1270" s="191"/>
      <c r="I1270" s="191"/>
      <c r="J1270" s="233"/>
      <c r="K1270" s="233"/>
      <c r="L1270" s="233"/>
      <c r="M1270" s="191"/>
      <c r="N1270" s="191"/>
      <c r="O1270" s="191"/>
      <c r="P1270" s="191"/>
      <c r="Q1270" s="191"/>
    </row>
    <row r="1271" spans="1:24" customFormat="1" ht="14.4" hidden="1" x14ac:dyDescent="0.3">
      <c r="A1271" s="200"/>
      <c r="B1271" s="201"/>
      <c r="C1271" s="191"/>
      <c r="D1271" s="191"/>
      <c r="E1271" s="191"/>
      <c r="F1271" s="191"/>
      <c r="G1271" s="191"/>
      <c r="H1271" s="191"/>
      <c r="I1271" s="191"/>
      <c r="J1271" s="233"/>
      <c r="K1271" s="233"/>
      <c r="L1271" s="233"/>
      <c r="M1271" s="191"/>
      <c r="N1271" s="191"/>
      <c r="O1271" s="191"/>
      <c r="P1271" s="191"/>
      <c r="Q1271" s="191"/>
    </row>
    <row r="1272" spans="1:24" customFormat="1" ht="39.6" hidden="1" x14ac:dyDescent="0.3">
      <c r="A1272" s="264">
        <v>353</v>
      </c>
      <c r="B1272" s="303" t="s">
        <v>235</v>
      </c>
      <c r="C1272" s="202">
        <f t="shared" ref="C1272:D1272" si="1378">SUM(C1273)</f>
        <v>0</v>
      </c>
      <c r="D1272" s="202">
        <f t="shared" si="1378"/>
        <v>0</v>
      </c>
      <c r="E1272" s="202"/>
      <c r="F1272" s="202"/>
      <c r="G1272" s="202"/>
      <c r="H1272" s="202"/>
      <c r="I1272" s="202"/>
      <c r="J1272" s="232"/>
      <c r="K1272" s="232"/>
      <c r="L1272" s="232"/>
      <c r="M1272" s="202"/>
      <c r="N1272" s="202"/>
      <c r="O1272" s="202"/>
      <c r="P1272" s="202"/>
      <c r="Q1272" s="202"/>
    </row>
    <row r="1273" spans="1:24" customFormat="1" ht="39.6" hidden="1" x14ac:dyDescent="0.3">
      <c r="A1273" s="200">
        <v>3531</v>
      </c>
      <c r="B1273" s="304" t="s">
        <v>235</v>
      </c>
      <c r="C1273" s="191"/>
      <c r="D1273" s="191"/>
      <c r="E1273" s="191"/>
      <c r="F1273" s="191"/>
      <c r="G1273" s="191"/>
      <c r="H1273" s="191"/>
      <c r="I1273" s="191"/>
      <c r="J1273" s="233"/>
      <c r="K1273" s="233"/>
      <c r="L1273" s="233"/>
      <c r="M1273" s="191"/>
      <c r="N1273" s="191"/>
      <c r="O1273" s="191"/>
      <c r="P1273" s="191"/>
      <c r="Q1273" s="191"/>
    </row>
    <row r="1274" spans="1:24" s="10" customFormat="1" ht="14.4" hidden="1" x14ac:dyDescent="0.3">
      <c r="A1274" s="305">
        <v>32</v>
      </c>
      <c r="B1274" s="306" t="s">
        <v>318</v>
      </c>
      <c r="C1274" s="307">
        <f>SUM(C1279)</f>
        <v>90000</v>
      </c>
      <c r="D1274" s="307">
        <f>SUM(D1283,D1285,D1287)</f>
        <v>0</v>
      </c>
      <c r="E1274" s="307">
        <f>SUM(E1283,E1285,E1287)</f>
        <v>0</v>
      </c>
      <c r="F1274" s="307">
        <f>F1279</f>
        <v>90000</v>
      </c>
      <c r="G1274" s="307">
        <f>SUM(G1283,G1285,G1287)</f>
        <v>796000</v>
      </c>
      <c r="H1274" s="307">
        <f>SUM(H1283,H1285,H1287)</f>
        <v>0</v>
      </c>
      <c r="I1274" s="307"/>
      <c r="J1274" s="307"/>
      <c r="K1274" s="307"/>
      <c r="L1274" s="307"/>
      <c r="M1274" s="307"/>
      <c r="N1274" s="307"/>
      <c r="O1274" s="307"/>
      <c r="P1274" s="307"/>
      <c r="Q1274" s="307"/>
      <c r="W1274" s="476"/>
      <c r="X1274" s="476"/>
    </row>
    <row r="1275" spans="1:24" s="10" customFormat="1" ht="14.4" hidden="1" x14ac:dyDescent="0.3">
      <c r="A1275" s="283">
        <v>322</v>
      </c>
      <c r="B1275" s="284" t="s">
        <v>16</v>
      </c>
      <c r="C1275" s="308"/>
      <c r="D1275" s="308"/>
      <c r="E1275" s="308"/>
      <c r="F1275" s="308"/>
      <c r="G1275" s="308"/>
      <c r="H1275" s="308"/>
      <c r="I1275" s="308">
        <f>SUM(I1276:I1278)</f>
        <v>0</v>
      </c>
      <c r="J1275" s="308">
        <f t="shared" ref="J1275:Q1275" si="1379">SUM(J1276:J1278)</f>
        <v>0</v>
      </c>
      <c r="K1275" s="308">
        <f t="shared" si="1379"/>
        <v>55000</v>
      </c>
      <c r="L1275" s="308">
        <f t="shared" si="1379"/>
        <v>55000</v>
      </c>
      <c r="M1275" s="308">
        <f t="shared" si="1379"/>
        <v>0</v>
      </c>
      <c r="N1275" s="308">
        <f t="shared" si="1379"/>
        <v>0</v>
      </c>
      <c r="O1275" s="308">
        <f t="shared" si="1379"/>
        <v>0</v>
      </c>
      <c r="P1275" s="308">
        <f t="shared" si="1379"/>
        <v>0</v>
      </c>
      <c r="Q1275" s="308">
        <f t="shared" si="1379"/>
        <v>0</v>
      </c>
      <c r="W1275" s="476"/>
      <c r="X1275" s="476"/>
    </row>
    <row r="1276" spans="1:24" s="10" customFormat="1" ht="14.4" hidden="1" x14ac:dyDescent="0.3">
      <c r="A1276" s="266">
        <v>3222</v>
      </c>
      <c r="B1276" s="292" t="s">
        <v>18</v>
      </c>
      <c r="C1276" s="309"/>
      <c r="D1276" s="309"/>
      <c r="E1276" s="309"/>
      <c r="F1276" s="309"/>
      <c r="G1276" s="309"/>
      <c r="H1276" s="309"/>
      <c r="I1276" s="309"/>
      <c r="J1276" s="309"/>
      <c r="K1276" s="309">
        <v>5000</v>
      </c>
      <c r="L1276" s="309">
        <f t="shared" ref="L1276:L1278" si="1380">I1276-J1276+K1276</f>
        <v>5000</v>
      </c>
      <c r="M1276" s="308"/>
      <c r="N1276" s="308"/>
      <c r="O1276" s="308"/>
      <c r="P1276" s="308"/>
      <c r="Q1276" s="308"/>
    </row>
    <row r="1277" spans="1:24" s="10" customFormat="1" ht="26.4" hidden="1" x14ac:dyDescent="0.3">
      <c r="A1277" s="200">
        <v>3224</v>
      </c>
      <c r="B1277" s="453" t="s">
        <v>112</v>
      </c>
      <c r="C1277" s="309"/>
      <c r="D1277" s="309"/>
      <c r="E1277" s="309"/>
      <c r="F1277" s="309"/>
      <c r="G1277" s="309"/>
      <c r="H1277" s="309"/>
      <c r="I1277" s="309"/>
      <c r="J1277" s="309"/>
      <c r="K1277" s="309">
        <v>30000</v>
      </c>
      <c r="L1277" s="309">
        <f t="shared" si="1380"/>
        <v>30000</v>
      </c>
      <c r="M1277" s="308"/>
      <c r="N1277" s="308"/>
      <c r="O1277" s="308"/>
      <c r="P1277" s="308"/>
      <c r="Q1277" s="308"/>
    </row>
    <row r="1278" spans="1:24" s="10" customFormat="1" ht="14.4" hidden="1" x14ac:dyDescent="0.3">
      <c r="A1278" s="454">
        <v>3225</v>
      </c>
      <c r="B1278" s="453" t="s">
        <v>21</v>
      </c>
      <c r="C1278" s="309"/>
      <c r="D1278" s="309"/>
      <c r="E1278" s="309"/>
      <c r="F1278" s="309"/>
      <c r="G1278" s="309"/>
      <c r="H1278" s="309"/>
      <c r="I1278" s="309"/>
      <c r="J1278" s="309"/>
      <c r="K1278" s="309">
        <v>20000</v>
      </c>
      <c r="L1278" s="309">
        <f t="shared" si="1380"/>
        <v>20000</v>
      </c>
      <c r="M1278" s="308"/>
      <c r="N1278" s="308"/>
      <c r="O1278" s="308"/>
      <c r="P1278" s="308"/>
      <c r="Q1278" s="308"/>
    </row>
    <row r="1279" spans="1:24" s="10" customFormat="1" ht="12" customHeight="1" x14ac:dyDescent="0.3">
      <c r="A1279" s="264">
        <v>323</v>
      </c>
      <c r="B1279" s="271" t="s">
        <v>23</v>
      </c>
      <c r="C1279" s="308">
        <f>SUM(C1280:C1281)</f>
        <v>90000</v>
      </c>
      <c r="D1279" s="308"/>
      <c r="E1279" s="308"/>
      <c r="F1279" s="308">
        <f>SUM(F1280:F1281)</f>
        <v>90000</v>
      </c>
      <c r="G1279" s="308"/>
      <c r="H1279" s="308"/>
      <c r="I1279" s="308">
        <f>SUM(I1280:I1282)</f>
        <v>390000</v>
      </c>
      <c r="J1279" s="308">
        <f t="shared" ref="J1279:Q1279" si="1381">SUM(J1280:J1282)</f>
        <v>0</v>
      </c>
      <c r="K1279" s="308">
        <f t="shared" si="1381"/>
        <v>100000</v>
      </c>
      <c r="L1279" s="308">
        <f t="shared" si="1381"/>
        <v>490000</v>
      </c>
      <c r="M1279" s="308">
        <f t="shared" si="1381"/>
        <v>702000</v>
      </c>
      <c r="N1279" s="308">
        <f t="shared" si="1381"/>
        <v>0</v>
      </c>
      <c r="O1279" s="308">
        <f t="shared" si="1381"/>
        <v>690000</v>
      </c>
      <c r="P1279" s="308">
        <f t="shared" si="1381"/>
        <v>0</v>
      </c>
      <c r="Q1279" s="308">
        <f t="shared" si="1381"/>
        <v>0</v>
      </c>
    </row>
    <row r="1280" spans="1:24" s="10" customFormat="1" ht="18" customHeight="1" x14ac:dyDescent="0.3">
      <c r="A1280" s="266">
        <v>3233</v>
      </c>
      <c r="B1280" s="267" t="s">
        <v>26</v>
      </c>
      <c r="C1280" s="309">
        <v>50000</v>
      </c>
      <c r="D1280" s="309"/>
      <c r="E1280" s="309"/>
      <c r="F1280" s="182">
        <f t="shared" ref="F1280:F1281" si="1382">C1280-D1280+E1280</f>
        <v>50000</v>
      </c>
      <c r="G1280" s="309"/>
      <c r="H1280" s="309"/>
      <c r="I1280" s="309"/>
      <c r="J1280" s="309"/>
      <c r="K1280" s="309">
        <v>50000</v>
      </c>
      <c r="L1280" s="309">
        <f>I1280-J1280+K1280</f>
        <v>50000</v>
      </c>
      <c r="M1280" s="309"/>
      <c r="N1280" s="309"/>
      <c r="O1280" s="309">
        <v>286000</v>
      </c>
      <c r="P1280" s="309"/>
      <c r="Q1280" s="309"/>
    </row>
    <row r="1281" spans="1:24" s="10" customFormat="1" ht="14.4" x14ac:dyDescent="0.3">
      <c r="A1281" s="200">
        <v>3237</v>
      </c>
      <c r="B1281" s="201" t="s">
        <v>30</v>
      </c>
      <c r="C1281" s="309">
        <v>40000</v>
      </c>
      <c r="D1281" s="309"/>
      <c r="E1281" s="309"/>
      <c r="F1281" s="182">
        <f t="shared" si="1382"/>
        <v>40000</v>
      </c>
      <c r="G1281" s="309"/>
      <c r="H1281" s="309"/>
      <c r="I1281" s="309">
        <v>390000</v>
      </c>
      <c r="J1281" s="309"/>
      <c r="K1281" s="309"/>
      <c r="L1281" s="220">
        <f>I1281-J1281+K1281</f>
        <v>390000</v>
      </c>
      <c r="M1281" s="309">
        <v>702000</v>
      </c>
      <c r="N1281" s="309"/>
      <c r="O1281" s="309">
        <v>404000</v>
      </c>
      <c r="P1281" s="309"/>
      <c r="Q1281" s="309"/>
    </row>
    <row r="1282" spans="1:24" s="10" customFormat="1" ht="14.4" hidden="1" x14ac:dyDescent="0.3">
      <c r="A1282" s="454">
        <v>3239</v>
      </c>
      <c r="B1282" s="455" t="s">
        <v>31</v>
      </c>
      <c r="C1282" s="309"/>
      <c r="D1282" s="309"/>
      <c r="E1282" s="309"/>
      <c r="F1282" s="220"/>
      <c r="G1282" s="309"/>
      <c r="H1282" s="309"/>
      <c r="I1282" s="309"/>
      <c r="J1282" s="309"/>
      <c r="K1282" s="309">
        <v>50000</v>
      </c>
      <c r="L1282" s="220">
        <f>I1282-J1282+K1282</f>
        <v>50000</v>
      </c>
      <c r="M1282" s="309"/>
      <c r="N1282" s="309"/>
      <c r="O1282" s="309"/>
      <c r="P1282" s="309"/>
      <c r="Q1282" s="309"/>
    </row>
    <row r="1283" spans="1:24" s="10" customFormat="1" ht="14.4" x14ac:dyDescent="0.3">
      <c r="A1283" s="281">
        <v>42</v>
      </c>
      <c r="B1283" s="186" t="s">
        <v>324</v>
      </c>
      <c r="C1283" s="187">
        <f>SUM(C1284)</f>
        <v>3401000</v>
      </c>
      <c r="D1283" s="187">
        <f t="shared" ref="D1283:Q1283" si="1383">SUM(D1284)</f>
        <v>0</v>
      </c>
      <c r="E1283" s="187">
        <f t="shared" si="1383"/>
        <v>0</v>
      </c>
      <c r="F1283" s="187">
        <f t="shared" si="1383"/>
        <v>3401000</v>
      </c>
      <c r="G1283" s="187">
        <f t="shared" si="1383"/>
        <v>398000</v>
      </c>
      <c r="H1283" s="187">
        <f t="shared" si="1383"/>
        <v>0</v>
      </c>
      <c r="I1283" s="187">
        <f t="shared" si="1383"/>
        <v>1309000</v>
      </c>
      <c r="J1283" s="187">
        <f t="shared" si="1383"/>
        <v>0</v>
      </c>
      <c r="K1283" s="187">
        <f t="shared" si="1383"/>
        <v>400000</v>
      </c>
      <c r="L1283" s="187">
        <f t="shared" si="1383"/>
        <v>1709000</v>
      </c>
      <c r="M1283" s="187">
        <f t="shared" si="1383"/>
        <v>177000</v>
      </c>
      <c r="N1283" s="187">
        <f t="shared" si="1383"/>
        <v>0</v>
      </c>
      <c r="O1283" s="187">
        <f t="shared" si="1383"/>
        <v>164000</v>
      </c>
      <c r="P1283" s="187">
        <f t="shared" si="1383"/>
        <v>0</v>
      </c>
      <c r="Q1283" s="187">
        <f t="shared" si="1383"/>
        <v>0</v>
      </c>
    </row>
    <row r="1284" spans="1:24" s="10" customFormat="1" ht="14.4" x14ac:dyDescent="0.3">
      <c r="A1284" s="246" t="s">
        <v>177</v>
      </c>
      <c r="B1284" s="247" t="s">
        <v>129</v>
      </c>
      <c r="C1284" s="299">
        <f t="shared" ref="C1284:F1284" si="1384">SUM(C1285,C1286,C1287)</f>
        <v>3401000</v>
      </c>
      <c r="D1284" s="299">
        <f t="shared" si="1384"/>
        <v>0</v>
      </c>
      <c r="E1284" s="299">
        <f t="shared" si="1384"/>
        <v>0</v>
      </c>
      <c r="F1284" s="299">
        <f t="shared" si="1384"/>
        <v>3401000</v>
      </c>
      <c r="G1284" s="299">
        <f t="shared" ref="G1284:H1284" si="1385">SUM(G1285,G1286,G1287)</f>
        <v>398000</v>
      </c>
      <c r="H1284" s="299">
        <f t="shared" si="1385"/>
        <v>0</v>
      </c>
      <c r="I1284" s="299">
        <f t="shared" ref="I1284:M1284" si="1386">SUM(I1285,I1286,I1287)</f>
        <v>1309000</v>
      </c>
      <c r="J1284" s="299">
        <f t="shared" si="1386"/>
        <v>0</v>
      </c>
      <c r="K1284" s="299">
        <f t="shared" si="1386"/>
        <v>400000</v>
      </c>
      <c r="L1284" s="299">
        <f t="shared" si="1386"/>
        <v>1709000</v>
      </c>
      <c r="M1284" s="299">
        <f t="shared" si="1386"/>
        <v>177000</v>
      </c>
      <c r="N1284" s="299">
        <f t="shared" ref="N1284:O1284" si="1387">SUM(N1285,N1286,N1287)</f>
        <v>0</v>
      </c>
      <c r="O1284" s="299">
        <f t="shared" si="1387"/>
        <v>164000</v>
      </c>
      <c r="P1284" s="299">
        <f t="shared" ref="P1284:Q1284" si="1388">SUM(P1285,P1286,P1287)</f>
        <v>0</v>
      </c>
      <c r="Q1284" s="299">
        <f t="shared" si="1388"/>
        <v>0</v>
      </c>
    </row>
    <row r="1285" spans="1:24" ht="17.25" hidden="1" customHeight="1" x14ac:dyDescent="0.3">
      <c r="A1285" s="249">
        <v>4221</v>
      </c>
      <c r="B1285" s="215" t="s">
        <v>54</v>
      </c>
      <c r="C1285" s="310">
        <v>1543000</v>
      </c>
      <c r="D1285" s="310"/>
      <c r="E1285" s="310"/>
      <c r="F1285" s="182">
        <f t="shared" ref="F1285:F1287" si="1389">C1285-D1285+E1285</f>
        <v>1543000</v>
      </c>
      <c r="G1285" s="310">
        <v>133000</v>
      </c>
      <c r="H1285" s="310"/>
      <c r="I1285" s="310">
        <v>1309000</v>
      </c>
      <c r="J1285" s="406"/>
      <c r="K1285" s="406"/>
      <c r="L1285" s="220">
        <f>I1285-J1285+K1285</f>
        <v>1309000</v>
      </c>
      <c r="M1285" s="310">
        <v>177000</v>
      </c>
      <c r="N1285" s="310"/>
      <c r="O1285" s="310"/>
      <c r="P1285" s="310"/>
      <c r="Q1285" s="310"/>
    </row>
    <row r="1286" spans="1:24" s="4" customFormat="1" ht="14.25" customHeight="1" x14ac:dyDescent="0.3">
      <c r="A1286" s="249">
        <v>4222</v>
      </c>
      <c r="B1286" s="215" t="s">
        <v>58</v>
      </c>
      <c r="C1286" s="310"/>
      <c r="D1286" s="310"/>
      <c r="E1286" s="310"/>
      <c r="F1286" s="182">
        <f t="shared" si="1389"/>
        <v>0</v>
      </c>
      <c r="G1286" s="310"/>
      <c r="H1286" s="310"/>
      <c r="I1286" s="310"/>
      <c r="J1286" s="406"/>
      <c r="K1286" s="406">
        <v>150000</v>
      </c>
      <c r="L1286" s="220">
        <f t="shared" ref="L1286:L1287" si="1390">I1286-J1286+K1286</f>
        <v>150000</v>
      </c>
      <c r="M1286" s="310"/>
      <c r="N1286" s="310"/>
      <c r="O1286" s="310">
        <v>164000</v>
      </c>
      <c r="P1286" s="310"/>
      <c r="Q1286" s="310"/>
      <c r="X1286" s="25"/>
    </row>
    <row r="1287" spans="1:24" s="4" customFormat="1" hidden="1" x14ac:dyDescent="0.3">
      <c r="A1287" s="249">
        <v>4223</v>
      </c>
      <c r="B1287" s="190" t="s">
        <v>59</v>
      </c>
      <c r="C1287" s="277">
        <v>1858000</v>
      </c>
      <c r="D1287" s="277"/>
      <c r="E1287" s="277"/>
      <c r="F1287" s="182">
        <f t="shared" si="1389"/>
        <v>1858000</v>
      </c>
      <c r="G1287" s="277">
        <v>265000</v>
      </c>
      <c r="H1287" s="277"/>
      <c r="I1287" s="277"/>
      <c r="J1287" s="403"/>
      <c r="K1287" s="403">
        <v>250000</v>
      </c>
      <c r="L1287" s="220">
        <f t="shared" si="1390"/>
        <v>250000</v>
      </c>
      <c r="M1287" s="277"/>
      <c r="N1287" s="277"/>
      <c r="O1287" s="277"/>
      <c r="P1287" s="277"/>
      <c r="Q1287" s="277"/>
      <c r="X1287" s="25"/>
    </row>
    <row r="1288" spans="1:24" s="4" customFormat="1" ht="26.4" x14ac:dyDescent="0.3">
      <c r="A1288" s="281">
        <v>45</v>
      </c>
      <c r="B1288" s="210" t="s">
        <v>326</v>
      </c>
      <c r="C1288" s="403"/>
      <c r="D1288" s="403"/>
      <c r="E1288" s="403"/>
      <c r="F1288" s="220"/>
      <c r="G1288" s="403"/>
      <c r="H1288" s="403"/>
      <c r="I1288" s="210">
        <f>SUM(I1289)</f>
        <v>0</v>
      </c>
      <c r="J1288" s="210">
        <f t="shared" ref="J1288:Q1289" si="1391">SUM(J1289)</f>
        <v>0</v>
      </c>
      <c r="K1288" s="456">
        <f t="shared" si="1391"/>
        <v>1000000</v>
      </c>
      <c r="L1288" s="456">
        <f t="shared" si="1391"/>
        <v>1000000</v>
      </c>
      <c r="M1288" s="456">
        <f t="shared" si="1391"/>
        <v>0</v>
      </c>
      <c r="N1288" s="456">
        <f t="shared" si="1391"/>
        <v>0</v>
      </c>
      <c r="O1288" s="456">
        <f t="shared" si="1391"/>
        <v>145000</v>
      </c>
      <c r="P1288" s="456">
        <f t="shared" si="1391"/>
        <v>0</v>
      </c>
      <c r="Q1288" s="504"/>
      <c r="X1288" s="25"/>
    </row>
    <row r="1289" spans="1:24" s="4" customFormat="1" x14ac:dyDescent="0.3">
      <c r="A1289" s="226">
        <v>451</v>
      </c>
      <c r="B1289" s="227" t="s">
        <v>55</v>
      </c>
      <c r="C1289" s="403"/>
      <c r="D1289" s="403"/>
      <c r="E1289" s="403"/>
      <c r="F1289" s="220"/>
      <c r="G1289" s="403"/>
      <c r="H1289" s="403"/>
      <c r="I1289" s="505">
        <f>SUM(I1290)</f>
        <v>0</v>
      </c>
      <c r="J1289" s="505">
        <f t="shared" si="1391"/>
        <v>0</v>
      </c>
      <c r="K1289" s="505">
        <f t="shared" si="1391"/>
        <v>1000000</v>
      </c>
      <c r="L1289" s="505">
        <f t="shared" si="1391"/>
        <v>1000000</v>
      </c>
      <c r="M1289" s="505">
        <f t="shared" si="1391"/>
        <v>0</v>
      </c>
      <c r="N1289" s="505">
        <f t="shared" si="1391"/>
        <v>0</v>
      </c>
      <c r="O1289" s="505">
        <f t="shared" si="1391"/>
        <v>145000</v>
      </c>
      <c r="P1289" s="505">
        <f t="shared" si="1391"/>
        <v>0</v>
      </c>
      <c r="Q1289" s="505">
        <f t="shared" si="1391"/>
        <v>0</v>
      </c>
      <c r="X1289" s="25"/>
    </row>
    <row r="1290" spans="1:24" s="4" customFormat="1" x14ac:dyDescent="0.3">
      <c r="A1290" s="228">
        <v>4511</v>
      </c>
      <c r="B1290" s="229" t="s">
        <v>55</v>
      </c>
      <c r="C1290" s="403"/>
      <c r="D1290" s="403"/>
      <c r="E1290" s="403"/>
      <c r="F1290" s="220"/>
      <c r="G1290" s="403"/>
      <c r="H1290" s="403"/>
      <c r="I1290" s="403"/>
      <c r="J1290" s="403"/>
      <c r="K1290" s="403">
        <v>1000000</v>
      </c>
      <c r="L1290" s="220">
        <f>I1290-J1290+K1290</f>
        <v>1000000</v>
      </c>
      <c r="M1290" s="403"/>
      <c r="N1290" s="403"/>
      <c r="O1290" s="403">
        <v>145000</v>
      </c>
      <c r="P1290" s="403"/>
      <c r="Q1290" s="403"/>
    </row>
    <row r="1291" spans="1:24" s="6" customFormat="1" ht="14.4" hidden="1" x14ac:dyDescent="0.3">
      <c r="A1291" s="721" t="s">
        <v>431</v>
      </c>
      <c r="B1291" s="721"/>
      <c r="C1291" s="173">
        <f>C1302+C1307+C1313</f>
        <v>324400</v>
      </c>
      <c r="D1291" s="173">
        <f>SUM(D1294,D1307,D1313)</f>
        <v>324400</v>
      </c>
      <c r="E1291" s="173">
        <f>E1302+E1307+E1313</f>
        <v>0</v>
      </c>
      <c r="F1291" s="173">
        <f>SUM(F1294,F1307,F1313)</f>
        <v>3982000</v>
      </c>
      <c r="G1291" s="173">
        <f>SUM(G1294,G1307,G1313)</f>
        <v>2349000</v>
      </c>
      <c r="H1291" s="173">
        <f>SUM(H1294,H1307,H1313)</f>
        <v>0</v>
      </c>
      <c r="I1291" s="173">
        <f>SUM(I1292)</f>
        <v>14610000</v>
      </c>
      <c r="J1291" s="173">
        <f t="shared" ref="J1291:K1291" si="1392">SUM(J1292)</f>
        <v>0</v>
      </c>
      <c r="K1291" s="173">
        <f t="shared" si="1392"/>
        <v>0</v>
      </c>
      <c r="L1291" s="173">
        <f>SUM(L1292)</f>
        <v>14610000</v>
      </c>
      <c r="M1291" s="173">
        <f t="shared" ref="M1291:Q1291" si="1393">SUM(M1292)</f>
        <v>0</v>
      </c>
      <c r="N1291" s="173">
        <f t="shared" si="1393"/>
        <v>0</v>
      </c>
      <c r="O1291" s="173">
        <f t="shared" si="1393"/>
        <v>0</v>
      </c>
      <c r="P1291" s="173">
        <f t="shared" si="1393"/>
        <v>0</v>
      </c>
      <c r="Q1291" s="173">
        <f t="shared" si="1393"/>
        <v>0</v>
      </c>
    </row>
    <row r="1292" spans="1:24" customFormat="1" ht="26.4" hidden="1" x14ac:dyDescent="0.3">
      <c r="A1292" s="281">
        <v>45</v>
      </c>
      <c r="B1292" s="210" t="s">
        <v>326</v>
      </c>
      <c r="C1292" s="187">
        <f>SUM(C1293)</f>
        <v>3982000</v>
      </c>
      <c r="D1292" s="187">
        <f t="shared" ref="D1292:Q1292" si="1394">SUM(D1293)</f>
        <v>0</v>
      </c>
      <c r="E1292" s="187">
        <f t="shared" si="1394"/>
        <v>0</v>
      </c>
      <c r="F1292" s="187">
        <f t="shared" si="1394"/>
        <v>3982000</v>
      </c>
      <c r="G1292" s="187">
        <f t="shared" si="1394"/>
        <v>2349000</v>
      </c>
      <c r="H1292" s="187">
        <f t="shared" si="1394"/>
        <v>0</v>
      </c>
      <c r="I1292" s="187">
        <f t="shared" si="1394"/>
        <v>14610000</v>
      </c>
      <c r="J1292" s="187">
        <f t="shared" si="1394"/>
        <v>0</v>
      </c>
      <c r="K1292" s="187">
        <f t="shared" si="1394"/>
        <v>0</v>
      </c>
      <c r="L1292" s="187">
        <f t="shared" si="1394"/>
        <v>14610000</v>
      </c>
      <c r="M1292" s="187">
        <f t="shared" si="1394"/>
        <v>0</v>
      </c>
      <c r="N1292" s="187">
        <f t="shared" si="1394"/>
        <v>0</v>
      </c>
      <c r="O1292" s="187">
        <f t="shared" si="1394"/>
        <v>0</v>
      </c>
      <c r="P1292" s="187">
        <f t="shared" si="1394"/>
        <v>0</v>
      </c>
      <c r="Q1292" s="187">
        <f t="shared" si="1394"/>
        <v>0</v>
      </c>
    </row>
    <row r="1293" spans="1:24" customFormat="1" ht="26.4" hidden="1" x14ac:dyDescent="0.3">
      <c r="A1293" s="226">
        <v>451</v>
      </c>
      <c r="B1293" s="227" t="s">
        <v>55</v>
      </c>
      <c r="C1293" s="202">
        <f t="shared" ref="C1293:Q1293" si="1395">SUM(C1294)</f>
        <v>3982000</v>
      </c>
      <c r="D1293" s="202">
        <f t="shared" si="1395"/>
        <v>0</v>
      </c>
      <c r="E1293" s="202">
        <f t="shared" si="1395"/>
        <v>0</v>
      </c>
      <c r="F1293" s="202">
        <f t="shared" si="1395"/>
        <v>3982000</v>
      </c>
      <c r="G1293" s="202">
        <f t="shared" si="1395"/>
        <v>2349000</v>
      </c>
      <c r="H1293" s="202">
        <f t="shared" si="1395"/>
        <v>0</v>
      </c>
      <c r="I1293" s="202">
        <f t="shared" si="1395"/>
        <v>14610000</v>
      </c>
      <c r="J1293" s="202">
        <f t="shared" si="1395"/>
        <v>0</v>
      </c>
      <c r="K1293" s="202">
        <f t="shared" si="1395"/>
        <v>0</v>
      </c>
      <c r="L1293" s="202">
        <f t="shared" si="1395"/>
        <v>14610000</v>
      </c>
      <c r="M1293" s="202">
        <f t="shared" si="1395"/>
        <v>0</v>
      </c>
      <c r="N1293" s="202">
        <f t="shared" si="1395"/>
        <v>0</v>
      </c>
      <c r="O1293" s="202">
        <f t="shared" si="1395"/>
        <v>0</v>
      </c>
      <c r="P1293" s="202">
        <f t="shared" si="1395"/>
        <v>0</v>
      </c>
      <c r="Q1293" s="202">
        <f t="shared" si="1395"/>
        <v>0</v>
      </c>
    </row>
    <row r="1294" spans="1:24" hidden="1" x14ac:dyDescent="0.3">
      <c r="A1294" s="228">
        <v>4511</v>
      </c>
      <c r="B1294" s="229" t="s">
        <v>55</v>
      </c>
      <c r="C1294" s="191">
        <v>3982000</v>
      </c>
      <c r="D1294" s="191"/>
      <c r="E1294" s="191"/>
      <c r="F1294" s="182">
        <f t="shared" ref="F1294" si="1396">C1294-D1294+E1294</f>
        <v>3982000</v>
      </c>
      <c r="G1294" s="191">
        <v>2349000</v>
      </c>
      <c r="H1294" s="191"/>
      <c r="I1294" s="191">
        <v>14610000</v>
      </c>
      <c r="J1294" s="233"/>
      <c r="K1294" s="233"/>
      <c r="L1294" s="220">
        <f>I1294-J1294+K1294</f>
        <v>14610000</v>
      </c>
      <c r="M1294" s="191">
        <v>0</v>
      </c>
      <c r="N1294" s="191"/>
      <c r="O1294" s="191"/>
      <c r="P1294" s="191"/>
      <c r="Q1294" s="191"/>
    </row>
    <row r="1295" spans="1:24" ht="26.4" x14ac:dyDescent="0.3">
      <c r="A1295" s="242" t="s">
        <v>371</v>
      </c>
      <c r="B1295" s="231" t="s">
        <v>372</v>
      </c>
      <c r="C1295" s="311">
        <f>C1296</f>
        <v>737900</v>
      </c>
      <c r="D1295" s="257">
        <f>D1296</f>
        <v>657900</v>
      </c>
      <c r="E1295" s="257">
        <f t="shared" ref="E1295:Q1295" si="1397">SUM(E1296)</f>
        <v>0</v>
      </c>
      <c r="F1295" s="311">
        <f t="shared" si="1397"/>
        <v>80000</v>
      </c>
      <c r="G1295" s="257">
        <f t="shared" si="1397"/>
        <v>0</v>
      </c>
      <c r="H1295" s="257">
        <f t="shared" si="1397"/>
        <v>0</v>
      </c>
      <c r="I1295" s="257">
        <f t="shared" si="1397"/>
        <v>11010000</v>
      </c>
      <c r="J1295" s="257">
        <f t="shared" si="1397"/>
        <v>9850000</v>
      </c>
      <c r="K1295" s="257">
        <f t="shared" si="1397"/>
        <v>0</v>
      </c>
      <c r="L1295" s="257">
        <f t="shared" si="1397"/>
        <v>1160000</v>
      </c>
      <c r="M1295" s="257">
        <f t="shared" si="1397"/>
        <v>23700000</v>
      </c>
      <c r="N1295" s="257">
        <f t="shared" si="1397"/>
        <v>295000</v>
      </c>
      <c r="O1295" s="257">
        <f t="shared" si="1397"/>
        <v>14683950</v>
      </c>
      <c r="P1295" s="257">
        <f t="shared" si="1397"/>
        <v>6828513</v>
      </c>
      <c r="Q1295" s="257">
        <f t="shared" si="1397"/>
        <v>0</v>
      </c>
    </row>
    <row r="1296" spans="1:24" x14ac:dyDescent="0.3">
      <c r="A1296" s="721" t="s">
        <v>118</v>
      </c>
      <c r="B1296" s="721"/>
      <c r="C1296" s="312">
        <f>C1297+C1300+C1308+C1312</f>
        <v>737900</v>
      </c>
      <c r="D1296" s="258">
        <f>D1297+D1300+D1308+D1312</f>
        <v>657900</v>
      </c>
      <c r="E1296" s="258">
        <f>SUM(E1300+E1308+E1312+E1297)</f>
        <v>0</v>
      </c>
      <c r="F1296" s="258">
        <f>SUM(F1297+F1300+F1308+F1312)</f>
        <v>80000</v>
      </c>
      <c r="G1296" s="258">
        <f>SUM(G1300+G1308+G1312+G1297)</f>
        <v>0</v>
      </c>
      <c r="H1296" s="258">
        <f>SUM(H1300+H1308+H1312+H1297)</f>
        <v>0</v>
      </c>
      <c r="I1296" s="258">
        <f>SUM(I1300+I1308+I1312+I1297)</f>
        <v>11010000</v>
      </c>
      <c r="J1296" s="258">
        <f t="shared" ref="J1296:K1296" si="1398">SUM(J1300+J1308+J1312+J1297)</f>
        <v>9850000</v>
      </c>
      <c r="K1296" s="258">
        <f t="shared" si="1398"/>
        <v>0</v>
      </c>
      <c r="L1296" s="258">
        <f t="shared" ref="L1296:Q1296" si="1399">SUM(L1300+L1308+L1312+L1297)</f>
        <v>1160000</v>
      </c>
      <c r="M1296" s="258">
        <f t="shared" si="1399"/>
        <v>23700000</v>
      </c>
      <c r="N1296" s="258">
        <f t="shared" si="1399"/>
        <v>295000</v>
      </c>
      <c r="O1296" s="258">
        <f t="shared" si="1399"/>
        <v>14683950</v>
      </c>
      <c r="P1296" s="258">
        <f t="shared" si="1399"/>
        <v>6828513</v>
      </c>
      <c r="Q1296" s="258">
        <f t="shared" si="1399"/>
        <v>0</v>
      </c>
    </row>
    <row r="1297" spans="1:17" s="10" customFormat="1" ht="14.4" x14ac:dyDescent="0.3">
      <c r="A1297" s="281">
        <v>31</v>
      </c>
      <c r="B1297" s="282" t="s">
        <v>316</v>
      </c>
      <c r="C1297" s="313">
        <f>SUM(C1298)</f>
        <v>125000</v>
      </c>
      <c r="D1297" s="187">
        <f>SUM(D1298)</f>
        <v>75000</v>
      </c>
      <c r="E1297" s="187">
        <f t="shared" ref="E1297:Q1297" si="1400">SUM(E1298,)</f>
        <v>0</v>
      </c>
      <c r="F1297" s="187">
        <f t="shared" si="1400"/>
        <v>50000</v>
      </c>
      <c r="G1297" s="187">
        <f t="shared" si="1400"/>
        <v>0</v>
      </c>
      <c r="H1297" s="187">
        <f t="shared" si="1400"/>
        <v>0</v>
      </c>
      <c r="I1297" s="187">
        <f t="shared" si="1400"/>
        <v>125000</v>
      </c>
      <c r="J1297" s="187">
        <f t="shared" si="1400"/>
        <v>0</v>
      </c>
      <c r="K1297" s="187">
        <f t="shared" si="1400"/>
        <v>0</v>
      </c>
      <c r="L1297" s="187">
        <f t="shared" si="1400"/>
        <v>125000</v>
      </c>
      <c r="M1297" s="187">
        <f t="shared" si="1400"/>
        <v>125000</v>
      </c>
      <c r="N1297" s="187">
        <f t="shared" si="1400"/>
        <v>125000</v>
      </c>
      <c r="O1297" s="187">
        <f t="shared" si="1400"/>
        <v>125000</v>
      </c>
      <c r="P1297" s="187">
        <f t="shared" si="1400"/>
        <v>125000</v>
      </c>
      <c r="Q1297" s="187">
        <f t="shared" si="1400"/>
        <v>0</v>
      </c>
    </row>
    <row r="1298" spans="1:17" s="10" customFormat="1" ht="14.4" x14ac:dyDescent="0.3">
      <c r="A1298" s="283">
        <v>311</v>
      </c>
      <c r="B1298" s="284" t="s">
        <v>4</v>
      </c>
      <c r="C1298" s="314">
        <f t="shared" ref="C1298:Q1298" si="1401">SUM(C1299)</f>
        <v>125000</v>
      </c>
      <c r="D1298" s="221">
        <f t="shared" si="1401"/>
        <v>75000</v>
      </c>
      <c r="E1298" s="221">
        <f t="shared" si="1401"/>
        <v>0</v>
      </c>
      <c r="F1298" s="221">
        <f t="shared" si="1401"/>
        <v>50000</v>
      </c>
      <c r="G1298" s="221">
        <f t="shared" si="1401"/>
        <v>0</v>
      </c>
      <c r="H1298" s="221">
        <f t="shared" si="1401"/>
        <v>0</v>
      </c>
      <c r="I1298" s="221">
        <f t="shared" si="1401"/>
        <v>125000</v>
      </c>
      <c r="J1298" s="221">
        <f t="shared" si="1401"/>
        <v>0</v>
      </c>
      <c r="K1298" s="221">
        <f t="shared" si="1401"/>
        <v>0</v>
      </c>
      <c r="L1298" s="221">
        <f t="shared" si="1401"/>
        <v>125000</v>
      </c>
      <c r="M1298" s="221">
        <f t="shared" si="1401"/>
        <v>125000</v>
      </c>
      <c r="N1298" s="221">
        <f t="shared" si="1401"/>
        <v>125000</v>
      </c>
      <c r="O1298" s="221">
        <f t="shared" si="1401"/>
        <v>125000</v>
      </c>
      <c r="P1298" s="221">
        <f t="shared" si="1401"/>
        <v>125000</v>
      </c>
      <c r="Q1298" s="221">
        <f t="shared" si="1401"/>
        <v>0</v>
      </c>
    </row>
    <row r="1299" spans="1:17" x14ac:dyDescent="0.3">
      <c r="A1299" s="266">
        <v>3111</v>
      </c>
      <c r="B1299" s="267" t="s">
        <v>5</v>
      </c>
      <c r="C1299" s="315">
        <v>125000</v>
      </c>
      <c r="D1299" s="197">
        <v>75000</v>
      </c>
      <c r="E1299" s="197"/>
      <c r="F1299" s="182">
        <f t="shared" ref="F1299" si="1402">C1299-D1299+E1299</f>
        <v>50000</v>
      </c>
      <c r="G1299" s="197"/>
      <c r="H1299" s="197"/>
      <c r="I1299" s="197">
        <v>125000</v>
      </c>
      <c r="J1299" s="295"/>
      <c r="K1299" s="295"/>
      <c r="L1299" s="220">
        <f>I1299-J1299+K1299</f>
        <v>125000</v>
      </c>
      <c r="M1299" s="197">
        <v>125000</v>
      </c>
      <c r="N1299" s="197">
        <v>125000</v>
      </c>
      <c r="O1299" s="197">
        <v>125000</v>
      </c>
      <c r="P1299" s="197">
        <v>125000</v>
      </c>
      <c r="Q1299" s="197"/>
    </row>
    <row r="1300" spans="1:17" x14ac:dyDescent="0.3">
      <c r="A1300" s="305">
        <v>32</v>
      </c>
      <c r="B1300" s="306" t="s">
        <v>318</v>
      </c>
      <c r="C1300" s="307">
        <f>SUM(C1301,C1303,C1306)</f>
        <v>212900</v>
      </c>
      <c r="D1300" s="307">
        <f t="shared" ref="D1300:N1300" si="1403">SUM(D1301,D1303,D1306)</f>
        <v>182900</v>
      </c>
      <c r="E1300" s="307">
        <f t="shared" si="1403"/>
        <v>0</v>
      </c>
      <c r="F1300" s="307">
        <f t="shared" si="1403"/>
        <v>30000</v>
      </c>
      <c r="G1300" s="307">
        <f t="shared" si="1403"/>
        <v>0</v>
      </c>
      <c r="H1300" s="307">
        <f t="shared" si="1403"/>
        <v>0</v>
      </c>
      <c r="I1300" s="307">
        <f t="shared" si="1403"/>
        <v>8235000</v>
      </c>
      <c r="J1300" s="307">
        <f t="shared" si="1403"/>
        <v>7550000</v>
      </c>
      <c r="K1300" s="307">
        <f t="shared" si="1403"/>
        <v>0</v>
      </c>
      <c r="L1300" s="307">
        <f t="shared" si="1403"/>
        <v>685000</v>
      </c>
      <c r="M1300" s="307">
        <f t="shared" si="1403"/>
        <v>21175000</v>
      </c>
      <c r="N1300" s="307">
        <f t="shared" si="1403"/>
        <v>170000</v>
      </c>
      <c r="O1300" s="307">
        <f t="shared" ref="O1300:P1300" si="1404">SUM(O1301,O1303,O1306)</f>
        <v>7282950</v>
      </c>
      <c r="P1300" s="307">
        <f t="shared" si="1404"/>
        <v>6703513</v>
      </c>
      <c r="Q1300" s="307">
        <f t="shared" ref="Q1300" si="1405">SUM(Q1301,Q1303,Q1306)</f>
        <v>0</v>
      </c>
    </row>
    <row r="1301" spans="1:17" x14ac:dyDescent="0.3">
      <c r="A1301" s="283">
        <v>322</v>
      </c>
      <c r="B1301" s="284" t="s">
        <v>16</v>
      </c>
      <c r="C1301" s="221">
        <f>SUM(C1302)</f>
        <v>0</v>
      </c>
      <c r="D1301" s="221">
        <f t="shared" ref="D1301:Q1301" si="1406">SUM(D1302)</f>
        <v>0</v>
      </c>
      <c r="E1301" s="221">
        <f t="shared" si="1406"/>
        <v>0</v>
      </c>
      <c r="F1301" s="221">
        <f t="shared" si="1406"/>
        <v>0</v>
      </c>
      <c r="G1301" s="221">
        <f t="shared" si="1406"/>
        <v>0</v>
      </c>
      <c r="H1301" s="221">
        <f t="shared" si="1406"/>
        <v>0</v>
      </c>
      <c r="I1301" s="221">
        <f t="shared" si="1406"/>
        <v>8000000</v>
      </c>
      <c r="J1301" s="221">
        <f t="shared" si="1406"/>
        <v>7500000</v>
      </c>
      <c r="K1301" s="221">
        <f t="shared" si="1406"/>
        <v>0</v>
      </c>
      <c r="L1301" s="221">
        <f t="shared" si="1406"/>
        <v>500000</v>
      </c>
      <c r="M1301" s="221">
        <f t="shared" si="1406"/>
        <v>20940000</v>
      </c>
      <c r="N1301" s="221">
        <f t="shared" si="1406"/>
        <v>0</v>
      </c>
      <c r="O1301" s="221">
        <f t="shared" si="1406"/>
        <v>7040950</v>
      </c>
      <c r="P1301" s="221">
        <f t="shared" si="1406"/>
        <v>6483513</v>
      </c>
      <c r="Q1301" s="221">
        <f t="shared" si="1406"/>
        <v>0</v>
      </c>
    </row>
    <row r="1302" spans="1:17" x14ac:dyDescent="0.3">
      <c r="A1302" s="266">
        <v>3221</v>
      </c>
      <c r="B1302" s="267" t="s">
        <v>17</v>
      </c>
      <c r="C1302" s="197"/>
      <c r="D1302" s="197"/>
      <c r="E1302" s="197"/>
      <c r="F1302" s="182">
        <f t="shared" ref="F1302" si="1407">C1302-D1302+E1302</f>
        <v>0</v>
      </c>
      <c r="G1302" s="197"/>
      <c r="H1302" s="197"/>
      <c r="I1302" s="195">
        <f>22000000-14000000</f>
        <v>8000000</v>
      </c>
      <c r="J1302" s="297">
        <v>7500000</v>
      </c>
      <c r="K1302" s="297"/>
      <c r="L1302" s="220">
        <f>I1302-J1302+K1302</f>
        <v>500000</v>
      </c>
      <c r="M1302" s="197">
        <v>20940000</v>
      </c>
      <c r="N1302" s="197">
        <v>0</v>
      </c>
      <c r="O1302" s="663">
        <f>36000000-28959050</f>
        <v>7040950</v>
      </c>
      <c r="P1302" s="663">
        <f>4000000+2483513</f>
        <v>6483513</v>
      </c>
      <c r="Q1302" s="197">
        <v>0</v>
      </c>
    </row>
    <row r="1303" spans="1:17" s="4" customFormat="1" ht="12.6" customHeight="1" x14ac:dyDescent="0.3">
      <c r="A1303" s="264">
        <v>323</v>
      </c>
      <c r="B1303" s="271" t="s">
        <v>23</v>
      </c>
      <c r="C1303" s="316">
        <f>SUM(C1305)</f>
        <v>200000</v>
      </c>
      <c r="D1303" s="202">
        <f t="shared" ref="D1303:K1303" si="1408">SUM(D1305)</f>
        <v>170000</v>
      </c>
      <c r="E1303" s="202">
        <f t="shared" si="1408"/>
        <v>0</v>
      </c>
      <c r="F1303" s="202">
        <f t="shared" si="1408"/>
        <v>30000</v>
      </c>
      <c r="G1303" s="202">
        <f t="shared" si="1408"/>
        <v>0</v>
      </c>
      <c r="H1303" s="202">
        <f t="shared" si="1408"/>
        <v>0</v>
      </c>
      <c r="I1303" s="202">
        <f t="shared" si="1408"/>
        <v>200000</v>
      </c>
      <c r="J1303" s="202">
        <f t="shared" si="1408"/>
        <v>50000</v>
      </c>
      <c r="K1303" s="202">
        <f t="shared" si="1408"/>
        <v>0</v>
      </c>
      <c r="L1303" s="202">
        <f>SUM(L1304,L1305)</f>
        <v>150000</v>
      </c>
      <c r="M1303" s="202">
        <f t="shared" ref="M1303:Q1303" si="1409">SUM(M1304,M1305)</f>
        <v>200000</v>
      </c>
      <c r="N1303" s="202">
        <f t="shared" si="1409"/>
        <v>150000</v>
      </c>
      <c r="O1303" s="202">
        <f t="shared" si="1409"/>
        <v>210000</v>
      </c>
      <c r="P1303" s="202">
        <f t="shared" si="1409"/>
        <v>200000</v>
      </c>
      <c r="Q1303" s="202">
        <f t="shared" si="1409"/>
        <v>0</v>
      </c>
    </row>
    <row r="1304" spans="1:17" s="10" customFormat="1" ht="14.4" x14ac:dyDescent="0.3">
      <c r="A1304" s="266">
        <v>3233</v>
      </c>
      <c r="B1304" s="267" t="s">
        <v>26</v>
      </c>
      <c r="C1304" s="309">
        <v>50000</v>
      </c>
      <c r="D1304" s="309"/>
      <c r="E1304" s="309"/>
      <c r="F1304" s="182">
        <f t="shared" ref="F1304" si="1410">C1304-D1304+E1304</f>
        <v>50000</v>
      </c>
      <c r="G1304" s="309"/>
      <c r="H1304" s="309"/>
      <c r="I1304" s="309"/>
      <c r="J1304" s="309"/>
      <c r="K1304" s="309"/>
      <c r="L1304" s="309"/>
      <c r="M1304" s="309"/>
      <c r="N1304" s="309"/>
      <c r="O1304" s="309">
        <v>10000</v>
      </c>
      <c r="P1304" s="309"/>
      <c r="Q1304" s="309"/>
    </row>
    <row r="1305" spans="1:17" s="4" customFormat="1" x14ac:dyDescent="0.3">
      <c r="A1305" s="200">
        <v>3237</v>
      </c>
      <c r="B1305" s="201" t="s">
        <v>30</v>
      </c>
      <c r="C1305" s="317">
        <v>200000</v>
      </c>
      <c r="D1305" s="191">
        <v>170000</v>
      </c>
      <c r="E1305" s="191"/>
      <c r="F1305" s="182">
        <f t="shared" ref="F1305:F1314" si="1411">C1305-D1305+E1305</f>
        <v>30000</v>
      </c>
      <c r="G1305" s="191"/>
      <c r="H1305" s="191"/>
      <c r="I1305" s="191">
        <v>200000</v>
      </c>
      <c r="J1305" s="233">
        <v>50000</v>
      </c>
      <c r="K1305" s="233"/>
      <c r="L1305" s="220">
        <f>I1305-J1305+K1305</f>
        <v>150000</v>
      </c>
      <c r="M1305" s="191">
        <v>200000</v>
      </c>
      <c r="N1305" s="191">
        <v>150000</v>
      </c>
      <c r="O1305" s="191">
        <v>200000</v>
      </c>
      <c r="P1305" s="191">
        <v>200000</v>
      </c>
      <c r="Q1305" s="191"/>
    </row>
    <row r="1306" spans="1:17" x14ac:dyDescent="0.3">
      <c r="A1306" s="177">
        <v>329</v>
      </c>
      <c r="B1306" s="178" t="s">
        <v>33</v>
      </c>
      <c r="C1306" s="318">
        <f t="shared" ref="C1306:Q1306" si="1412">SUM(C1307)</f>
        <v>12900</v>
      </c>
      <c r="D1306" s="179">
        <f t="shared" si="1412"/>
        <v>12900</v>
      </c>
      <c r="E1306" s="179">
        <f t="shared" si="1412"/>
        <v>0</v>
      </c>
      <c r="F1306" s="179">
        <f t="shared" si="1411"/>
        <v>0</v>
      </c>
      <c r="G1306" s="179">
        <f t="shared" si="1412"/>
        <v>0</v>
      </c>
      <c r="H1306" s="179">
        <f t="shared" si="1412"/>
        <v>0</v>
      </c>
      <c r="I1306" s="179">
        <f t="shared" si="1412"/>
        <v>35000</v>
      </c>
      <c r="J1306" s="179">
        <f t="shared" si="1412"/>
        <v>0</v>
      </c>
      <c r="K1306" s="179">
        <f t="shared" si="1412"/>
        <v>0</v>
      </c>
      <c r="L1306" s="179">
        <f t="shared" si="1412"/>
        <v>35000</v>
      </c>
      <c r="M1306" s="179">
        <f t="shared" si="1412"/>
        <v>35000</v>
      </c>
      <c r="N1306" s="179">
        <f t="shared" si="1412"/>
        <v>20000</v>
      </c>
      <c r="O1306" s="179">
        <f t="shared" si="1412"/>
        <v>32000</v>
      </c>
      <c r="P1306" s="179">
        <f t="shared" si="1412"/>
        <v>20000</v>
      </c>
      <c r="Q1306" s="179">
        <f t="shared" si="1412"/>
        <v>0</v>
      </c>
    </row>
    <row r="1307" spans="1:17" x14ac:dyDescent="0.3">
      <c r="A1307" s="180">
        <v>3292</v>
      </c>
      <c r="B1307" s="181" t="s">
        <v>35</v>
      </c>
      <c r="C1307" s="319">
        <v>12900</v>
      </c>
      <c r="D1307" s="182">
        <v>12900</v>
      </c>
      <c r="E1307" s="182"/>
      <c r="F1307" s="182">
        <f t="shared" si="1411"/>
        <v>0</v>
      </c>
      <c r="G1307" s="182"/>
      <c r="H1307" s="182"/>
      <c r="I1307" s="182">
        <v>35000</v>
      </c>
      <c r="J1307" s="220"/>
      <c r="K1307" s="220"/>
      <c r="L1307" s="220">
        <f>I1307-J1307+K1307</f>
        <v>35000</v>
      </c>
      <c r="M1307" s="182">
        <v>35000</v>
      </c>
      <c r="N1307" s="182">
        <v>20000</v>
      </c>
      <c r="O1307" s="182">
        <v>32000</v>
      </c>
      <c r="P1307" s="182">
        <v>20000</v>
      </c>
      <c r="Q1307" s="182"/>
    </row>
    <row r="1308" spans="1:17" s="4" customFormat="1" x14ac:dyDescent="0.3">
      <c r="A1308" s="281">
        <v>42</v>
      </c>
      <c r="B1308" s="210" t="s">
        <v>324</v>
      </c>
      <c r="C1308" s="307">
        <f>SUM(C1309)</f>
        <v>88500</v>
      </c>
      <c r="D1308" s="320">
        <f>SUM(D1309)</f>
        <v>88500</v>
      </c>
      <c r="E1308" s="320">
        <f>SUM(E1309)</f>
        <v>0</v>
      </c>
      <c r="F1308" s="176">
        <f t="shared" si="1411"/>
        <v>0</v>
      </c>
      <c r="G1308" s="320">
        <f>SUM(G1309)</f>
        <v>0</v>
      </c>
      <c r="H1308" s="320">
        <f>SUM(H1309)</f>
        <v>0</v>
      </c>
      <c r="I1308" s="320">
        <f>SUM(I1309)</f>
        <v>2150000</v>
      </c>
      <c r="J1308" s="320">
        <f t="shared" ref="J1308:K1308" si="1413">SUM(J1309)</f>
        <v>1800000</v>
      </c>
      <c r="K1308" s="320">
        <f t="shared" si="1413"/>
        <v>0</v>
      </c>
      <c r="L1308" s="320">
        <f t="shared" ref="L1308:Q1308" si="1414">SUM(L1309)</f>
        <v>350000</v>
      </c>
      <c r="M1308" s="320">
        <f t="shared" si="1414"/>
        <v>2400000</v>
      </c>
      <c r="N1308" s="320">
        <f t="shared" si="1414"/>
        <v>0</v>
      </c>
      <c r="O1308" s="320">
        <f t="shared" si="1414"/>
        <v>6476000</v>
      </c>
      <c r="P1308" s="320">
        <f t="shared" si="1414"/>
        <v>0</v>
      </c>
      <c r="Q1308" s="320">
        <f t="shared" si="1414"/>
        <v>0</v>
      </c>
    </row>
    <row r="1309" spans="1:17" s="4" customFormat="1" ht="26.55" customHeight="1" x14ac:dyDescent="0.3">
      <c r="A1309" s="283">
        <v>422</v>
      </c>
      <c r="B1309" s="284" t="s">
        <v>53</v>
      </c>
      <c r="C1309" s="321">
        <f>SUM(C1310:C1311)</f>
        <v>88500</v>
      </c>
      <c r="D1309" s="259">
        <f>SUM(D1310:D1311)</f>
        <v>88500</v>
      </c>
      <c r="E1309" s="259">
        <f>SUM(E1310:E1311)</f>
        <v>0</v>
      </c>
      <c r="F1309" s="179">
        <f t="shared" si="1411"/>
        <v>0</v>
      </c>
      <c r="G1309" s="259">
        <f>SUM(G1310:G1311)</f>
        <v>0</v>
      </c>
      <c r="H1309" s="259">
        <f>SUM(H1310:H1311)</f>
        <v>0</v>
      </c>
      <c r="I1309" s="259">
        <f>SUM(I1310:I1311)</f>
        <v>2150000</v>
      </c>
      <c r="J1309" s="259">
        <f t="shared" ref="J1309:K1309" si="1415">SUM(J1310:J1311)</f>
        <v>1800000</v>
      </c>
      <c r="K1309" s="259">
        <f t="shared" si="1415"/>
        <v>0</v>
      </c>
      <c r="L1309" s="259">
        <f t="shared" ref="L1309:Q1309" si="1416">SUM(L1310:L1311)</f>
        <v>350000</v>
      </c>
      <c r="M1309" s="259">
        <f t="shared" si="1416"/>
        <v>2400000</v>
      </c>
      <c r="N1309" s="259">
        <f t="shared" si="1416"/>
        <v>0</v>
      </c>
      <c r="O1309" s="259">
        <f t="shared" si="1416"/>
        <v>6476000</v>
      </c>
      <c r="P1309" s="259">
        <f t="shared" si="1416"/>
        <v>0</v>
      </c>
      <c r="Q1309" s="259">
        <f t="shared" si="1416"/>
        <v>0</v>
      </c>
    </row>
    <row r="1310" spans="1:17" s="4" customFormat="1" x14ac:dyDescent="0.3">
      <c r="A1310" s="266">
        <v>4221</v>
      </c>
      <c r="B1310" s="267" t="s">
        <v>54</v>
      </c>
      <c r="C1310" s="322">
        <v>75000</v>
      </c>
      <c r="D1310" s="260">
        <v>75000</v>
      </c>
      <c r="E1310" s="260"/>
      <c r="F1310" s="182">
        <f t="shared" si="1411"/>
        <v>0</v>
      </c>
      <c r="G1310" s="260"/>
      <c r="H1310" s="260"/>
      <c r="I1310" s="260">
        <v>150000</v>
      </c>
      <c r="J1310" s="399"/>
      <c r="K1310" s="399"/>
      <c r="L1310" s="220">
        <f>I1310-J1310+K1310</f>
        <v>150000</v>
      </c>
      <c r="M1310" s="260"/>
      <c r="N1310" s="260"/>
      <c r="O1310" s="260">
        <v>76000</v>
      </c>
      <c r="P1310" s="260"/>
      <c r="Q1310" s="260"/>
    </row>
    <row r="1311" spans="1:17" s="4" customFormat="1" x14ac:dyDescent="0.3">
      <c r="A1311" s="323">
        <v>4227</v>
      </c>
      <c r="B1311" s="324" t="s">
        <v>60</v>
      </c>
      <c r="C1311" s="322">
        <v>13500</v>
      </c>
      <c r="D1311" s="260">
        <v>13500</v>
      </c>
      <c r="E1311" s="260"/>
      <c r="F1311" s="182">
        <f t="shared" si="1411"/>
        <v>0</v>
      </c>
      <c r="G1311" s="260"/>
      <c r="H1311" s="260"/>
      <c r="I1311" s="275">
        <f>6000000-4000000</f>
        <v>2000000</v>
      </c>
      <c r="J1311" s="402">
        <v>1800000</v>
      </c>
      <c r="K1311" s="402"/>
      <c r="L1311" s="220">
        <f>I1311-J1311+K1311</f>
        <v>200000</v>
      </c>
      <c r="M1311" s="260">
        <v>2400000</v>
      </c>
      <c r="N1311" s="260"/>
      <c r="O1311" s="260">
        <v>6400000</v>
      </c>
      <c r="P1311" s="260"/>
      <c r="Q1311" s="260"/>
    </row>
    <row r="1312" spans="1:17" s="4" customFormat="1" ht="26.4" x14ac:dyDescent="0.3">
      <c r="A1312" s="281">
        <v>45</v>
      </c>
      <c r="B1312" s="210" t="s">
        <v>326</v>
      </c>
      <c r="C1312" s="307">
        <f t="shared" ref="C1312:Q1312" si="1417">SUM(C1313)</f>
        <v>311500</v>
      </c>
      <c r="D1312" s="320">
        <f t="shared" si="1417"/>
        <v>311500</v>
      </c>
      <c r="E1312" s="320">
        <f t="shared" si="1417"/>
        <v>0</v>
      </c>
      <c r="F1312" s="176">
        <f t="shared" si="1411"/>
        <v>0</v>
      </c>
      <c r="G1312" s="320">
        <f t="shared" si="1417"/>
        <v>0</v>
      </c>
      <c r="H1312" s="320">
        <f t="shared" si="1417"/>
        <v>0</v>
      </c>
      <c r="I1312" s="320">
        <f t="shared" si="1417"/>
        <v>500000</v>
      </c>
      <c r="J1312" s="320">
        <f t="shared" si="1417"/>
        <v>500000</v>
      </c>
      <c r="K1312" s="320">
        <f t="shared" si="1417"/>
        <v>0</v>
      </c>
      <c r="L1312" s="320">
        <f t="shared" si="1417"/>
        <v>0</v>
      </c>
      <c r="M1312" s="320">
        <f t="shared" si="1417"/>
        <v>0</v>
      </c>
      <c r="N1312" s="320">
        <f t="shared" si="1417"/>
        <v>0</v>
      </c>
      <c r="O1312" s="320">
        <f t="shared" si="1417"/>
        <v>800000</v>
      </c>
      <c r="P1312" s="320">
        <f t="shared" si="1417"/>
        <v>0</v>
      </c>
      <c r="Q1312" s="320">
        <f t="shared" si="1417"/>
        <v>0</v>
      </c>
    </row>
    <row r="1313" spans="1:17" s="4" customFormat="1" x14ac:dyDescent="0.3">
      <c r="A1313" s="283">
        <v>451</v>
      </c>
      <c r="B1313" s="284" t="s">
        <v>55</v>
      </c>
      <c r="C1313" s="321">
        <f t="shared" ref="C1313:Q1313" si="1418">SUM(C1314)</f>
        <v>311500</v>
      </c>
      <c r="D1313" s="259">
        <f t="shared" si="1418"/>
        <v>311500</v>
      </c>
      <c r="E1313" s="259">
        <f t="shared" si="1418"/>
        <v>0</v>
      </c>
      <c r="F1313" s="179">
        <f t="shared" si="1411"/>
        <v>0</v>
      </c>
      <c r="G1313" s="259">
        <f t="shared" si="1418"/>
        <v>0</v>
      </c>
      <c r="H1313" s="259">
        <f t="shared" si="1418"/>
        <v>0</v>
      </c>
      <c r="I1313" s="259">
        <f t="shared" si="1418"/>
        <v>500000</v>
      </c>
      <c r="J1313" s="259">
        <f t="shared" si="1418"/>
        <v>500000</v>
      </c>
      <c r="K1313" s="259">
        <f t="shared" si="1418"/>
        <v>0</v>
      </c>
      <c r="L1313" s="259">
        <f t="shared" si="1418"/>
        <v>0</v>
      </c>
      <c r="M1313" s="259">
        <f t="shared" si="1418"/>
        <v>0</v>
      </c>
      <c r="N1313" s="259">
        <f t="shared" si="1418"/>
        <v>0</v>
      </c>
      <c r="O1313" s="259">
        <f t="shared" si="1418"/>
        <v>800000</v>
      </c>
      <c r="P1313" s="259">
        <f t="shared" si="1418"/>
        <v>0</v>
      </c>
      <c r="Q1313" s="259">
        <f t="shared" si="1418"/>
        <v>0</v>
      </c>
    </row>
    <row r="1314" spans="1:17" x14ac:dyDescent="0.3">
      <c r="A1314" s="266">
        <v>4511</v>
      </c>
      <c r="B1314" s="267" t="s">
        <v>55</v>
      </c>
      <c r="C1314" s="322">
        <v>311500</v>
      </c>
      <c r="D1314" s="260">
        <v>311500</v>
      </c>
      <c r="E1314" s="260"/>
      <c r="F1314" s="182">
        <f t="shared" si="1411"/>
        <v>0</v>
      </c>
      <c r="G1314" s="260"/>
      <c r="H1314" s="260"/>
      <c r="I1314" s="275">
        <f>1500000-1000000</f>
        <v>500000</v>
      </c>
      <c r="J1314" s="402">
        <v>500000</v>
      </c>
      <c r="K1314" s="402"/>
      <c r="L1314" s="220">
        <f>I1314-J1314+K1314</f>
        <v>0</v>
      </c>
      <c r="M1314" s="260"/>
      <c r="N1314" s="260"/>
      <c r="O1314" s="260">
        <v>800000</v>
      </c>
      <c r="P1314" s="260"/>
      <c r="Q1314" s="260"/>
    </row>
    <row r="1315" spans="1:17" ht="26.4" x14ac:dyDescent="0.3">
      <c r="A1315" s="242" t="s">
        <v>373</v>
      </c>
      <c r="B1315" s="231" t="s">
        <v>374</v>
      </c>
      <c r="C1315" s="311">
        <f>SUM(C1316)</f>
        <v>1155700</v>
      </c>
      <c r="D1315" s="257">
        <f>D1317+D1320+D1333+D1339</f>
        <v>1044100</v>
      </c>
      <c r="E1315" s="257">
        <f>SUM(E1316)</f>
        <v>3400</v>
      </c>
      <c r="F1315" s="311">
        <f>SUM(F1320+F1333+F1339+F1317)</f>
        <v>115000</v>
      </c>
      <c r="G1315" s="257">
        <f>SUM(G1316)</f>
        <v>0</v>
      </c>
      <c r="H1315" s="257">
        <f>SUM(H1316)</f>
        <v>0</v>
      </c>
      <c r="I1315" s="257">
        <f>SUM(I1316)</f>
        <v>5818000</v>
      </c>
      <c r="J1315" s="257">
        <f t="shared" ref="J1315:K1315" si="1419">SUM(J1316)</f>
        <v>5044000</v>
      </c>
      <c r="K1315" s="257">
        <f t="shared" si="1419"/>
        <v>0</v>
      </c>
      <c r="L1315" s="257">
        <f t="shared" ref="L1315:Q1315" si="1420">SUM(L1316)</f>
        <v>774000</v>
      </c>
      <c r="M1315" s="257">
        <f t="shared" si="1420"/>
        <v>9798000</v>
      </c>
      <c r="N1315" s="257">
        <f t="shared" si="1420"/>
        <v>256000</v>
      </c>
      <c r="O1315" s="257">
        <f t="shared" si="1420"/>
        <v>13880000</v>
      </c>
      <c r="P1315" s="257">
        <f t="shared" si="1420"/>
        <v>1848000</v>
      </c>
      <c r="Q1315" s="257">
        <f t="shared" si="1420"/>
        <v>0</v>
      </c>
    </row>
    <row r="1316" spans="1:17" x14ac:dyDescent="0.3">
      <c r="A1316" s="721" t="s">
        <v>118</v>
      </c>
      <c r="B1316" s="721"/>
      <c r="C1316" s="325">
        <f>SUM(C1317,C1320+C1333+C1339)</f>
        <v>1155700</v>
      </c>
      <c r="D1316" s="258">
        <f>SUM(D1317,D1320,D1333,D1339)</f>
        <v>1044100</v>
      </c>
      <c r="E1316" s="258">
        <f>SUM(E1320+E1333+E1339+E1317)</f>
        <v>3400</v>
      </c>
      <c r="F1316" s="258">
        <f>SUM(F1320+F1333+F1339+F1317)</f>
        <v>115000</v>
      </c>
      <c r="G1316" s="258">
        <f>SUM(G1317,G1320+G1333+G1339)</f>
        <v>0</v>
      </c>
      <c r="H1316" s="258">
        <f t="shared" ref="H1316:N1316" si="1421">SUM(H1317,H1320+H1333+H1339)</f>
        <v>0</v>
      </c>
      <c r="I1316" s="258">
        <f t="shared" si="1421"/>
        <v>5818000</v>
      </c>
      <c r="J1316" s="258">
        <f t="shared" si="1421"/>
        <v>5044000</v>
      </c>
      <c r="K1316" s="258">
        <f t="shared" si="1421"/>
        <v>0</v>
      </c>
      <c r="L1316" s="258">
        <f t="shared" si="1421"/>
        <v>774000</v>
      </c>
      <c r="M1316" s="258">
        <f t="shared" si="1421"/>
        <v>9798000</v>
      </c>
      <c r="N1316" s="258">
        <f t="shared" si="1421"/>
        <v>256000</v>
      </c>
      <c r="O1316" s="258">
        <f t="shared" ref="O1316:P1316" si="1422">SUM(O1317,O1320+O1333+O1339)</f>
        <v>13880000</v>
      </c>
      <c r="P1316" s="258">
        <f t="shared" si="1422"/>
        <v>1848000</v>
      </c>
      <c r="Q1316" s="258">
        <f t="shared" ref="Q1316" si="1423">SUM(Q1317,Q1320+Q1333+Q1339)</f>
        <v>0</v>
      </c>
    </row>
    <row r="1317" spans="1:17" s="4" customFormat="1" x14ac:dyDescent="0.3">
      <c r="A1317" s="281">
        <v>31</v>
      </c>
      <c r="B1317" s="282" t="s">
        <v>316</v>
      </c>
      <c r="C1317" s="187">
        <f>C1318</f>
        <v>130000</v>
      </c>
      <c r="D1317" s="187">
        <f>D1318</f>
        <v>50000</v>
      </c>
      <c r="E1317" s="187">
        <f t="shared" ref="E1317:Q1317" si="1424">SUM(E1318,)</f>
        <v>0</v>
      </c>
      <c r="F1317" s="187">
        <f t="shared" si="1424"/>
        <v>80000</v>
      </c>
      <c r="G1317" s="187">
        <f t="shared" si="1424"/>
        <v>0</v>
      </c>
      <c r="H1317" s="187">
        <f t="shared" si="1424"/>
        <v>0</v>
      </c>
      <c r="I1317" s="187">
        <f t="shared" si="1424"/>
        <v>130000</v>
      </c>
      <c r="J1317" s="187">
        <f t="shared" si="1424"/>
        <v>0</v>
      </c>
      <c r="K1317" s="187">
        <f t="shared" si="1424"/>
        <v>0</v>
      </c>
      <c r="L1317" s="187">
        <f t="shared" si="1424"/>
        <v>130000</v>
      </c>
      <c r="M1317" s="187">
        <f t="shared" si="1424"/>
        <v>130000</v>
      </c>
      <c r="N1317" s="187">
        <f t="shared" si="1424"/>
        <v>130000</v>
      </c>
      <c r="O1317" s="187">
        <f t="shared" si="1424"/>
        <v>130000</v>
      </c>
      <c r="P1317" s="187">
        <f t="shared" si="1424"/>
        <v>130000</v>
      </c>
      <c r="Q1317" s="187">
        <f t="shared" si="1424"/>
        <v>0</v>
      </c>
    </row>
    <row r="1318" spans="1:17" s="4" customFormat="1" x14ac:dyDescent="0.3">
      <c r="A1318" s="283">
        <v>311</v>
      </c>
      <c r="B1318" s="284" t="s">
        <v>4</v>
      </c>
      <c r="C1318" s="221">
        <f t="shared" ref="C1318:Q1318" si="1425">SUM(C1319)</f>
        <v>130000</v>
      </c>
      <c r="D1318" s="221">
        <f>SUM(D1319)</f>
        <v>50000</v>
      </c>
      <c r="E1318" s="221">
        <f>SUM(E1319)</f>
        <v>0</v>
      </c>
      <c r="F1318" s="221">
        <f t="shared" si="1425"/>
        <v>80000</v>
      </c>
      <c r="G1318" s="221">
        <f t="shared" si="1425"/>
        <v>0</v>
      </c>
      <c r="H1318" s="221">
        <f t="shared" si="1425"/>
        <v>0</v>
      </c>
      <c r="I1318" s="221">
        <f t="shared" si="1425"/>
        <v>130000</v>
      </c>
      <c r="J1318" s="221">
        <f t="shared" si="1425"/>
        <v>0</v>
      </c>
      <c r="K1318" s="221">
        <f t="shared" si="1425"/>
        <v>0</v>
      </c>
      <c r="L1318" s="221">
        <f t="shared" si="1425"/>
        <v>130000</v>
      </c>
      <c r="M1318" s="221">
        <f t="shared" si="1425"/>
        <v>130000</v>
      </c>
      <c r="N1318" s="221">
        <f t="shared" si="1425"/>
        <v>130000</v>
      </c>
      <c r="O1318" s="221">
        <f t="shared" si="1425"/>
        <v>130000</v>
      </c>
      <c r="P1318" s="221">
        <f t="shared" si="1425"/>
        <v>130000</v>
      </c>
      <c r="Q1318" s="221">
        <f t="shared" si="1425"/>
        <v>0</v>
      </c>
    </row>
    <row r="1319" spans="1:17" s="4" customFormat="1" x14ac:dyDescent="0.3">
      <c r="A1319" s="266">
        <v>3111</v>
      </c>
      <c r="B1319" s="267" t="s">
        <v>5</v>
      </c>
      <c r="C1319" s="197">
        <v>130000</v>
      </c>
      <c r="D1319" s="197">
        <v>50000</v>
      </c>
      <c r="E1319" s="197"/>
      <c r="F1319" s="182">
        <f t="shared" ref="F1319:F1332" si="1426">C1319-D1319+E1319</f>
        <v>80000</v>
      </c>
      <c r="G1319" s="197"/>
      <c r="H1319" s="197"/>
      <c r="I1319" s="197">
        <v>130000</v>
      </c>
      <c r="J1319" s="295"/>
      <c r="K1319" s="295"/>
      <c r="L1319" s="220">
        <f>I1319-J1319+K1319</f>
        <v>130000</v>
      </c>
      <c r="M1319" s="197">
        <v>130000</v>
      </c>
      <c r="N1319" s="197">
        <v>130000</v>
      </c>
      <c r="O1319" s="197">
        <v>130000</v>
      </c>
      <c r="P1319" s="197">
        <v>130000</v>
      </c>
      <c r="Q1319" s="197"/>
    </row>
    <row r="1320" spans="1:17" s="4" customFormat="1" x14ac:dyDescent="0.3">
      <c r="A1320" s="305">
        <v>32</v>
      </c>
      <c r="B1320" s="306" t="s">
        <v>318</v>
      </c>
      <c r="C1320" s="307">
        <f>C1321+C1324+C1328+C1331</f>
        <v>172600</v>
      </c>
      <c r="D1320" s="320">
        <f>D1321+D1324+D1328+D1331</f>
        <v>141000</v>
      </c>
      <c r="E1320" s="320">
        <f>SUM(E1321+E1324+E1328)</f>
        <v>3400</v>
      </c>
      <c r="F1320" s="176">
        <f>F1321+F1324+F1328+F1331</f>
        <v>35000</v>
      </c>
      <c r="G1320" s="320">
        <f>SUM(G1321+G1324+G1328)</f>
        <v>0</v>
      </c>
      <c r="H1320" s="320">
        <f>SUM(H1321+H1324+H1328)</f>
        <v>0</v>
      </c>
      <c r="I1320" s="320">
        <f>SUM(I1321+I1324+I1328,I1331)</f>
        <v>618000</v>
      </c>
      <c r="J1320" s="320">
        <f t="shared" ref="J1320:K1320" si="1427">SUM(J1321+J1324+J1328,J1331)</f>
        <v>380000</v>
      </c>
      <c r="K1320" s="320">
        <f t="shared" si="1427"/>
        <v>0</v>
      </c>
      <c r="L1320" s="320">
        <f>SUM(L1321+L1324+L1328,L1331)</f>
        <v>238000</v>
      </c>
      <c r="M1320" s="320">
        <f t="shared" ref="M1320:N1320" si="1428">SUM(M1321+M1324+M1328,M1331)</f>
        <v>236000</v>
      </c>
      <c r="N1320" s="320">
        <f t="shared" si="1428"/>
        <v>126000</v>
      </c>
      <c r="O1320" s="320">
        <f t="shared" ref="O1320:P1320" si="1429">SUM(O1321+O1324+O1328,O1331)</f>
        <v>550000</v>
      </c>
      <c r="P1320" s="320">
        <f t="shared" si="1429"/>
        <v>118000</v>
      </c>
      <c r="Q1320" s="320">
        <f t="shared" ref="Q1320" si="1430">SUM(Q1321+Q1324+Q1328,Q1331)</f>
        <v>0</v>
      </c>
    </row>
    <row r="1321" spans="1:17" s="4" customFormat="1" x14ac:dyDescent="0.3">
      <c r="A1321" s="269">
        <v>321</v>
      </c>
      <c r="B1321" s="178" t="s">
        <v>12</v>
      </c>
      <c r="C1321" s="321">
        <f>SUM(C1322:C1323)</f>
        <v>13600</v>
      </c>
      <c r="D1321" s="259">
        <f>SUM(D1322:D1323)</f>
        <v>12000</v>
      </c>
      <c r="E1321" s="259">
        <f>SUM(E1322:E1323)</f>
        <v>3400</v>
      </c>
      <c r="F1321" s="179">
        <f t="shared" si="1426"/>
        <v>5000</v>
      </c>
      <c r="G1321" s="259">
        <f>SUM(G1322:G1323)</f>
        <v>0</v>
      </c>
      <c r="H1321" s="259">
        <f>SUM(H1322:H1323)</f>
        <v>0</v>
      </c>
      <c r="I1321" s="259">
        <f>SUM(I1322:I1323)</f>
        <v>56000</v>
      </c>
      <c r="J1321" s="259">
        <f t="shared" ref="J1321:K1321" si="1431">SUM(J1322:J1323)</f>
        <v>0</v>
      </c>
      <c r="K1321" s="259">
        <f t="shared" si="1431"/>
        <v>0</v>
      </c>
      <c r="L1321" s="259">
        <f>SUM(L1322:L1323)</f>
        <v>56000</v>
      </c>
      <c r="M1321" s="259">
        <f t="shared" ref="M1321:N1321" si="1432">SUM(M1322:M1323)</f>
        <v>34000</v>
      </c>
      <c r="N1321" s="259">
        <f t="shared" si="1432"/>
        <v>6000</v>
      </c>
      <c r="O1321" s="259">
        <f t="shared" ref="O1321:P1321" si="1433">SUM(O1322:O1323)</f>
        <v>34000</v>
      </c>
      <c r="P1321" s="259">
        <f t="shared" si="1433"/>
        <v>6000</v>
      </c>
      <c r="Q1321" s="259">
        <f t="shared" ref="Q1321" si="1434">SUM(Q1322:Q1323)</f>
        <v>0</v>
      </c>
    </row>
    <row r="1322" spans="1:17" s="4" customFormat="1" x14ac:dyDescent="0.3">
      <c r="A1322" s="266">
        <v>3211</v>
      </c>
      <c r="B1322" s="267" t="s">
        <v>13</v>
      </c>
      <c r="C1322" s="197">
        <v>1600</v>
      </c>
      <c r="D1322" s="197"/>
      <c r="E1322" s="197">
        <v>3400</v>
      </c>
      <c r="F1322" s="182">
        <f t="shared" si="1426"/>
        <v>5000</v>
      </c>
      <c r="G1322" s="197"/>
      <c r="H1322" s="197"/>
      <c r="I1322" s="197">
        <v>6000</v>
      </c>
      <c r="J1322" s="295"/>
      <c r="K1322" s="295"/>
      <c r="L1322" s="220">
        <f>I1322-J1322+K1322</f>
        <v>6000</v>
      </c>
      <c r="M1322" s="197">
        <v>6000</v>
      </c>
      <c r="N1322" s="197">
        <v>6000</v>
      </c>
      <c r="O1322" s="197">
        <v>6000</v>
      </c>
      <c r="P1322" s="197">
        <v>6000</v>
      </c>
      <c r="Q1322" s="197"/>
    </row>
    <row r="1323" spans="1:17" s="4" customFormat="1" x14ac:dyDescent="0.3">
      <c r="A1323" s="180">
        <v>3213</v>
      </c>
      <c r="B1323" s="181" t="s">
        <v>15</v>
      </c>
      <c r="C1323" s="326">
        <v>12000</v>
      </c>
      <c r="D1323" s="277">
        <v>12000</v>
      </c>
      <c r="E1323" s="277"/>
      <c r="F1323" s="182">
        <f t="shared" si="1426"/>
        <v>0</v>
      </c>
      <c r="G1323" s="277"/>
      <c r="H1323" s="277"/>
      <c r="I1323" s="277">
        <v>50000</v>
      </c>
      <c r="J1323" s="403"/>
      <c r="K1323" s="403"/>
      <c r="L1323" s="220">
        <f>I1323-J1323+K1323</f>
        <v>50000</v>
      </c>
      <c r="M1323" s="277">
        <v>28000</v>
      </c>
      <c r="N1323" s="277"/>
      <c r="O1323" s="277">
        <v>28000</v>
      </c>
      <c r="P1323" s="277"/>
      <c r="Q1323" s="277"/>
    </row>
    <row r="1324" spans="1:17" s="4" customFormat="1" x14ac:dyDescent="0.3">
      <c r="A1324" s="177">
        <v>322</v>
      </c>
      <c r="B1324" s="178" t="s">
        <v>16</v>
      </c>
      <c r="C1324" s="327">
        <f>SUM(C1325:C1327)</f>
        <v>63000</v>
      </c>
      <c r="D1324" s="327">
        <f>SUM(D1325:D1327)</f>
        <v>63000</v>
      </c>
      <c r="E1324" s="327">
        <f>SUM(E1325:E1326)</f>
        <v>0</v>
      </c>
      <c r="F1324" s="179">
        <f t="shared" si="1426"/>
        <v>0</v>
      </c>
      <c r="G1324" s="327">
        <f>SUM(G1325:G1327)</f>
        <v>0</v>
      </c>
      <c r="H1324" s="327">
        <f t="shared" ref="H1324:N1324" si="1435">SUM(H1325:H1327)</f>
        <v>0</v>
      </c>
      <c r="I1324" s="327">
        <f t="shared" si="1435"/>
        <v>390000</v>
      </c>
      <c r="J1324" s="327">
        <f t="shared" si="1435"/>
        <v>360000</v>
      </c>
      <c r="K1324" s="327">
        <f t="shared" si="1435"/>
        <v>0</v>
      </c>
      <c r="L1324" s="327">
        <f t="shared" si="1435"/>
        <v>30000</v>
      </c>
      <c r="M1324" s="327">
        <f t="shared" si="1435"/>
        <v>62000</v>
      </c>
      <c r="N1324" s="327">
        <f t="shared" si="1435"/>
        <v>62000</v>
      </c>
      <c r="O1324" s="327">
        <f t="shared" ref="O1324:P1324" si="1436">SUM(O1325:O1327)</f>
        <v>360000</v>
      </c>
      <c r="P1324" s="327">
        <f t="shared" si="1436"/>
        <v>40000</v>
      </c>
      <c r="Q1324" s="327">
        <f t="shared" ref="Q1324" si="1437">SUM(Q1325:Q1327)</f>
        <v>0</v>
      </c>
    </row>
    <row r="1325" spans="1:17" s="4" customFormat="1" x14ac:dyDescent="0.3">
      <c r="A1325" s="180">
        <v>3222</v>
      </c>
      <c r="B1325" s="181" t="s">
        <v>18</v>
      </c>
      <c r="C1325" s="319">
        <v>38000</v>
      </c>
      <c r="D1325" s="319">
        <v>38000</v>
      </c>
      <c r="E1325" s="319"/>
      <c r="F1325" s="182">
        <f t="shared" si="1426"/>
        <v>0</v>
      </c>
      <c r="G1325" s="319"/>
      <c r="H1325" s="319"/>
      <c r="I1325" s="319">
        <v>100000</v>
      </c>
      <c r="J1325" s="319">
        <v>90000</v>
      </c>
      <c r="K1325" s="319"/>
      <c r="L1325" s="220">
        <f>I1325-J1325+K1325</f>
        <v>10000</v>
      </c>
      <c r="M1325" s="319"/>
      <c r="N1325" s="319"/>
      <c r="O1325" s="319">
        <v>80000</v>
      </c>
      <c r="P1325" s="319"/>
      <c r="Q1325" s="319"/>
    </row>
    <row r="1326" spans="1:17" s="4" customFormat="1" x14ac:dyDescent="0.3">
      <c r="A1326" s="266">
        <v>3223</v>
      </c>
      <c r="B1326" s="267" t="s">
        <v>19</v>
      </c>
      <c r="C1326" s="322">
        <v>25000</v>
      </c>
      <c r="D1326" s="260">
        <v>25000</v>
      </c>
      <c r="E1326" s="260"/>
      <c r="F1326" s="182">
        <f t="shared" si="1426"/>
        <v>0</v>
      </c>
      <c r="G1326" s="260"/>
      <c r="H1326" s="260"/>
      <c r="I1326" s="260">
        <v>80000</v>
      </c>
      <c r="J1326" s="399">
        <v>70000</v>
      </c>
      <c r="K1326" s="399"/>
      <c r="L1326" s="220">
        <f>I1326-J1326+K1326</f>
        <v>10000</v>
      </c>
      <c r="M1326" s="260">
        <v>62000</v>
      </c>
      <c r="N1326" s="260">
        <v>62000</v>
      </c>
      <c r="O1326" s="260">
        <v>80000</v>
      </c>
      <c r="P1326" s="260">
        <v>40000</v>
      </c>
      <c r="Q1326" s="260"/>
    </row>
    <row r="1327" spans="1:17" x14ac:dyDescent="0.3">
      <c r="A1327" s="266">
        <v>3225</v>
      </c>
      <c r="B1327" s="267" t="s">
        <v>21</v>
      </c>
      <c r="C1327" s="322"/>
      <c r="D1327" s="260"/>
      <c r="E1327" s="260"/>
      <c r="F1327" s="182"/>
      <c r="G1327" s="260"/>
      <c r="H1327" s="260"/>
      <c r="I1327" s="260">
        <v>210000</v>
      </c>
      <c r="J1327" s="399">
        <v>200000</v>
      </c>
      <c r="K1327" s="399"/>
      <c r="L1327" s="220">
        <f>I1327-J1327+K1327</f>
        <v>10000</v>
      </c>
      <c r="M1327" s="260"/>
      <c r="N1327" s="260"/>
      <c r="O1327" s="260">
        <v>200000</v>
      </c>
      <c r="P1327" s="260"/>
      <c r="Q1327" s="260"/>
    </row>
    <row r="1328" spans="1:17" x14ac:dyDescent="0.3">
      <c r="A1328" s="283">
        <v>323</v>
      </c>
      <c r="B1328" s="178" t="s">
        <v>23</v>
      </c>
      <c r="C1328" s="321">
        <f>SUM(C1329:C1330)</f>
        <v>96000</v>
      </c>
      <c r="D1328" s="259">
        <f>SUM(D1329:D1330)</f>
        <v>66000</v>
      </c>
      <c r="E1328" s="259">
        <f>SUM(E1329:E1330)</f>
        <v>0</v>
      </c>
      <c r="F1328" s="179">
        <f t="shared" si="1426"/>
        <v>30000</v>
      </c>
      <c r="G1328" s="259">
        <f>SUM(G1329:G1330)</f>
        <v>0</v>
      </c>
      <c r="H1328" s="259">
        <f>SUM(H1329:H1330)</f>
        <v>0</v>
      </c>
      <c r="I1328" s="259">
        <f>SUM(I1329:I1330)</f>
        <v>152000</v>
      </c>
      <c r="J1328" s="259">
        <f t="shared" ref="J1328:K1328" si="1438">SUM(J1329:J1330)</f>
        <v>20000</v>
      </c>
      <c r="K1328" s="259">
        <f t="shared" si="1438"/>
        <v>0</v>
      </c>
      <c r="L1328" s="259">
        <f>SUM(L1329:L1330)</f>
        <v>132000</v>
      </c>
      <c r="M1328" s="259">
        <f t="shared" ref="M1328:N1328" si="1439">SUM(M1329:M1330)</f>
        <v>120000</v>
      </c>
      <c r="N1328" s="259">
        <f t="shared" si="1439"/>
        <v>48000</v>
      </c>
      <c r="O1328" s="259">
        <f t="shared" ref="O1328:P1328" si="1440">SUM(O1329:O1330)</f>
        <v>124000</v>
      </c>
      <c r="P1328" s="259">
        <f t="shared" si="1440"/>
        <v>60000</v>
      </c>
      <c r="Q1328" s="259">
        <f t="shared" ref="Q1328" si="1441">SUM(Q1329:Q1330)</f>
        <v>0</v>
      </c>
    </row>
    <row r="1329" spans="1:17" s="4" customFormat="1" x14ac:dyDescent="0.3">
      <c r="A1329" s="266">
        <v>3233</v>
      </c>
      <c r="B1329" s="267" t="s">
        <v>26</v>
      </c>
      <c r="C1329" s="322">
        <v>16000</v>
      </c>
      <c r="D1329" s="260">
        <v>16000</v>
      </c>
      <c r="E1329" s="260"/>
      <c r="F1329" s="182">
        <f t="shared" si="1426"/>
        <v>0</v>
      </c>
      <c r="G1329" s="260"/>
      <c r="H1329" s="260"/>
      <c r="I1329" s="260">
        <v>32000</v>
      </c>
      <c r="J1329" s="399"/>
      <c r="K1329" s="399"/>
      <c r="L1329" s="220">
        <f>I1329-J1329+K1329</f>
        <v>32000</v>
      </c>
      <c r="M1329" s="260"/>
      <c r="N1329" s="260"/>
      <c r="O1329" s="260">
        <v>4000</v>
      </c>
      <c r="P1329" s="260"/>
      <c r="Q1329" s="260"/>
    </row>
    <row r="1330" spans="1:17" s="4" customFormat="1" x14ac:dyDescent="0.3">
      <c r="A1330" s="266">
        <v>3237</v>
      </c>
      <c r="B1330" s="201" t="s">
        <v>30</v>
      </c>
      <c r="C1330" s="322">
        <v>80000</v>
      </c>
      <c r="D1330" s="260">
        <v>50000</v>
      </c>
      <c r="E1330" s="260"/>
      <c r="F1330" s="182">
        <f t="shared" si="1426"/>
        <v>30000</v>
      </c>
      <c r="G1330" s="260"/>
      <c r="H1330" s="260"/>
      <c r="I1330" s="260">
        <v>120000</v>
      </c>
      <c r="J1330" s="399">
        <v>20000</v>
      </c>
      <c r="K1330" s="399"/>
      <c r="L1330" s="220">
        <f>I1330-J1330+K1330</f>
        <v>100000</v>
      </c>
      <c r="M1330" s="260">
        <v>120000</v>
      </c>
      <c r="N1330" s="260">
        <v>48000</v>
      </c>
      <c r="O1330" s="260">
        <v>120000</v>
      </c>
      <c r="P1330" s="260">
        <v>60000</v>
      </c>
      <c r="Q1330" s="260"/>
    </row>
    <row r="1331" spans="1:17" s="4" customFormat="1" x14ac:dyDescent="0.3">
      <c r="A1331" s="177">
        <v>329</v>
      </c>
      <c r="B1331" s="178" t="s">
        <v>33</v>
      </c>
      <c r="C1331" s="318">
        <f t="shared" ref="C1331:Q1331" si="1442">SUM(C1332)</f>
        <v>0</v>
      </c>
      <c r="D1331" s="179">
        <f t="shared" si="1442"/>
        <v>0</v>
      </c>
      <c r="E1331" s="179">
        <f t="shared" si="1442"/>
        <v>0</v>
      </c>
      <c r="F1331" s="179">
        <f t="shared" si="1426"/>
        <v>0</v>
      </c>
      <c r="G1331" s="179">
        <f t="shared" si="1442"/>
        <v>0</v>
      </c>
      <c r="H1331" s="179">
        <f t="shared" si="1442"/>
        <v>0</v>
      </c>
      <c r="I1331" s="179">
        <f t="shared" si="1442"/>
        <v>20000</v>
      </c>
      <c r="J1331" s="179">
        <f t="shared" si="1442"/>
        <v>0</v>
      </c>
      <c r="K1331" s="179">
        <f t="shared" si="1442"/>
        <v>0</v>
      </c>
      <c r="L1331" s="179">
        <f t="shared" si="1442"/>
        <v>20000</v>
      </c>
      <c r="M1331" s="179">
        <f t="shared" si="1442"/>
        <v>20000</v>
      </c>
      <c r="N1331" s="179">
        <f t="shared" si="1442"/>
        <v>10000</v>
      </c>
      <c r="O1331" s="179">
        <f t="shared" si="1442"/>
        <v>32000</v>
      </c>
      <c r="P1331" s="179">
        <f t="shared" si="1442"/>
        <v>12000</v>
      </c>
      <c r="Q1331" s="179">
        <f t="shared" si="1442"/>
        <v>0</v>
      </c>
    </row>
    <row r="1332" spans="1:17" s="4" customFormat="1" x14ac:dyDescent="0.3">
      <c r="A1332" s="180">
        <v>3292</v>
      </c>
      <c r="B1332" s="181" t="s">
        <v>35</v>
      </c>
      <c r="C1332" s="319">
        <v>0</v>
      </c>
      <c r="D1332" s="182"/>
      <c r="E1332" s="182"/>
      <c r="F1332" s="182">
        <f t="shared" si="1426"/>
        <v>0</v>
      </c>
      <c r="G1332" s="182"/>
      <c r="H1332" s="182"/>
      <c r="I1332" s="182">
        <v>20000</v>
      </c>
      <c r="J1332" s="220"/>
      <c r="K1332" s="220"/>
      <c r="L1332" s="220">
        <f>I1332-J1332+K1332</f>
        <v>20000</v>
      </c>
      <c r="M1332" s="182">
        <v>20000</v>
      </c>
      <c r="N1332" s="182">
        <v>10000</v>
      </c>
      <c r="O1332" s="182">
        <v>32000</v>
      </c>
      <c r="P1332" s="182">
        <v>12000</v>
      </c>
      <c r="Q1332" s="182"/>
    </row>
    <row r="1333" spans="1:17" x14ac:dyDescent="0.3">
      <c r="A1333" s="281">
        <v>42</v>
      </c>
      <c r="B1333" s="210" t="s">
        <v>324</v>
      </c>
      <c r="C1333" s="307">
        <f>SUM(C1334,C1337)</f>
        <v>333100</v>
      </c>
      <c r="D1333" s="320">
        <f t="shared" ref="D1333:H1333" si="1443">SUM(D1334)</f>
        <v>333100</v>
      </c>
      <c r="E1333" s="320">
        <f t="shared" si="1443"/>
        <v>0</v>
      </c>
      <c r="F1333" s="320">
        <f>SUM(F1334,F1337)</f>
        <v>0</v>
      </c>
      <c r="G1333" s="320">
        <f t="shared" si="1443"/>
        <v>0</v>
      </c>
      <c r="H1333" s="320">
        <f t="shared" si="1443"/>
        <v>0</v>
      </c>
      <c r="I1333" s="320">
        <f>SUM(I1334,I1337)</f>
        <v>4590000</v>
      </c>
      <c r="J1333" s="320">
        <f t="shared" ref="J1333:K1333" si="1444">SUM(J1334,J1337)</f>
        <v>4241000</v>
      </c>
      <c r="K1333" s="320">
        <f t="shared" si="1444"/>
        <v>0</v>
      </c>
      <c r="L1333" s="320">
        <f>SUM(L1334,L1337)</f>
        <v>349000</v>
      </c>
      <c r="M1333" s="320">
        <f t="shared" ref="M1333:N1333" si="1445">SUM(M1334,M1337)</f>
        <v>9392000</v>
      </c>
      <c r="N1333" s="320">
        <f t="shared" si="1445"/>
        <v>0</v>
      </c>
      <c r="O1333" s="320">
        <f t="shared" ref="O1333:P1333" si="1446">SUM(O1334,O1337)</f>
        <v>12400000</v>
      </c>
      <c r="P1333" s="320">
        <f t="shared" si="1446"/>
        <v>1600000</v>
      </c>
      <c r="Q1333" s="320">
        <f t="shared" ref="Q1333" si="1447">SUM(Q1334,Q1337)</f>
        <v>0</v>
      </c>
    </row>
    <row r="1334" spans="1:17" x14ac:dyDescent="0.3">
      <c r="A1334" s="283">
        <v>422</v>
      </c>
      <c r="B1334" s="284" t="s">
        <v>53</v>
      </c>
      <c r="C1334" s="321">
        <f t="shared" ref="C1334:N1334" si="1448">SUM(C1335:C1336)</f>
        <v>333100</v>
      </c>
      <c r="D1334" s="259">
        <f t="shared" si="1448"/>
        <v>333100</v>
      </c>
      <c r="E1334" s="259">
        <f t="shared" si="1448"/>
        <v>0</v>
      </c>
      <c r="F1334" s="259">
        <f t="shared" si="1448"/>
        <v>0</v>
      </c>
      <c r="G1334" s="259">
        <f t="shared" si="1448"/>
        <v>0</v>
      </c>
      <c r="H1334" s="259">
        <f t="shared" si="1448"/>
        <v>0</v>
      </c>
      <c r="I1334" s="259">
        <f t="shared" si="1448"/>
        <v>4590000</v>
      </c>
      <c r="J1334" s="259">
        <f t="shared" si="1448"/>
        <v>4241000</v>
      </c>
      <c r="K1334" s="259">
        <f t="shared" si="1448"/>
        <v>0</v>
      </c>
      <c r="L1334" s="259">
        <f t="shared" si="1448"/>
        <v>349000</v>
      </c>
      <c r="M1334" s="259">
        <f t="shared" si="1448"/>
        <v>9000000</v>
      </c>
      <c r="N1334" s="259">
        <f t="shared" si="1448"/>
        <v>0</v>
      </c>
      <c r="O1334" s="259">
        <f t="shared" ref="O1334:P1334" si="1449">SUM(O1335:O1336)</f>
        <v>12000000</v>
      </c>
      <c r="P1334" s="259">
        <f t="shared" si="1449"/>
        <v>1600000</v>
      </c>
      <c r="Q1334" s="259">
        <f t="shared" ref="Q1334" si="1450">SUM(Q1335:Q1336)</f>
        <v>0</v>
      </c>
    </row>
    <row r="1335" spans="1:17" s="4" customFormat="1" x14ac:dyDescent="0.3">
      <c r="A1335" s="266">
        <v>4221</v>
      </c>
      <c r="B1335" s="267" t="s">
        <v>54</v>
      </c>
      <c r="C1335" s="322">
        <v>25000</v>
      </c>
      <c r="D1335" s="260">
        <v>25000</v>
      </c>
      <c r="E1335" s="260"/>
      <c r="F1335" s="182">
        <f t="shared" ref="F1335:F1337" si="1451">C1335-D1335+E1335</f>
        <v>0</v>
      </c>
      <c r="G1335" s="260"/>
      <c r="H1335" s="260"/>
      <c r="I1335" s="275">
        <f>4590000-2000000</f>
        <v>2590000</v>
      </c>
      <c r="J1335" s="402">
        <v>2241000</v>
      </c>
      <c r="K1335" s="402"/>
      <c r="L1335" s="220">
        <f>I1335-J1335+K1335</f>
        <v>349000</v>
      </c>
      <c r="M1335" s="260">
        <v>4000000</v>
      </c>
      <c r="N1335" s="260"/>
      <c r="O1335" s="260">
        <v>6000000</v>
      </c>
      <c r="P1335" s="260">
        <v>800000</v>
      </c>
      <c r="Q1335" s="260"/>
    </row>
    <row r="1336" spans="1:17" s="4" customFormat="1" x14ac:dyDescent="0.3">
      <c r="A1336" s="323">
        <v>4227</v>
      </c>
      <c r="B1336" s="324" t="s">
        <v>60</v>
      </c>
      <c r="C1336" s="322">
        <v>308100</v>
      </c>
      <c r="D1336" s="260">
        <v>308100</v>
      </c>
      <c r="E1336" s="260"/>
      <c r="F1336" s="182">
        <f t="shared" si="1451"/>
        <v>0</v>
      </c>
      <c r="G1336" s="260"/>
      <c r="H1336" s="260"/>
      <c r="I1336" s="275">
        <f>4000000-2000000</f>
        <v>2000000</v>
      </c>
      <c r="J1336" s="402">
        <v>2000000</v>
      </c>
      <c r="K1336" s="402"/>
      <c r="L1336" s="220">
        <f>I1336-J1336+K1336</f>
        <v>0</v>
      </c>
      <c r="M1336" s="260">
        <v>5000000</v>
      </c>
      <c r="N1336" s="260"/>
      <c r="O1336" s="260">
        <v>6000000</v>
      </c>
      <c r="P1336" s="260">
        <v>800000</v>
      </c>
      <c r="Q1336" s="260"/>
    </row>
    <row r="1337" spans="1:17" s="4" customFormat="1" x14ac:dyDescent="0.3">
      <c r="A1337" s="283">
        <v>423</v>
      </c>
      <c r="B1337" s="284" t="s">
        <v>61</v>
      </c>
      <c r="C1337" s="321">
        <f>SUM(C1338)</f>
        <v>0</v>
      </c>
      <c r="D1337" s="259"/>
      <c r="E1337" s="259"/>
      <c r="F1337" s="179">
        <f t="shared" si="1451"/>
        <v>0</v>
      </c>
      <c r="G1337" s="259">
        <f>SUM(G1338)</f>
        <v>0</v>
      </c>
      <c r="H1337" s="259">
        <f t="shared" ref="H1337:Q1337" si="1452">SUM(H1338)</f>
        <v>0</v>
      </c>
      <c r="I1337" s="259">
        <f t="shared" si="1452"/>
        <v>0</v>
      </c>
      <c r="J1337" s="259">
        <f t="shared" si="1452"/>
        <v>0</v>
      </c>
      <c r="K1337" s="259">
        <f t="shared" si="1452"/>
        <v>0</v>
      </c>
      <c r="L1337" s="259">
        <f t="shared" si="1452"/>
        <v>0</v>
      </c>
      <c r="M1337" s="259">
        <f t="shared" si="1452"/>
        <v>392000</v>
      </c>
      <c r="N1337" s="259">
        <f t="shared" si="1452"/>
        <v>0</v>
      </c>
      <c r="O1337" s="259">
        <f t="shared" si="1452"/>
        <v>400000</v>
      </c>
      <c r="P1337" s="259">
        <f t="shared" si="1452"/>
        <v>0</v>
      </c>
      <c r="Q1337" s="259">
        <f t="shared" si="1452"/>
        <v>0</v>
      </c>
    </row>
    <row r="1338" spans="1:17" s="4" customFormat="1" x14ac:dyDescent="0.3">
      <c r="A1338" s="266">
        <v>4231</v>
      </c>
      <c r="B1338" s="267" t="s">
        <v>62</v>
      </c>
      <c r="C1338" s="322"/>
      <c r="D1338" s="260"/>
      <c r="E1338" s="260"/>
      <c r="F1338" s="182"/>
      <c r="G1338" s="260"/>
      <c r="H1338" s="260"/>
      <c r="I1338" s="260"/>
      <c r="J1338" s="399"/>
      <c r="K1338" s="399"/>
      <c r="L1338" s="399"/>
      <c r="M1338" s="260">
        <v>392000</v>
      </c>
      <c r="N1338" s="260"/>
      <c r="O1338" s="260">
        <v>400000</v>
      </c>
      <c r="P1338" s="260"/>
      <c r="Q1338" s="260"/>
    </row>
    <row r="1339" spans="1:17" s="4" customFormat="1" ht="26.4" x14ac:dyDescent="0.3">
      <c r="A1339" s="281">
        <v>45</v>
      </c>
      <c r="B1339" s="210" t="s">
        <v>326</v>
      </c>
      <c r="C1339" s="307">
        <f t="shared" ref="C1339:Q1340" si="1453">SUM(C1340)</f>
        <v>520000</v>
      </c>
      <c r="D1339" s="320">
        <f t="shared" si="1453"/>
        <v>520000</v>
      </c>
      <c r="E1339" s="320">
        <f t="shared" si="1453"/>
        <v>0</v>
      </c>
      <c r="F1339" s="320">
        <f t="shared" si="1453"/>
        <v>0</v>
      </c>
      <c r="G1339" s="320">
        <f t="shared" si="1453"/>
        <v>0</v>
      </c>
      <c r="H1339" s="320">
        <f t="shared" si="1453"/>
        <v>0</v>
      </c>
      <c r="I1339" s="320">
        <f t="shared" si="1453"/>
        <v>480000</v>
      </c>
      <c r="J1339" s="320">
        <f t="shared" si="1453"/>
        <v>423000</v>
      </c>
      <c r="K1339" s="320">
        <f t="shared" si="1453"/>
        <v>0</v>
      </c>
      <c r="L1339" s="320">
        <f t="shared" si="1453"/>
        <v>57000</v>
      </c>
      <c r="M1339" s="320">
        <f t="shared" si="1453"/>
        <v>40000</v>
      </c>
      <c r="N1339" s="320">
        <f t="shared" si="1453"/>
        <v>0</v>
      </c>
      <c r="O1339" s="320">
        <f t="shared" si="1453"/>
        <v>800000</v>
      </c>
      <c r="P1339" s="320">
        <f t="shared" si="1453"/>
        <v>0</v>
      </c>
      <c r="Q1339" s="320">
        <f t="shared" si="1453"/>
        <v>0</v>
      </c>
    </row>
    <row r="1340" spans="1:17" s="4" customFormat="1" x14ac:dyDescent="0.3">
      <c r="A1340" s="283">
        <v>451</v>
      </c>
      <c r="B1340" s="284" t="s">
        <v>55</v>
      </c>
      <c r="C1340" s="321">
        <f t="shared" si="1453"/>
        <v>520000</v>
      </c>
      <c r="D1340" s="259">
        <f t="shared" si="1453"/>
        <v>520000</v>
      </c>
      <c r="E1340" s="259">
        <f t="shared" si="1453"/>
        <v>0</v>
      </c>
      <c r="F1340" s="259">
        <f t="shared" si="1453"/>
        <v>0</v>
      </c>
      <c r="G1340" s="259">
        <f t="shared" si="1453"/>
        <v>0</v>
      </c>
      <c r="H1340" s="259">
        <f t="shared" si="1453"/>
        <v>0</v>
      </c>
      <c r="I1340" s="259">
        <f t="shared" si="1453"/>
        <v>480000</v>
      </c>
      <c r="J1340" s="259">
        <f t="shared" si="1453"/>
        <v>423000</v>
      </c>
      <c r="K1340" s="259">
        <f t="shared" si="1453"/>
        <v>0</v>
      </c>
      <c r="L1340" s="259">
        <f t="shared" si="1453"/>
        <v>57000</v>
      </c>
      <c r="M1340" s="259">
        <f t="shared" si="1453"/>
        <v>40000</v>
      </c>
      <c r="N1340" s="259">
        <f t="shared" si="1453"/>
        <v>0</v>
      </c>
      <c r="O1340" s="259">
        <f t="shared" si="1453"/>
        <v>800000</v>
      </c>
      <c r="P1340" s="259">
        <f t="shared" si="1453"/>
        <v>0</v>
      </c>
      <c r="Q1340" s="259">
        <f t="shared" si="1453"/>
        <v>0</v>
      </c>
    </row>
    <row r="1341" spans="1:17" s="4" customFormat="1" x14ac:dyDescent="0.3">
      <c r="A1341" s="266">
        <v>4511</v>
      </c>
      <c r="B1341" s="267" t="s">
        <v>55</v>
      </c>
      <c r="C1341" s="322">
        <v>520000</v>
      </c>
      <c r="D1341" s="260">
        <v>520000</v>
      </c>
      <c r="E1341" s="260"/>
      <c r="F1341" s="182">
        <f t="shared" ref="F1341" si="1454">C1341-D1341+E1341</f>
        <v>0</v>
      </c>
      <c r="G1341" s="260"/>
      <c r="H1341" s="260"/>
      <c r="I1341" s="275">
        <f>1480000-1000000</f>
        <v>480000</v>
      </c>
      <c r="J1341" s="402">
        <v>423000</v>
      </c>
      <c r="K1341" s="402"/>
      <c r="L1341" s="220">
        <f>I1341-J1341+K1341</f>
        <v>57000</v>
      </c>
      <c r="M1341" s="260">
        <v>40000</v>
      </c>
      <c r="N1341" s="260"/>
      <c r="O1341" s="260">
        <v>800000</v>
      </c>
      <c r="P1341" s="260"/>
      <c r="Q1341" s="260"/>
    </row>
    <row r="1342" spans="1:17" s="4" customFormat="1" ht="57" customHeight="1" x14ac:dyDescent="0.3">
      <c r="A1342" s="242" t="s">
        <v>389</v>
      </c>
      <c r="B1342" s="231" t="s">
        <v>393</v>
      </c>
      <c r="C1342" s="311">
        <f>SUM(C1343)</f>
        <v>0</v>
      </c>
      <c r="D1342" s="311">
        <f t="shared" ref="D1342:Q1342" si="1455">SUM(D1343)</f>
        <v>0</v>
      </c>
      <c r="E1342" s="311">
        <f t="shared" si="1455"/>
        <v>0</v>
      </c>
      <c r="F1342" s="311">
        <f t="shared" si="1455"/>
        <v>0</v>
      </c>
      <c r="G1342" s="311">
        <f t="shared" si="1455"/>
        <v>0</v>
      </c>
      <c r="H1342" s="311">
        <f t="shared" si="1455"/>
        <v>0</v>
      </c>
      <c r="I1342" s="311">
        <f t="shared" si="1455"/>
        <v>413000</v>
      </c>
      <c r="J1342" s="311">
        <f t="shared" si="1455"/>
        <v>71000</v>
      </c>
      <c r="K1342" s="311">
        <f t="shared" si="1455"/>
        <v>0</v>
      </c>
      <c r="L1342" s="311">
        <f t="shared" si="1455"/>
        <v>342000</v>
      </c>
      <c r="M1342" s="311">
        <f t="shared" si="1455"/>
        <v>219000</v>
      </c>
      <c r="N1342" s="311">
        <f t="shared" si="1455"/>
        <v>0</v>
      </c>
      <c r="O1342" s="311">
        <f t="shared" si="1455"/>
        <v>608000</v>
      </c>
      <c r="P1342" s="311">
        <f t="shared" si="1455"/>
        <v>0</v>
      </c>
      <c r="Q1342" s="311">
        <f t="shared" si="1455"/>
        <v>0</v>
      </c>
    </row>
    <row r="1343" spans="1:17" s="4" customFormat="1" x14ac:dyDescent="0.3">
      <c r="A1343" s="721" t="s">
        <v>106</v>
      </c>
      <c r="B1343" s="721"/>
      <c r="C1343" s="325">
        <f>SUM(C1344,C1347)</f>
        <v>0</v>
      </c>
      <c r="D1343" s="325">
        <f t="shared" ref="D1343:N1343" si="1456">SUM(D1344,D1347)</f>
        <v>0</v>
      </c>
      <c r="E1343" s="325">
        <f t="shared" si="1456"/>
        <v>0</v>
      </c>
      <c r="F1343" s="325">
        <f t="shared" si="1456"/>
        <v>0</v>
      </c>
      <c r="G1343" s="325">
        <f t="shared" si="1456"/>
        <v>0</v>
      </c>
      <c r="H1343" s="325">
        <f t="shared" si="1456"/>
        <v>0</v>
      </c>
      <c r="I1343" s="325">
        <f t="shared" si="1456"/>
        <v>413000</v>
      </c>
      <c r="J1343" s="325">
        <f t="shared" si="1456"/>
        <v>71000</v>
      </c>
      <c r="K1343" s="325">
        <f t="shared" si="1456"/>
        <v>0</v>
      </c>
      <c r="L1343" s="325">
        <f t="shared" si="1456"/>
        <v>342000</v>
      </c>
      <c r="M1343" s="325">
        <f t="shared" si="1456"/>
        <v>219000</v>
      </c>
      <c r="N1343" s="325">
        <f t="shared" si="1456"/>
        <v>0</v>
      </c>
      <c r="O1343" s="325">
        <f t="shared" ref="O1343:P1343" si="1457">SUM(O1344,O1347)</f>
        <v>608000</v>
      </c>
      <c r="P1343" s="325">
        <f t="shared" si="1457"/>
        <v>0</v>
      </c>
      <c r="Q1343" s="325">
        <f t="shared" ref="Q1343" si="1458">SUM(Q1344,Q1347)</f>
        <v>0</v>
      </c>
    </row>
    <row r="1344" spans="1:17" s="4" customFormat="1" x14ac:dyDescent="0.3">
      <c r="A1344" s="281">
        <v>31</v>
      </c>
      <c r="B1344" s="282" t="s">
        <v>316</v>
      </c>
      <c r="C1344" s="187">
        <f t="shared" ref="C1344:D1344" si="1459">SUM(C1345,C1347)</f>
        <v>0</v>
      </c>
      <c r="D1344" s="187">
        <f t="shared" si="1459"/>
        <v>0</v>
      </c>
      <c r="E1344" s="187">
        <f t="shared" ref="E1344:Q1344" si="1460">SUM(E1345,)</f>
        <v>0</v>
      </c>
      <c r="F1344" s="187">
        <f t="shared" si="1460"/>
        <v>0</v>
      </c>
      <c r="G1344" s="187">
        <f t="shared" si="1460"/>
        <v>0</v>
      </c>
      <c r="H1344" s="187">
        <f t="shared" si="1460"/>
        <v>0</v>
      </c>
      <c r="I1344" s="187">
        <f t="shared" si="1460"/>
        <v>71000</v>
      </c>
      <c r="J1344" s="187">
        <f t="shared" si="1460"/>
        <v>71000</v>
      </c>
      <c r="K1344" s="187">
        <f t="shared" si="1460"/>
        <v>0</v>
      </c>
      <c r="L1344" s="187">
        <f t="shared" si="1460"/>
        <v>0</v>
      </c>
      <c r="M1344" s="187">
        <f t="shared" si="1460"/>
        <v>71000</v>
      </c>
      <c r="N1344" s="187">
        <f t="shared" si="1460"/>
        <v>0</v>
      </c>
      <c r="O1344" s="187">
        <f t="shared" si="1460"/>
        <v>142000</v>
      </c>
      <c r="P1344" s="187">
        <f t="shared" si="1460"/>
        <v>0</v>
      </c>
      <c r="Q1344" s="187">
        <f t="shared" si="1460"/>
        <v>0</v>
      </c>
    </row>
    <row r="1345" spans="1:18" s="4" customFormat="1" ht="17.25" customHeight="1" x14ac:dyDescent="0.3">
      <c r="A1345" s="283">
        <v>311</v>
      </c>
      <c r="B1345" s="284" t="s">
        <v>4</v>
      </c>
      <c r="C1345" s="221">
        <f t="shared" ref="C1345:Q1345" si="1461">SUM(C1346)</f>
        <v>0</v>
      </c>
      <c r="D1345" s="221">
        <f t="shared" si="1461"/>
        <v>0</v>
      </c>
      <c r="E1345" s="221">
        <f t="shared" si="1461"/>
        <v>0</v>
      </c>
      <c r="F1345" s="221">
        <f t="shared" si="1461"/>
        <v>0</v>
      </c>
      <c r="G1345" s="221">
        <f t="shared" si="1461"/>
        <v>0</v>
      </c>
      <c r="H1345" s="221">
        <f t="shared" si="1461"/>
        <v>0</v>
      </c>
      <c r="I1345" s="221">
        <f t="shared" si="1461"/>
        <v>71000</v>
      </c>
      <c r="J1345" s="221">
        <f t="shared" si="1461"/>
        <v>71000</v>
      </c>
      <c r="K1345" s="221">
        <f t="shared" si="1461"/>
        <v>0</v>
      </c>
      <c r="L1345" s="221">
        <f t="shared" si="1461"/>
        <v>0</v>
      </c>
      <c r="M1345" s="221">
        <f t="shared" si="1461"/>
        <v>71000</v>
      </c>
      <c r="N1345" s="221">
        <f t="shared" si="1461"/>
        <v>0</v>
      </c>
      <c r="O1345" s="221">
        <f t="shared" si="1461"/>
        <v>142000</v>
      </c>
      <c r="P1345" s="221">
        <f t="shared" si="1461"/>
        <v>0</v>
      </c>
      <c r="Q1345" s="221">
        <f t="shared" si="1461"/>
        <v>0</v>
      </c>
    </row>
    <row r="1346" spans="1:18" s="4" customFormat="1" x14ac:dyDescent="0.3">
      <c r="A1346" s="266">
        <v>3111</v>
      </c>
      <c r="B1346" s="267" t="s">
        <v>5</v>
      </c>
      <c r="C1346" s="197">
        <v>0</v>
      </c>
      <c r="D1346" s="197"/>
      <c r="E1346" s="197"/>
      <c r="F1346" s="182">
        <f t="shared" ref="F1346" si="1462">C1346-D1346+E1346</f>
        <v>0</v>
      </c>
      <c r="G1346" s="197"/>
      <c r="H1346" s="197"/>
      <c r="I1346" s="197">
        <v>71000</v>
      </c>
      <c r="J1346" s="295">
        <v>71000</v>
      </c>
      <c r="K1346" s="295"/>
      <c r="L1346" s="220">
        <f>I1346-J1346+K1346</f>
        <v>0</v>
      </c>
      <c r="M1346" s="197">
        <v>71000</v>
      </c>
      <c r="N1346" s="197"/>
      <c r="O1346" s="197">
        <v>142000</v>
      </c>
      <c r="P1346" s="197"/>
      <c r="Q1346" s="197"/>
      <c r="R1346" s="418"/>
    </row>
    <row r="1347" spans="1:18" s="4" customFormat="1" ht="14.25" customHeight="1" x14ac:dyDescent="0.3">
      <c r="A1347" s="305">
        <v>32</v>
      </c>
      <c r="B1347" s="306" t="s">
        <v>318</v>
      </c>
      <c r="C1347" s="307">
        <f>SUM(C1350)</f>
        <v>0</v>
      </c>
      <c r="D1347" s="320">
        <f>SUM(D1350)</f>
        <v>0</v>
      </c>
      <c r="E1347" s="320">
        <f>SUM(E1348+E1351+E1355)</f>
        <v>0</v>
      </c>
      <c r="F1347" s="176">
        <f>C1347-D1347+E1347</f>
        <v>0</v>
      </c>
      <c r="G1347" s="320">
        <f>SUM(G1348+G1351+G1355)</f>
        <v>0</v>
      </c>
      <c r="H1347" s="320">
        <f>SUM(H1348+H1351+H1355)</f>
        <v>0</v>
      </c>
      <c r="I1347" s="320">
        <f>SUM(I1348+I1351+I1355,I1359)</f>
        <v>342000</v>
      </c>
      <c r="J1347" s="320">
        <f t="shared" ref="J1347:L1347" si="1463">SUM(J1348+J1351+J1355,J1359)</f>
        <v>0</v>
      </c>
      <c r="K1347" s="320">
        <f t="shared" si="1463"/>
        <v>0</v>
      </c>
      <c r="L1347" s="320">
        <f t="shared" si="1463"/>
        <v>342000</v>
      </c>
      <c r="M1347" s="320">
        <f t="shared" ref="M1347:Q1347" si="1464">SUM(M1348+M1351+M1355,M1359)</f>
        <v>148000</v>
      </c>
      <c r="N1347" s="320">
        <f t="shared" si="1464"/>
        <v>0</v>
      </c>
      <c r="O1347" s="320">
        <f t="shared" si="1464"/>
        <v>466000</v>
      </c>
      <c r="P1347" s="320">
        <f t="shared" si="1464"/>
        <v>0</v>
      </c>
      <c r="Q1347" s="320">
        <f t="shared" si="1464"/>
        <v>0</v>
      </c>
    </row>
    <row r="1348" spans="1:18" s="4" customFormat="1" x14ac:dyDescent="0.3">
      <c r="A1348" s="269">
        <v>321</v>
      </c>
      <c r="B1348" s="178" t="s">
        <v>12</v>
      </c>
      <c r="C1348" s="321"/>
      <c r="D1348" s="259"/>
      <c r="E1348" s="259">
        <f>SUM(E1349:E1350)</f>
        <v>0</v>
      </c>
      <c r="F1348" s="179">
        <f t="shared" ref="F1348:F1353" si="1465">C1348-D1348+E1348</f>
        <v>0</v>
      </c>
      <c r="G1348" s="259">
        <f>SUM(G1349:G1350)</f>
        <v>0</v>
      </c>
      <c r="H1348" s="259">
        <f>SUM(H1349:H1350)</f>
        <v>0</v>
      </c>
      <c r="I1348" s="259">
        <f>SUM(I1349:I1350)</f>
        <v>54000</v>
      </c>
      <c r="J1348" s="259">
        <f t="shared" ref="J1348:K1348" si="1466">SUM(J1349:J1350)</f>
        <v>0</v>
      </c>
      <c r="K1348" s="259">
        <f t="shared" si="1466"/>
        <v>0</v>
      </c>
      <c r="L1348" s="259">
        <f t="shared" ref="L1348:Q1348" si="1467">SUM(L1349:L1350)</f>
        <v>54000</v>
      </c>
      <c r="M1348" s="259">
        <f t="shared" si="1467"/>
        <v>97000</v>
      </c>
      <c r="N1348" s="259">
        <f t="shared" si="1467"/>
        <v>0</v>
      </c>
      <c r="O1348" s="259">
        <f t="shared" si="1467"/>
        <v>135000</v>
      </c>
      <c r="P1348" s="259">
        <f t="shared" si="1467"/>
        <v>0</v>
      </c>
      <c r="Q1348" s="259">
        <f t="shared" si="1467"/>
        <v>0</v>
      </c>
    </row>
    <row r="1349" spans="1:18" s="4" customFormat="1" ht="15.6" customHeight="1" x14ac:dyDescent="0.3">
      <c r="A1349" s="266">
        <v>3211</v>
      </c>
      <c r="B1349" s="267" t="s">
        <v>13</v>
      </c>
      <c r="C1349" s="197">
        <v>0</v>
      </c>
      <c r="D1349" s="197"/>
      <c r="E1349" s="197"/>
      <c r="F1349" s="182">
        <f t="shared" si="1465"/>
        <v>0</v>
      </c>
      <c r="G1349" s="197"/>
      <c r="H1349" s="197"/>
      <c r="I1349" s="197">
        <v>54000</v>
      </c>
      <c r="J1349" s="295"/>
      <c r="K1349" s="295"/>
      <c r="L1349" s="220">
        <f>I1349-J1349+K1349</f>
        <v>54000</v>
      </c>
      <c r="M1349" s="197">
        <v>97000</v>
      </c>
      <c r="N1349" s="197"/>
      <c r="O1349" s="197">
        <v>135000</v>
      </c>
      <c r="P1349" s="197"/>
      <c r="Q1349" s="197"/>
    </row>
    <row r="1350" spans="1:18" s="4" customFormat="1" hidden="1" x14ac:dyDescent="0.3">
      <c r="A1350" s="180">
        <v>3213</v>
      </c>
      <c r="B1350" s="181" t="s">
        <v>15</v>
      </c>
      <c r="C1350" s="326">
        <v>0</v>
      </c>
      <c r="D1350" s="277"/>
      <c r="E1350" s="277"/>
      <c r="F1350" s="182">
        <f t="shared" si="1465"/>
        <v>0</v>
      </c>
      <c r="G1350" s="277"/>
      <c r="H1350" s="277"/>
      <c r="I1350" s="277"/>
      <c r="J1350" s="403"/>
      <c r="K1350" s="403"/>
      <c r="L1350" s="403"/>
      <c r="M1350" s="277"/>
      <c r="N1350" s="277"/>
      <c r="O1350" s="277"/>
      <c r="P1350" s="277"/>
      <c r="Q1350" s="277"/>
    </row>
    <row r="1351" spans="1:18" s="4" customFormat="1" ht="15" customHeight="1" x14ac:dyDescent="0.3">
      <c r="A1351" s="177">
        <v>322</v>
      </c>
      <c r="B1351" s="178" t="s">
        <v>16</v>
      </c>
      <c r="C1351" s="326"/>
      <c r="D1351" s="326"/>
      <c r="E1351" s="327">
        <f>SUM(E1352:E1353)</f>
        <v>0</v>
      </c>
      <c r="F1351" s="179">
        <f t="shared" si="1465"/>
        <v>0</v>
      </c>
      <c r="G1351" s="327">
        <f>SUM(G1352:G1354)</f>
        <v>0</v>
      </c>
      <c r="H1351" s="327">
        <f t="shared" ref="H1351" si="1468">SUM(H1352:H1354)</f>
        <v>0</v>
      </c>
      <c r="I1351" s="327">
        <f t="shared" ref="I1351:L1351" si="1469">SUM(I1352:I1354)</f>
        <v>1000</v>
      </c>
      <c r="J1351" s="327">
        <f t="shared" si="1469"/>
        <v>0</v>
      </c>
      <c r="K1351" s="327">
        <f t="shared" si="1469"/>
        <v>0</v>
      </c>
      <c r="L1351" s="327">
        <f t="shared" si="1469"/>
        <v>1000</v>
      </c>
      <c r="M1351" s="327">
        <f t="shared" ref="M1351:O1351" si="1470">SUM(M1352:M1354)</f>
        <v>1000</v>
      </c>
      <c r="N1351" s="327">
        <f t="shared" ref="N1351:P1351" si="1471">SUM(N1352:N1354)</f>
        <v>0</v>
      </c>
      <c r="O1351" s="327">
        <f t="shared" si="1470"/>
        <v>2000</v>
      </c>
      <c r="P1351" s="327">
        <f t="shared" si="1471"/>
        <v>0</v>
      </c>
      <c r="Q1351" s="327">
        <f t="shared" ref="Q1351" si="1472">SUM(Q1352:Q1354)</f>
        <v>0</v>
      </c>
    </row>
    <row r="1352" spans="1:18" s="4" customFormat="1" hidden="1" x14ac:dyDescent="0.3">
      <c r="A1352" s="180">
        <v>3222</v>
      </c>
      <c r="B1352" s="181" t="s">
        <v>18</v>
      </c>
      <c r="C1352" s="319">
        <v>0</v>
      </c>
      <c r="D1352" s="319"/>
      <c r="E1352" s="319"/>
      <c r="F1352" s="182">
        <f t="shared" si="1465"/>
        <v>0</v>
      </c>
      <c r="G1352" s="319"/>
      <c r="H1352" s="319"/>
      <c r="I1352" s="319"/>
      <c r="J1352" s="319"/>
      <c r="K1352" s="319"/>
      <c r="L1352" s="319"/>
      <c r="M1352" s="319"/>
      <c r="N1352" s="319"/>
      <c r="O1352" s="319"/>
      <c r="P1352" s="319"/>
      <c r="Q1352" s="319"/>
    </row>
    <row r="1353" spans="1:18" s="4" customFormat="1" ht="15.6" customHeight="1" x14ac:dyDescent="0.3">
      <c r="A1353" s="266">
        <v>3223</v>
      </c>
      <c r="B1353" s="267" t="s">
        <v>19</v>
      </c>
      <c r="C1353" s="322">
        <v>0</v>
      </c>
      <c r="D1353" s="260"/>
      <c r="E1353" s="260"/>
      <c r="F1353" s="182">
        <f t="shared" si="1465"/>
        <v>0</v>
      </c>
      <c r="G1353" s="260"/>
      <c r="H1353" s="260"/>
      <c r="I1353" s="260">
        <v>1000</v>
      </c>
      <c r="J1353" s="399"/>
      <c r="K1353" s="399"/>
      <c r="L1353" s="220">
        <f>I1353-J1353+K1353</f>
        <v>1000</v>
      </c>
      <c r="M1353" s="260">
        <v>1000</v>
      </c>
      <c r="N1353" s="260"/>
      <c r="O1353" s="260">
        <v>2000</v>
      </c>
      <c r="P1353" s="260"/>
      <c r="Q1353" s="260"/>
    </row>
    <row r="1354" spans="1:18" s="4" customFormat="1" hidden="1" x14ac:dyDescent="0.3">
      <c r="A1354" s="266">
        <v>3225</v>
      </c>
      <c r="B1354" s="267" t="s">
        <v>21</v>
      </c>
      <c r="C1354" s="322"/>
      <c r="D1354" s="260"/>
      <c r="E1354" s="260"/>
      <c r="F1354" s="182"/>
      <c r="G1354" s="260"/>
      <c r="H1354" s="260"/>
      <c r="I1354" s="260"/>
      <c r="J1354" s="399"/>
      <c r="K1354" s="399"/>
      <c r="L1354" s="399"/>
      <c r="M1354" s="260"/>
      <c r="N1354" s="260"/>
      <c r="O1354" s="260"/>
      <c r="P1354" s="260"/>
      <c r="Q1354" s="260"/>
    </row>
    <row r="1355" spans="1:18" s="4" customFormat="1" x14ac:dyDescent="0.3">
      <c r="A1355" s="283">
        <v>323</v>
      </c>
      <c r="B1355" s="178" t="s">
        <v>23</v>
      </c>
      <c r="C1355" s="322"/>
      <c r="D1355" s="260"/>
      <c r="E1355" s="259">
        <f>SUM(E1356:E1358)</f>
        <v>0</v>
      </c>
      <c r="F1355" s="179">
        <f t="shared" ref="F1355:F1360" si="1473">C1355-D1355+E1355</f>
        <v>0</v>
      </c>
      <c r="G1355" s="259">
        <f>SUM(G1356:G1358)</f>
        <v>0</v>
      </c>
      <c r="H1355" s="259">
        <f>SUM(H1356:H1358)</f>
        <v>0</v>
      </c>
      <c r="I1355" s="259">
        <f>SUM(I1356:I1358)</f>
        <v>262000</v>
      </c>
      <c r="J1355" s="259">
        <f t="shared" ref="J1355:K1355" si="1474">SUM(J1356:J1358)</f>
        <v>0</v>
      </c>
      <c r="K1355" s="259">
        <f t="shared" si="1474"/>
        <v>0</v>
      </c>
      <c r="L1355" s="259">
        <f>SUM(L1356:L1358)</f>
        <v>262000</v>
      </c>
      <c r="M1355" s="259">
        <f t="shared" ref="M1355:N1355" si="1475">SUM(M1356:M1358)</f>
        <v>37000</v>
      </c>
      <c r="N1355" s="259">
        <f t="shared" si="1475"/>
        <v>0</v>
      </c>
      <c r="O1355" s="259">
        <f t="shared" ref="O1355:P1355" si="1476">SUM(O1356:O1358)</f>
        <v>295000</v>
      </c>
      <c r="P1355" s="259">
        <f t="shared" si="1476"/>
        <v>0</v>
      </c>
      <c r="Q1355" s="259">
        <f t="shared" ref="Q1355" si="1477">SUM(Q1356:Q1358)</f>
        <v>0</v>
      </c>
    </row>
    <row r="1356" spans="1:18" s="4" customFormat="1" x14ac:dyDescent="0.3">
      <c r="A1356" s="266">
        <v>3233</v>
      </c>
      <c r="B1356" s="267" t="s">
        <v>26</v>
      </c>
      <c r="C1356" s="322">
        <v>0</v>
      </c>
      <c r="D1356" s="260"/>
      <c r="E1356" s="260"/>
      <c r="F1356" s="182">
        <f t="shared" si="1473"/>
        <v>0</v>
      </c>
      <c r="G1356" s="260"/>
      <c r="H1356" s="260"/>
      <c r="I1356" s="260">
        <v>122000</v>
      </c>
      <c r="J1356" s="399"/>
      <c r="K1356" s="399"/>
      <c r="L1356" s="220">
        <f>I1356-J1356+K1356</f>
        <v>122000</v>
      </c>
      <c r="M1356" s="260">
        <v>30000</v>
      </c>
      <c r="N1356" s="260"/>
      <c r="O1356" s="260">
        <v>152000</v>
      </c>
      <c r="P1356" s="260"/>
      <c r="Q1356" s="260"/>
    </row>
    <row r="1357" spans="1:18" s="4" customFormat="1" x14ac:dyDescent="0.3">
      <c r="A1357" s="266">
        <v>3235</v>
      </c>
      <c r="B1357" s="267" t="s">
        <v>28</v>
      </c>
      <c r="C1357" s="322"/>
      <c r="D1357" s="260"/>
      <c r="E1357" s="260"/>
      <c r="F1357" s="182"/>
      <c r="G1357" s="260"/>
      <c r="H1357" s="260"/>
      <c r="I1357" s="260">
        <v>13000</v>
      </c>
      <c r="J1357" s="399"/>
      <c r="K1357" s="399"/>
      <c r="L1357" s="220">
        <f>I1357-J1357+K1357</f>
        <v>13000</v>
      </c>
      <c r="M1357" s="260">
        <v>7000</v>
      </c>
      <c r="N1357" s="260"/>
      <c r="O1357" s="260">
        <v>16000</v>
      </c>
      <c r="P1357" s="260"/>
      <c r="Q1357" s="260"/>
    </row>
    <row r="1358" spans="1:18" s="4" customFormat="1" x14ac:dyDescent="0.3">
      <c r="A1358" s="266">
        <v>3237</v>
      </c>
      <c r="B1358" s="201" t="s">
        <v>30</v>
      </c>
      <c r="C1358" s="322"/>
      <c r="D1358" s="260"/>
      <c r="E1358" s="260"/>
      <c r="F1358" s="182">
        <f t="shared" si="1473"/>
        <v>0</v>
      </c>
      <c r="G1358" s="260"/>
      <c r="H1358" s="260"/>
      <c r="I1358" s="260">
        <v>127000</v>
      </c>
      <c r="J1358" s="399"/>
      <c r="K1358" s="399"/>
      <c r="L1358" s="220">
        <f>I1358-J1358+K1358</f>
        <v>127000</v>
      </c>
      <c r="M1358" s="260"/>
      <c r="N1358" s="260"/>
      <c r="O1358" s="260">
        <v>127000</v>
      </c>
      <c r="P1358" s="260"/>
      <c r="Q1358" s="260"/>
    </row>
    <row r="1359" spans="1:18" s="4" customFormat="1" x14ac:dyDescent="0.3">
      <c r="A1359" s="177">
        <v>329</v>
      </c>
      <c r="B1359" s="178" t="s">
        <v>33</v>
      </c>
      <c r="C1359" s="318">
        <f t="shared" ref="C1359:Q1359" si="1478">SUM(C1360)</f>
        <v>0</v>
      </c>
      <c r="D1359" s="179">
        <f t="shared" si="1478"/>
        <v>0</v>
      </c>
      <c r="E1359" s="179">
        <f t="shared" si="1478"/>
        <v>0</v>
      </c>
      <c r="F1359" s="179">
        <f t="shared" si="1473"/>
        <v>0</v>
      </c>
      <c r="G1359" s="179">
        <f t="shared" si="1478"/>
        <v>0</v>
      </c>
      <c r="H1359" s="179">
        <f t="shared" si="1478"/>
        <v>0</v>
      </c>
      <c r="I1359" s="179">
        <f t="shared" si="1478"/>
        <v>25000</v>
      </c>
      <c r="J1359" s="179">
        <f t="shared" si="1478"/>
        <v>0</v>
      </c>
      <c r="K1359" s="179">
        <f t="shared" si="1478"/>
        <v>0</v>
      </c>
      <c r="L1359" s="179">
        <f t="shared" si="1478"/>
        <v>25000</v>
      </c>
      <c r="M1359" s="179">
        <f t="shared" si="1478"/>
        <v>13000</v>
      </c>
      <c r="N1359" s="179">
        <f t="shared" si="1478"/>
        <v>0</v>
      </c>
      <c r="O1359" s="179">
        <f t="shared" si="1478"/>
        <v>34000</v>
      </c>
      <c r="P1359" s="179">
        <f t="shared" si="1478"/>
        <v>0</v>
      </c>
      <c r="Q1359" s="179">
        <f t="shared" si="1478"/>
        <v>0</v>
      </c>
    </row>
    <row r="1360" spans="1:18" s="4" customFormat="1" x14ac:dyDescent="0.3">
      <c r="A1360" s="180">
        <v>3293</v>
      </c>
      <c r="B1360" s="181" t="s">
        <v>36</v>
      </c>
      <c r="C1360" s="319">
        <v>0</v>
      </c>
      <c r="D1360" s="182"/>
      <c r="E1360" s="182"/>
      <c r="F1360" s="182">
        <f t="shared" si="1473"/>
        <v>0</v>
      </c>
      <c r="G1360" s="182"/>
      <c r="H1360" s="182"/>
      <c r="I1360" s="182">
        <v>25000</v>
      </c>
      <c r="J1360" s="220"/>
      <c r="K1360" s="220"/>
      <c r="L1360" s="220">
        <f>I1360-J1360+K1360</f>
        <v>25000</v>
      </c>
      <c r="M1360" s="182">
        <v>13000</v>
      </c>
      <c r="N1360" s="182"/>
      <c r="O1360" s="182">
        <v>34000</v>
      </c>
      <c r="P1360" s="182"/>
      <c r="Q1360" s="182"/>
    </row>
    <row r="1361" spans="1:17" s="4" customFormat="1" ht="26.4" x14ac:dyDescent="0.3">
      <c r="A1361" s="242" t="s">
        <v>391</v>
      </c>
      <c r="B1361" s="231" t="s">
        <v>392</v>
      </c>
      <c r="C1361" s="311">
        <f>SUM(C1362)</f>
        <v>0</v>
      </c>
      <c r="D1361" s="311">
        <f t="shared" ref="D1361:F1361" si="1479">SUM(D1362)</f>
        <v>0</v>
      </c>
      <c r="E1361" s="311">
        <f t="shared" si="1479"/>
        <v>0</v>
      </c>
      <c r="F1361" s="311">
        <f t="shared" si="1479"/>
        <v>0</v>
      </c>
      <c r="G1361" s="257">
        <f>SUM(G1362)</f>
        <v>0</v>
      </c>
      <c r="H1361" s="257">
        <f>SUM(H1362)</f>
        <v>0</v>
      </c>
      <c r="I1361" s="257">
        <f t="shared" ref="I1361:Q1361" si="1480">SUM(I1362)</f>
        <v>389000</v>
      </c>
      <c r="J1361" s="257">
        <f t="shared" si="1480"/>
        <v>304000</v>
      </c>
      <c r="K1361" s="257">
        <f t="shared" si="1480"/>
        <v>0</v>
      </c>
      <c r="L1361" s="257">
        <f t="shared" si="1480"/>
        <v>85000</v>
      </c>
      <c r="M1361" s="257">
        <f t="shared" si="1480"/>
        <v>8000</v>
      </c>
      <c r="N1361" s="257">
        <f t="shared" si="1480"/>
        <v>0</v>
      </c>
      <c r="O1361" s="257">
        <f t="shared" si="1480"/>
        <v>17000</v>
      </c>
      <c r="P1361" s="257">
        <f t="shared" si="1480"/>
        <v>0</v>
      </c>
      <c r="Q1361" s="257">
        <f t="shared" si="1480"/>
        <v>0</v>
      </c>
    </row>
    <row r="1362" spans="1:17" s="4" customFormat="1" x14ac:dyDescent="0.3">
      <c r="A1362" s="721" t="s">
        <v>106</v>
      </c>
      <c r="B1362" s="721"/>
      <c r="C1362" s="325">
        <f t="shared" ref="C1362:H1362" si="1481">SUM(C1363,C1366)</f>
        <v>0</v>
      </c>
      <c r="D1362" s="258">
        <f t="shared" si="1481"/>
        <v>0</v>
      </c>
      <c r="E1362" s="258">
        <f t="shared" si="1481"/>
        <v>0</v>
      </c>
      <c r="F1362" s="258">
        <f t="shared" si="1481"/>
        <v>0</v>
      </c>
      <c r="G1362" s="258">
        <f t="shared" si="1481"/>
        <v>0</v>
      </c>
      <c r="H1362" s="258">
        <f t="shared" si="1481"/>
        <v>0</v>
      </c>
      <c r="I1362" s="258">
        <f t="shared" ref="I1362:N1362" si="1482">SUM(I1363,I1366)</f>
        <v>389000</v>
      </c>
      <c r="J1362" s="258">
        <f t="shared" si="1482"/>
        <v>304000</v>
      </c>
      <c r="K1362" s="258">
        <f t="shared" si="1482"/>
        <v>0</v>
      </c>
      <c r="L1362" s="258">
        <f t="shared" si="1482"/>
        <v>85000</v>
      </c>
      <c r="M1362" s="258">
        <f t="shared" si="1482"/>
        <v>8000</v>
      </c>
      <c r="N1362" s="258">
        <f t="shared" si="1482"/>
        <v>0</v>
      </c>
      <c r="O1362" s="258">
        <f t="shared" ref="O1362:P1362" si="1483">SUM(O1363,O1366)</f>
        <v>17000</v>
      </c>
      <c r="P1362" s="258">
        <f t="shared" si="1483"/>
        <v>0</v>
      </c>
      <c r="Q1362" s="258">
        <f t="shared" ref="Q1362" si="1484">SUM(Q1363,Q1366)</f>
        <v>0</v>
      </c>
    </row>
    <row r="1363" spans="1:17" s="4" customFormat="1" hidden="1" x14ac:dyDescent="0.3">
      <c r="A1363" s="281">
        <v>31</v>
      </c>
      <c r="B1363" s="282" t="s">
        <v>316</v>
      </c>
      <c r="C1363" s="187">
        <f t="shared" ref="C1363:D1363" si="1485">SUM(C1364,C1366)</f>
        <v>0</v>
      </c>
      <c r="D1363" s="187">
        <f t="shared" si="1485"/>
        <v>0</v>
      </c>
      <c r="E1363" s="187">
        <f t="shared" ref="E1363:Q1363" si="1486">SUM(E1364,)</f>
        <v>0</v>
      </c>
      <c r="F1363" s="187">
        <f t="shared" si="1486"/>
        <v>0</v>
      </c>
      <c r="G1363" s="187">
        <f t="shared" si="1486"/>
        <v>0</v>
      </c>
      <c r="H1363" s="187">
        <f t="shared" si="1486"/>
        <v>0</v>
      </c>
      <c r="I1363" s="187">
        <f t="shared" si="1486"/>
        <v>204000</v>
      </c>
      <c r="J1363" s="187">
        <f t="shared" si="1486"/>
        <v>204000</v>
      </c>
      <c r="K1363" s="187">
        <f t="shared" si="1486"/>
        <v>0</v>
      </c>
      <c r="L1363" s="187">
        <f t="shared" si="1486"/>
        <v>0</v>
      </c>
      <c r="M1363" s="187">
        <f t="shared" si="1486"/>
        <v>0</v>
      </c>
      <c r="N1363" s="187">
        <f t="shared" si="1486"/>
        <v>0</v>
      </c>
      <c r="O1363" s="187">
        <f t="shared" si="1486"/>
        <v>0</v>
      </c>
      <c r="P1363" s="187">
        <f t="shared" si="1486"/>
        <v>0</v>
      </c>
      <c r="Q1363" s="187">
        <f t="shared" si="1486"/>
        <v>0</v>
      </c>
    </row>
    <row r="1364" spans="1:17" s="4" customFormat="1" hidden="1" x14ac:dyDescent="0.3">
      <c r="A1364" s="283">
        <v>311</v>
      </c>
      <c r="B1364" s="284" t="s">
        <v>4</v>
      </c>
      <c r="C1364" s="221">
        <f t="shared" ref="C1364:Q1364" si="1487">SUM(C1365)</f>
        <v>0</v>
      </c>
      <c r="D1364" s="221">
        <f t="shared" si="1487"/>
        <v>0</v>
      </c>
      <c r="E1364" s="221">
        <f t="shared" si="1487"/>
        <v>0</v>
      </c>
      <c r="F1364" s="221">
        <f t="shared" si="1487"/>
        <v>0</v>
      </c>
      <c r="G1364" s="221">
        <f t="shared" si="1487"/>
        <v>0</v>
      </c>
      <c r="H1364" s="221">
        <f t="shared" si="1487"/>
        <v>0</v>
      </c>
      <c r="I1364" s="221">
        <f t="shared" si="1487"/>
        <v>204000</v>
      </c>
      <c r="J1364" s="221">
        <f t="shared" si="1487"/>
        <v>204000</v>
      </c>
      <c r="K1364" s="221">
        <f t="shared" si="1487"/>
        <v>0</v>
      </c>
      <c r="L1364" s="221">
        <f t="shared" si="1487"/>
        <v>0</v>
      </c>
      <c r="M1364" s="221">
        <f t="shared" si="1487"/>
        <v>0</v>
      </c>
      <c r="N1364" s="221">
        <f t="shared" si="1487"/>
        <v>0</v>
      </c>
      <c r="O1364" s="221">
        <f t="shared" si="1487"/>
        <v>0</v>
      </c>
      <c r="P1364" s="221">
        <f t="shared" si="1487"/>
        <v>0</v>
      </c>
      <c r="Q1364" s="221">
        <f t="shared" si="1487"/>
        <v>0</v>
      </c>
    </row>
    <row r="1365" spans="1:17" s="4" customFormat="1" hidden="1" x14ac:dyDescent="0.3">
      <c r="A1365" s="266">
        <v>3111</v>
      </c>
      <c r="B1365" s="267" t="s">
        <v>5</v>
      </c>
      <c r="C1365" s="197">
        <v>0</v>
      </c>
      <c r="D1365" s="197"/>
      <c r="E1365" s="197"/>
      <c r="F1365" s="182">
        <f t="shared" ref="F1365" si="1488">C1365-D1365+E1365</f>
        <v>0</v>
      </c>
      <c r="G1365" s="197"/>
      <c r="H1365" s="197"/>
      <c r="I1365" s="197">
        <v>204000</v>
      </c>
      <c r="J1365" s="295">
        <v>204000</v>
      </c>
      <c r="K1365" s="295"/>
      <c r="L1365" s="220">
        <f>I1365-J1365+K1365</f>
        <v>0</v>
      </c>
      <c r="M1365" s="197"/>
      <c r="N1365" s="197"/>
      <c r="O1365" s="197"/>
      <c r="P1365" s="197"/>
      <c r="Q1365" s="197"/>
    </row>
    <row r="1366" spans="1:17" s="4" customFormat="1" x14ac:dyDescent="0.3">
      <c r="A1366" s="305">
        <v>32</v>
      </c>
      <c r="B1366" s="306" t="s">
        <v>318</v>
      </c>
      <c r="C1366" s="307">
        <f>SUM(C1369)</f>
        <v>0</v>
      </c>
      <c r="D1366" s="320">
        <f>SUM(D1369)</f>
        <v>0</v>
      </c>
      <c r="E1366" s="320">
        <f>SUM(E1367+E1370+E1374)</f>
        <v>0</v>
      </c>
      <c r="F1366" s="176">
        <f>C1366-D1366+E1366</f>
        <v>0</v>
      </c>
      <c r="G1366" s="320">
        <f>SUM(G1367+G1370+G1374)</f>
        <v>0</v>
      </c>
      <c r="H1366" s="320">
        <f>SUM(H1367+H1370+H1374)</f>
        <v>0</v>
      </c>
      <c r="I1366" s="320">
        <f>SUM(I1367+I1370+I1374,I1379)</f>
        <v>185000</v>
      </c>
      <c r="J1366" s="320">
        <f t="shared" ref="J1366:L1366" si="1489">SUM(J1367+J1370+J1374,J1379)</f>
        <v>100000</v>
      </c>
      <c r="K1366" s="320">
        <f t="shared" si="1489"/>
        <v>0</v>
      </c>
      <c r="L1366" s="320">
        <f t="shared" si="1489"/>
        <v>85000</v>
      </c>
      <c r="M1366" s="320">
        <f t="shared" ref="M1366:N1366" si="1490">SUM(M1367+M1370+M1374,M1379)</f>
        <v>8000</v>
      </c>
      <c r="N1366" s="320">
        <f t="shared" si="1490"/>
        <v>0</v>
      </c>
      <c r="O1366" s="320">
        <f t="shared" ref="O1366:P1366" si="1491">SUM(O1367+O1370+O1374,O1379)</f>
        <v>17000</v>
      </c>
      <c r="P1366" s="320">
        <f t="shared" si="1491"/>
        <v>0</v>
      </c>
      <c r="Q1366" s="320">
        <f t="shared" ref="Q1366" si="1492">SUM(Q1367+Q1370+Q1374,Q1379)</f>
        <v>0</v>
      </c>
    </row>
    <row r="1367" spans="1:17" s="4" customFormat="1" x14ac:dyDescent="0.3">
      <c r="A1367" s="269">
        <v>321</v>
      </c>
      <c r="B1367" s="178" t="s">
        <v>12</v>
      </c>
      <c r="C1367" s="321"/>
      <c r="D1367" s="259"/>
      <c r="E1367" s="259">
        <f>SUM(E1368:E1369)</f>
        <v>0</v>
      </c>
      <c r="F1367" s="179">
        <f t="shared" ref="F1367:F1372" si="1493">C1367-D1367+E1367</f>
        <v>0</v>
      </c>
      <c r="G1367" s="259">
        <f>SUM(G1368:G1369)</f>
        <v>0</v>
      </c>
      <c r="H1367" s="259">
        <f>SUM(H1368:H1369)</f>
        <v>0</v>
      </c>
      <c r="I1367" s="259">
        <f>SUM(I1368:I1369)</f>
        <v>14000</v>
      </c>
      <c r="J1367" s="259">
        <f t="shared" ref="J1367:K1367" si="1494">SUM(J1368:J1369)</f>
        <v>0</v>
      </c>
      <c r="K1367" s="259">
        <f t="shared" si="1494"/>
        <v>0</v>
      </c>
      <c r="L1367" s="259">
        <f t="shared" ref="L1367:Q1367" si="1495">SUM(L1368:L1369)</f>
        <v>14000</v>
      </c>
      <c r="M1367" s="259">
        <f t="shared" si="1495"/>
        <v>0</v>
      </c>
      <c r="N1367" s="259">
        <f t="shared" si="1495"/>
        <v>0</v>
      </c>
      <c r="O1367" s="259">
        <f t="shared" si="1495"/>
        <v>2000</v>
      </c>
      <c r="P1367" s="259">
        <f t="shared" si="1495"/>
        <v>0</v>
      </c>
      <c r="Q1367" s="259">
        <f t="shared" si="1495"/>
        <v>0</v>
      </c>
    </row>
    <row r="1368" spans="1:17" s="4" customFormat="1" x14ac:dyDescent="0.3">
      <c r="A1368" s="266">
        <v>3211</v>
      </c>
      <c r="B1368" s="267" t="s">
        <v>13</v>
      </c>
      <c r="C1368" s="197">
        <v>0</v>
      </c>
      <c r="D1368" s="197"/>
      <c r="E1368" s="197"/>
      <c r="F1368" s="182">
        <f t="shared" si="1493"/>
        <v>0</v>
      </c>
      <c r="G1368" s="197"/>
      <c r="H1368" s="197"/>
      <c r="I1368" s="197">
        <v>11000</v>
      </c>
      <c r="J1368" s="295"/>
      <c r="K1368" s="295"/>
      <c r="L1368" s="220">
        <f>I1368-J1368+K1368</f>
        <v>11000</v>
      </c>
      <c r="M1368" s="197"/>
      <c r="N1368" s="197"/>
      <c r="O1368" s="197">
        <v>2000</v>
      </c>
      <c r="P1368" s="197"/>
      <c r="Q1368" s="197"/>
    </row>
    <row r="1369" spans="1:17" s="4" customFormat="1" hidden="1" x14ac:dyDescent="0.3">
      <c r="A1369" s="180">
        <v>3213</v>
      </c>
      <c r="B1369" s="181" t="s">
        <v>15</v>
      </c>
      <c r="C1369" s="326">
        <v>0</v>
      </c>
      <c r="D1369" s="277"/>
      <c r="E1369" s="277"/>
      <c r="F1369" s="182">
        <f t="shared" si="1493"/>
        <v>0</v>
      </c>
      <c r="G1369" s="277"/>
      <c r="H1369" s="277"/>
      <c r="I1369" s="277">
        <v>3000</v>
      </c>
      <c r="J1369" s="403"/>
      <c r="K1369" s="403"/>
      <c r="L1369" s="220">
        <f>I1369-J1369+K1369</f>
        <v>3000</v>
      </c>
      <c r="M1369" s="277"/>
      <c r="N1369" s="277"/>
      <c r="O1369" s="277"/>
      <c r="P1369" s="277"/>
      <c r="Q1369" s="277"/>
    </row>
    <row r="1370" spans="1:17" s="4" customFormat="1" x14ac:dyDescent="0.3">
      <c r="A1370" s="177">
        <v>322</v>
      </c>
      <c r="B1370" s="178" t="s">
        <v>16</v>
      </c>
      <c r="C1370" s="326"/>
      <c r="D1370" s="326"/>
      <c r="E1370" s="327">
        <f>SUM(E1371:E1372)</f>
        <v>0</v>
      </c>
      <c r="F1370" s="179">
        <f t="shared" si="1493"/>
        <v>0</v>
      </c>
      <c r="G1370" s="327">
        <f>SUM(G1371:G1373)</f>
        <v>0</v>
      </c>
      <c r="H1370" s="327">
        <f t="shared" ref="H1370:N1370" si="1496">SUM(H1371:H1373)</f>
        <v>0</v>
      </c>
      <c r="I1370" s="327">
        <f t="shared" si="1496"/>
        <v>2000</v>
      </c>
      <c r="J1370" s="327">
        <f t="shared" si="1496"/>
        <v>0</v>
      </c>
      <c r="K1370" s="327">
        <f t="shared" si="1496"/>
        <v>0</v>
      </c>
      <c r="L1370" s="327">
        <f t="shared" si="1496"/>
        <v>2000</v>
      </c>
      <c r="M1370" s="327">
        <f t="shared" si="1496"/>
        <v>0</v>
      </c>
      <c r="N1370" s="327">
        <f t="shared" si="1496"/>
        <v>0</v>
      </c>
      <c r="O1370" s="327">
        <f t="shared" ref="O1370:P1370" si="1497">SUM(O1371:O1373)</f>
        <v>500</v>
      </c>
      <c r="P1370" s="327">
        <f t="shared" si="1497"/>
        <v>0</v>
      </c>
      <c r="Q1370" s="327">
        <f t="shared" ref="Q1370" si="1498">SUM(Q1371:Q1373)</f>
        <v>0</v>
      </c>
    </row>
    <row r="1371" spans="1:17" s="4" customFormat="1" ht="11.55" customHeight="1" x14ac:dyDescent="0.3">
      <c r="A1371" s="180">
        <v>3222</v>
      </c>
      <c r="B1371" s="181" t="s">
        <v>18</v>
      </c>
      <c r="C1371" s="319">
        <v>0</v>
      </c>
      <c r="D1371" s="319"/>
      <c r="E1371" s="319"/>
      <c r="F1371" s="182">
        <f t="shared" si="1493"/>
        <v>0</v>
      </c>
      <c r="G1371" s="319"/>
      <c r="H1371" s="319"/>
      <c r="I1371" s="319">
        <v>2000</v>
      </c>
      <c r="J1371" s="319"/>
      <c r="K1371" s="319"/>
      <c r="L1371" s="220">
        <f>I1371-J1371+K1371</f>
        <v>2000</v>
      </c>
      <c r="M1371" s="319"/>
      <c r="N1371" s="319"/>
      <c r="O1371" s="319">
        <v>500</v>
      </c>
      <c r="P1371" s="319"/>
      <c r="Q1371" s="319"/>
    </row>
    <row r="1372" spans="1:17" s="4" customFormat="1" hidden="1" x14ac:dyDescent="0.3">
      <c r="A1372" s="266">
        <v>3223</v>
      </c>
      <c r="B1372" s="267" t="s">
        <v>19</v>
      </c>
      <c r="C1372" s="322">
        <v>0</v>
      </c>
      <c r="D1372" s="260"/>
      <c r="E1372" s="260"/>
      <c r="F1372" s="182">
        <f t="shared" si="1493"/>
        <v>0</v>
      </c>
      <c r="G1372" s="260"/>
      <c r="H1372" s="260"/>
      <c r="I1372" s="260"/>
      <c r="J1372" s="399"/>
      <c r="K1372" s="399"/>
      <c r="L1372" s="399"/>
      <c r="M1372" s="260"/>
      <c r="N1372" s="260"/>
      <c r="O1372" s="260"/>
      <c r="P1372" s="260"/>
      <c r="Q1372" s="260"/>
    </row>
    <row r="1373" spans="1:17" s="4" customFormat="1" hidden="1" x14ac:dyDescent="0.3">
      <c r="A1373" s="266">
        <v>3225</v>
      </c>
      <c r="B1373" s="267" t="s">
        <v>21</v>
      </c>
      <c r="C1373" s="322"/>
      <c r="D1373" s="260"/>
      <c r="E1373" s="260"/>
      <c r="F1373" s="182"/>
      <c r="G1373" s="260"/>
      <c r="H1373" s="260"/>
      <c r="I1373" s="260"/>
      <c r="J1373" s="399"/>
      <c r="K1373" s="399"/>
      <c r="L1373" s="399"/>
      <c r="M1373" s="260"/>
      <c r="N1373" s="260"/>
      <c r="O1373" s="260"/>
      <c r="P1373" s="260"/>
      <c r="Q1373" s="260"/>
    </row>
    <row r="1374" spans="1:17" s="4" customFormat="1" x14ac:dyDescent="0.3">
      <c r="A1374" s="283">
        <v>323</v>
      </c>
      <c r="B1374" s="178" t="s">
        <v>23</v>
      </c>
      <c r="C1374" s="322"/>
      <c r="D1374" s="260"/>
      <c r="E1374" s="259">
        <f>SUM(E1375:E1377)</f>
        <v>0</v>
      </c>
      <c r="F1374" s="179">
        <f t="shared" ref="F1374:F1375" si="1499">C1374-D1374+E1374</f>
        <v>0</v>
      </c>
      <c r="G1374" s="259">
        <f>SUM(G1375:G1377)</f>
        <v>0</v>
      </c>
      <c r="H1374" s="259">
        <f>SUM(H1375:H1377)</f>
        <v>0</v>
      </c>
      <c r="I1374" s="259">
        <f>SUM(I1375:I1378)</f>
        <v>157000</v>
      </c>
      <c r="J1374" s="259">
        <f t="shared" ref="J1374:K1374" si="1500">SUM(J1375:J1378)</f>
        <v>100000</v>
      </c>
      <c r="K1374" s="259">
        <f t="shared" si="1500"/>
        <v>0</v>
      </c>
      <c r="L1374" s="259">
        <f>SUM(L1375:L1378)</f>
        <v>57000</v>
      </c>
      <c r="M1374" s="259">
        <f t="shared" ref="M1374:N1374" si="1501">SUM(M1375:M1378)</f>
        <v>8000</v>
      </c>
      <c r="N1374" s="259">
        <f t="shared" si="1501"/>
        <v>0</v>
      </c>
      <c r="O1374" s="259">
        <f t="shared" ref="O1374:P1374" si="1502">SUM(O1375:O1378)</f>
        <v>12500</v>
      </c>
      <c r="P1374" s="259">
        <f t="shared" si="1502"/>
        <v>0</v>
      </c>
      <c r="Q1374" s="259">
        <f t="shared" ref="Q1374" si="1503">SUM(Q1375:Q1378)</f>
        <v>0</v>
      </c>
    </row>
    <row r="1375" spans="1:17" s="4" customFormat="1" x14ac:dyDescent="0.3">
      <c r="A1375" s="266">
        <v>3233</v>
      </c>
      <c r="B1375" s="267" t="s">
        <v>26</v>
      </c>
      <c r="C1375" s="322">
        <v>0</v>
      </c>
      <c r="D1375" s="260"/>
      <c r="E1375" s="260"/>
      <c r="F1375" s="182">
        <f t="shared" si="1499"/>
        <v>0</v>
      </c>
      <c r="G1375" s="260"/>
      <c r="H1375" s="260"/>
      <c r="I1375" s="260">
        <v>10000</v>
      </c>
      <c r="J1375" s="399"/>
      <c r="K1375" s="399"/>
      <c r="L1375" s="220">
        <f>I1375-J1375+K1375</f>
        <v>10000</v>
      </c>
      <c r="M1375" s="260"/>
      <c r="N1375" s="260"/>
      <c r="O1375" s="260">
        <v>500</v>
      </c>
      <c r="P1375" s="260"/>
      <c r="Q1375" s="260"/>
    </row>
    <row r="1376" spans="1:17" s="4" customFormat="1" x14ac:dyDescent="0.3">
      <c r="A1376" s="266">
        <v>3235</v>
      </c>
      <c r="B1376" s="267" t="s">
        <v>28</v>
      </c>
      <c r="C1376" s="322"/>
      <c r="D1376" s="260"/>
      <c r="E1376" s="260"/>
      <c r="F1376" s="182"/>
      <c r="G1376" s="260"/>
      <c r="H1376" s="260"/>
      <c r="I1376" s="260">
        <v>11000</v>
      </c>
      <c r="J1376" s="399"/>
      <c r="K1376" s="399"/>
      <c r="L1376" s="220">
        <f>I1376-J1376+K1376</f>
        <v>11000</v>
      </c>
      <c r="M1376" s="260">
        <v>3000</v>
      </c>
      <c r="N1376" s="260"/>
      <c r="O1376" s="260">
        <v>3000</v>
      </c>
      <c r="P1376" s="260"/>
      <c r="Q1376" s="260"/>
    </row>
    <row r="1377" spans="1:17" s="4" customFormat="1" hidden="1" x14ac:dyDescent="0.3">
      <c r="A1377" s="266">
        <v>3237</v>
      </c>
      <c r="B1377" s="201" t="s">
        <v>30</v>
      </c>
      <c r="C1377" s="322"/>
      <c r="D1377" s="260"/>
      <c r="E1377" s="260"/>
      <c r="F1377" s="182">
        <f t="shared" ref="F1377" si="1504">C1377-D1377+E1377</f>
        <v>0</v>
      </c>
      <c r="G1377" s="260"/>
      <c r="H1377" s="260"/>
      <c r="I1377" s="260">
        <v>6000</v>
      </c>
      <c r="J1377" s="399"/>
      <c r="K1377" s="399"/>
      <c r="L1377" s="220">
        <f>I1377-J1377+K1377</f>
        <v>6000</v>
      </c>
      <c r="M1377" s="260">
        <v>1000</v>
      </c>
      <c r="N1377" s="260"/>
      <c r="O1377" s="260"/>
      <c r="P1377" s="260"/>
      <c r="Q1377" s="260"/>
    </row>
    <row r="1378" spans="1:17" s="4" customFormat="1" x14ac:dyDescent="0.3">
      <c r="A1378" s="266">
        <v>3239</v>
      </c>
      <c r="B1378" s="201" t="s">
        <v>31</v>
      </c>
      <c r="C1378" s="322"/>
      <c r="D1378" s="260"/>
      <c r="E1378" s="260"/>
      <c r="F1378" s="182"/>
      <c r="G1378" s="260"/>
      <c r="H1378" s="260"/>
      <c r="I1378" s="260">
        <v>130000</v>
      </c>
      <c r="J1378" s="399">
        <v>100000</v>
      </c>
      <c r="K1378" s="399"/>
      <c r="L1378" s="220">
        <f>I1378-J1378+K1378</f>
        <v>30000</v>
      </c>
      <c r="M1378" s="260">
        <v>4000</v>
      </c>
      <c r="N1378" s="260"/>
      <c r="O1378" s="260">
        <v>9000</v>
      </c>
      <c r="P1378" s="260"/>
      <c r="Q1378" s="260"/>
    </row>
    <row r="1379" spans="1:17" s="4" customFormat="1" x14ac:dyDescent="0.3">
      <c r="A1379" s="283">
        <v>324</v>
      </c>
      <c r="B1379" s="284" t="s">
        <v>32</v>
      </c>
      <c r="C1379" s="321"/>
      <c r="D1379" s="259"/>
      <c r="E1379" s="259"/>
      <c r="F1379" s="179"/>
      <c r="G1379" s="259"/>
      <c r="H1379" s="259"/>
      <c r="I1379" s="259">
        <f>SUM(I1380)</f>
        <v>12000</v>
      </c>
      <c r="J1379" s="259">
        <f t="shared" ref="J1379:K1379" si="1505">SUM(J1380)</f>
        <v>0</v>
      </c>
      <c r="K1379" s="259">
        <f t="shared" si="1505"/>
        <v>0</v>
      </c>
      <c r="L1379" s="259">
        <f>SUM(L1380)</f>
        <v>12000</v>
      </c>
      <c r="M1379" s="259">
        <f t="shared" ref="M1379:Q1379" si="1506">SUM(M1380)</f>
        <v>0</v>
      </c>
      <c r="N1379" s="259">
        <f t="shared" si="1506"/>
        <v>0</v>
      </c>
      <c r="O1379" s="259">
        <f t="shared" si="1506"/>
        <v>2000</v>
      </c>
      <c r="P1379" s="259">
        <f t="shared" si="1506"/>
        <v>0</v>
      </c>
      <c r="Q1379" s="259">
        <f t="shared" si="1506"/>
        <v>0</v>
      </c>
    </row>
    <row r="1380" spans="1:17" s="4" customFormat="1" x14ac:dyDescent="0.3">
      <c r="A1380" s="266">
        <v>3241</v>
      </c>
      <c r="B1380" s="267" t="s">
        <v>32</v>
      </c>
      <c r="C1380" s="322"/>
      <c r="D1380" s="260"/>
      <c r="E1380" s="260"/>
      <c r="F1380" s="182"/>
      <c r="G1380" s="260"/>
      <c r="H1380" s="260"/>
      <c r="I1380" s="260">
        <v>12000</v>
      </c>
      <c r="J1380" s="399"/>
      <c r="K1380" s="399"/>
      <c r="L1380" s="220">
        <f>I1380-J1380+K1380</f>
        <v>12000</v>
      </c>
      <c r="M1380" s="260"/>
      <c r="N1380" s="260"/>
      <c r="O1380" s="260">
        <v>2000</v>
      </c>
      <c r="P1380" s="260"/>
      <c r="Q1380" s="260"/>
    </row>
    <row r="1381" spans="1:17" s="4" customFormat="1" ht="26.4" x14ac:dyDescent="0.3">
      <c r="A1381" s="242" t="s">
        <v>386</v>
      </c>
      <c r="B1381" s="231" t="s">
        <v>387</v>
      </c>
      <c r="C1381" s="328"/>
      <c r="D1381" s="329"/>
      <c r="E1381" s="329"/>
      <c r="F1381" s="329"/>
      <c r="G1381" s="329"/>
      <c r="H1381" s="329"/>
      <c r="I1381" s="172">
        <f>SUM(I1382)</f>
        <v>15000</v>
      </c>
      <c r="J1381" s="172">
        <f t="shared" ref="J1381:K1384" si="1507">SUM(J1382)</f>
        <v>15000</v>
      </c>
      <c r="K1381" s="172">
        <f t="shared" si="1507"/>
        <v>0</v>
      </c>
      <c r="L1381" s="172">
        <f>SUM(L1382)</f>
        <v>0</v>
      </c>
      <c r="M1381" s="172">
        <f t="shared" ref="M1381:Q1382" si="1508">SUM(M1382)</f>
        <v>20000</v>
      </c>
      <c r="N1381" s="172">
        <f t="shared" si="1508"/>
        <v>20000</v>
      </c>
      <c r="O1381" s="172">
        <f t="shared" si="1508"/>
        <v>20000</v>
      </c>
      <c r="P1381" s="172">
        <f t="shared" si="1508"/>
        <v>20000</v>
      </c>
      <c r="Q1381" s="172">
        <f t="shared" si="1508"/>
        <v>20000</v>
      </c>
    </row>
    <row r="1382" spans="1:17" s="4" customFormat="1" x14ac:dyDescent="0.3">
      <c r="A1382" s="721" t="s">
        <v>241</v>
      </c>
      <c r="B1382" s="721"/>
      <c r="C1382" s="721"/>
      <c r="D1382" s="721"/>
      <c r="E1382" s="216"/>
      <c r="F1382" s="216"/>
      <c r="G1382" s="216"/>
      <c r="H1382" s="216"/>
      <c r="I1382" s="184">
        <f>SUM(I1383)</f>
        <v>15000</v>
      </c>
      <c r="J1382" s="184">
        <f t="shared" si="1507"/>
        <v>15000</v>
      </c>
      <c r="K1382" s="184">
        <f t="shared" si="1507"/>
        <v>0</v>
      </c>
      <c r="L1382" s="184">
        <f>SUM(L1383)</f>
        <v>0</v>
      </c>
      <c r="M1382" s="184">
        <f t="shared" si="1508"/>
        <v>20000</v>
      </c>
      <c r="N1382" s="184">
        <f t="shared" si="1508"/>
        <v>20000</v>
      </c>
      <c r="O1382" s="184">
        <f t="shared" si="1508"/>
        <v>20000</v>
      </c>
      <c r="P1382" s="184">
        <f t="shared" si="1508"/>
        <v>20000</v>
      </c>
      <c r="Q1382" s="184">
        <f t="shared" si="1508"/>
        <v>20000</v>
      </c>
    </row>
    <row r="1383" spans="1:17" s="4" customFormat="1" x14ac:dyDescent="0.3">
      <c r="A1383" s="305">
        <v>32</v>
      </c>
      <c r="B1383" s="330" t="s">
        <v>318</v>
      </c>
      <c r="C1383" s="331"/>
      <c r="D1383" s="332"/>
      <c r="E1383" s="332"/>
      <c r="F1383" s="332"/>
      <c r="G1383" s="332"/>
      <c r="H1383" s="332"/>
      <c r="I1383" s="176">
        <f>SUM(I1384)</f>
        <v>15000</v>
      </c>
      <c r="J1383" s="176">
        <f t="shared" si="1507"/>
        <v>15000</v>
      </c>
      <c r="K1383" s="176">
        <f t="shared" si="1507"/>
        <v>0</v>
      </c>
      <c r="L1383" s="176">
        <f>SUM(L1384)</f>
        <v>0</v>
      </c>
      <c r="M1383" s="332">
        <f t="shared" ref="M1383:Q1384" si="1509">SUM(M1384)</f>
        <v>20000</v>
      </c>
      <c r="N1383" s="332">
        <f t="shared" si="1509"/>
        <v>20000</v>
      </c>
      <c r="O1383" s="332">
        <f t="shared" si="1509"/>
        <v>20000</v>
      </c>
      <c r="P1383" s="332">
        <f t="shared" si="1509"/>
        <v>20000</v>
      </c>
      <c r="Q1383" s="332">
        <f t="shared" si="1509"/>
        <v>20000</v>
      </c>
    </row>
    <row r="1384" spans="1:17" s="4" customFormat="1" x14ac:dyDescent="0.3">
      <c r="A1384" s="333" t="s">
        <v>149</v>
      </c>
      <c r="B1384" s="284" t="s">
        <v>12</v>
      </c>
      <c r="C1384" s="318"/>
      <c r="D1384" s="179"/>
      <c r="E1384" s="179"/>
      <c r="F1384" s="179"/>
      <c r="G1384" s="179"/>
      <c r="H1384" s="179"/>
      <c r="I1384" s="179">
        <f>SUM(I1385)</f>
        <v>15000</v>
      </c>
      <c r="J1384" s="179">
        <f t="shared" si="1507"/>
        <v>15000</v>
      </c>
      <c r="K1384" s="179">
        <f t="shared" si="1507"/>
        <v>0</v>
      </c>
      <c r="L1384" s="179">
        <f>SUM(L1385)</f>
        <v>0</v>
      </c>
      <c r="M1384" s="179">
        <f t="shared" si="1509"/>
        <v>20000</v>
      </c>
      <c r="N1384" s="179">
        <f t="shared" si="1509"/>
        <v>20000</v>
      </c>
      <c r="O1384" s="179">
        <f t="shared" si="1509"/>
        <v>20000</v>
      </c>
      <c r="P1384" s="179">
        <f t="shared" si="1509"/>
        <v>20000</v>
      </c>
      <c r="Q1384" s="179">
        <f t="shared" si="1509"/>
        <v>20000</v>
      </c>
    </row>
    <row r="1385" spans="1:17" s="4" customFormat="1" x14ac:dyDescent="0.3">
      <c r="A1385" s="266">
        <v>3213</v>
      </c>
      <c r="B1385" s="267" t="s">
        <v>15</v>
      </c>
      <c r="C1385" s="319"/>
      <c r="D1385" s="182"/>
      <c r="E1385" s="182"/>
      <c r="F1385" s="182"/>
      <c r="G1385" s="182"/>
      <c r="H1385" s="182"/>
      <c r="I1385" s="182">
        <v>15000</v>
      </c>
      <c r="J1385" s="220">
        <v>15000</v>
      </c>
      <c r="K1385" s="220"/>
      <c r="L1385" s="220">
        <f>I1385-J1385+K1385</f>
        <v>0</v>
      </c>
      <c r="M1385" s="182">
        <v>20000</v>
      </c>
      <c r="N1385" s="182">
        <v>20000</v>
      </c>
      <c r="O1385" s="182">
        <v>20000</v>
      </c>
      <c r="P1385" s="182">
        <v>20000</v>
      </c>
      <c r="Q1385" s="182">
        <v>20000</v>
      </c>
    </row>
    <row r="1386" spans="1:17" s="4" customFormat="1" ht="26.4" x14ac:dyDescent="0.3">
      <c r="A1386" s="242" t="s">
        <v>390</v>
      </c>
      <c r="B1386" s="231" t="s">
        <v>388</v>
      </c>
      <c r="C1386" s="334"/>
      <c r="D1386" s="172"/>
      <c r="E1386" s="172"/>
      <c r="F1386" s="172"/>
      <c r="G1386" s="172"/>
      <c r="H1386" s="172"/>
      <c r="I1386" s="172">
        <f>SUM(I1387)</f>
        <v>177000</v>
      </c>
      <c r="J1386" s="172">
        <f t="shared" ref="J1386:K1386" si="1510">SUM(J1387)</f>
        <v>177000</v>
      </c>
      <c r="K1386" s="172">
        <f t="shared" si="1510"/>
        <v>0</v>
      </c>
      <c r="L1386" s="172">
        <f>SUM(L1387)</f>
        <v>0</v>
      </c>
      <c r="M1386" s="172">
        <f t="shared" ref="M1386:Q1386" si="1511">SUM(M1387)</f>
        <v>4430000</v>
      </c>
      <c r="N1386" s="172">
        <f t="shared" si="1511"/>
        <v>3150000</v>
      </c>
      <c r="O1386" s="172">
        <f t="shared" si="1511"/>
        <v>382500</v>
      </c>
      <c r="P1386" s="172">
        <f t="shared" si="1511"/>
        <v>1998100</v>
      </c>
      <c r="Q1386" s="172">
        <f t="shared" si="1511"/>
        <v>4675000</v>
      </c>
    </row>
    <row r="1387" spans="1:17" s="4" customFormat="1" x14ac:dyDescent="0.3">
      <c r="A1387" s="721" t="s">
        <v>241</v>
      </c>
      <c r="B1387" s="721"/>
      <c r="C1387" s="721"/>
      <c r="D1387" s="721"/>
      <c r="E1387" s="216"/>
      <c r="F1387" s="216"/>
      <c r="G1387" s="216"/>
      <c r="H1387" s="216"/>
      <c r="I1387" s="184">
        <f>SUM(I1388,I1391)</f>
        <v>177000</v>
      </c>
      <c r="J1387" s="184">
        <f t="shared" ref="J1387:K1387" si="1512">SUM(J1388,J1391)</f>
        <v>177000</v>
      </c>
      <c r="K1387" s="184">
        <f t="shared" si="1512"/>
        <v>0</v>
      </c>
      <c r="L1387" s="184">
        <f>SUM(L1388,L1391)</f>
        <v>0</v>
      </c>
      <c r="M1387" s="184">
        <f t="shared" ref="M1387:N1387" si="1513">SUM(M1388,M1391)</f>
        <v>4430000</v>
      </c>
      <c r="N1387" s="184">
        <f t="shared" si="1513"/>
        <v>3150000</v>
      </c>
      <c r="O1387" s="184">
        <f>SUM(O1388+O1391+O1397)</f>
        <v>382500</v>
      </c>
      <c r="P1387" s="184">
        <f t="shared" ref="P1387" si="1514">SUM(P1388+P1391+P1397)</f>
        <v>1998100</v>
      </c>
      <c r="Q1387" s="184">
        <f>SUM(Q1388+Q1391+Q1397)</f>
        <v>4675000</v>
      </c>
    </row>
    <row r="1388" spans="1:17" s="4" customFormat="1" hidden="1" x14ac:dyDescent="0.3">
      <c r="A1388" s="305">
        <v>32</v>
      </c>
      <c r="B1388" s="330" t="s">
        <v>318</v>
      </c>
      <c r="C1388" s="331"/>
      <c r="D1388" s="332"/>
      <c r="E1388" s="332"/>
      <c r="F1388" s="332"/>
      <c r="G1388" s="332"/>
      <c r="H1388" s="332"/>
      <c r="I1388" s="176">
        <f>SUM(I1389)</f>
        <v>27000</v>
      </c>
      <c r="J1388" s="176">
        <f t="shared" ref="J1388:K1389" si="1515">SUM(J1389)</f>
        <v>27000</v>
      </c>
      <c r="K1388" s="176">
        <f t="shared" si="1515"/>
        <v>0</v>
      </c>
      <c r="L1388" s="176">
        <f>SUM(L1389)</f>
        <v>0</v>
      </c>
      <c r="M1388" s="176">
        <f t="shared" ref="M1388:Q1389" si="1516">SUM(M1389)</f>
        <v>700000</v>
      </c>
      <c r="N1388" s="176">
        <f t="shared" si="1516"/>
        <v>410000</v>
      </c>
      <c r="O1388" s="176">
        <f t="shared" si="1516"/>
        <v>0</v>
      </c>
      <c r="P1388" s="176">
        <f t="shared" si="1516"/>
        <v>0</v>
      </c>
      <c r="Q1388" s="176">
        <f t="shared" si="1516"/>
        <v>0</v>
      </c>
    </row>
    <row r="1389" spans="1:17" s="4" customFormat="1" hidden="1" x14ac:dyDescent="0.3">
      <c r="A1389" s="333" t="s">
        <v>149</v>
      </c>
      <c r="B1389" s="284" t="s">
        <v>12</v>
      </c>
      <c r="C1389" s="318"/>
      <c r="D1389" s="179"/>
      <c r="E1389" s="179"/>
      <c r="F1389" s="179"/>
      <c r="G1389" s="179"/>
      <c r="H1389" s="179"/>
      <c r="I1389" s="179">
        <f>SUM(I1390)</f>
        <v>27000</v>
      </c>
      <c r="J1389" s="179">
        <f t="shared" si="1515"/>
        <v>27000</v>
      </c>
      <c r="K1389" s="179">
        <f t="shared" si="1515"/>
        <v>0</v>
      </c>
      <c r="L1389" s="179">
        <f>SUM(L1390)</f>
        <v>0</v>
      </c>
      <c r="M1389" s="179">
        <f t="shared" si="1516"/>
        <v>700000</v>
      </c>
      <c r="N1389" s="179">
        <f t="shared" si="1516"/>
        <v>410000</v>
      </c>
      <c r="O1389" s="179">
        <f t="shared" si="1516"/>
        <v>0</v>
      </c>
      <c r="P1389" s="179">
        <f t="shared" si="1516"/>
        <v>0</v>
      </c>
      <c r="Q1389" s="179">
        <f t="shared" si="1516"/>
        <v>0</v>
      </c>
    </row>
    <row r="1390" spans="1:17" s="4" customFormat="1" hidden="1" x14ac:dyDescent="0.3">
      <c r="A1390" s="266">
        <v>3213</v>
      </c>
      <c r="B1390" s="267" t="s">
        <v>15</v>
      </c>
      <c r="C1390" s="319"/>
      <c r="D1390" s="182"/>
      <c r="E1390" s="182"/>
      <c r="F1390" s="182"/>
      <c r="G1390" s="182"/>
      <c r="H1390" s="182"/>
      <c r="I1390" s="182">
        <v>27000</v>
      </c>
      <c r="J1390" s="220">
        <v>27000</v>
      </c>
      <c r="K1390" s="220"/>
      <c r="L1390" s="220">
        <f>I1390-J1390+K1390</f>
        <v>0</v>
      </c>
      <c r="M1390" s="182">
        <v>700000</v>
      </c>
      <c r="N1390" s="182">
        <v>410000</v>
      </c>
      <c r="O1390" s="182"/>
      <c r="P1390" s="182"/>
      <c r="Q1390" s="182"/>
    </row>
    <row r="1391" spans="1:17" s="4" customFormat="1" x14ac:dyDescent="0.3">
      <c r="A1391" s="281">
        <v>42</v>
      </c>
      <c r="B1391" s="210" t="s">
        <v>324</v>
      </c>
      <c r="C1391" s="331"/>
      <c r="D1391" s="332"/>
      <c r="E1391" s="332"/>
      <c r="F1391" s="332"/>
      <c r="G1391" s="332"/>
      <c r="H1391" s="332"/>
      <c r="I1391" s="176">
        <f>SUM(I1392)</f>
        <v>150000</v>
      </c>
      <c r="J1391" s="176">
        <f t="shared" ref="J1391:K1392" si="1517">SUM(J1392)</f>
        <v>150000</v>
      </c>
      <c r="K1391" s="176">
        <f t="shared" si="1517"/>
        <v>0</v>
      </c>
      <c r="L1391" s="176">
        <f>SUM(L1392)</f>
        <v>0</v>
      </c>
      <c r="M1391" s="176">
        <f t="shared" ref="M1391:Q1392" si="1518">SUM(M1392)</f>
        <v>3730000</v>
      </c>
      <c r="N1391" s="176">
        <f t="shared" si="1518"/>
        <v>2740000</v>
      </c>
      <c r="O1391" s="176">
        <f>O1392+O1394</f>
        <v>127500</v>
      </c>
      <c r="P1391" s="176">
        <f t="shared" ref="P1391:Q1391" si="1519">P1392+P1394</f>
        <v>1403100</v>
      </c>
      <c r="Q1391" s="176">
        <f t="shared" si="1519"/>
        <v>3825000</v>
      </c>
    </row>
    <row r="1392" spans="1:17" s="4" customFormat="1" hidden="1" x14ac:dyDescent="0.3">
      <c r="A1392" s="283">
        <v>422</v>
      </c>
      <c r="B1392" s="335" t="s">
        <v>53</v>
      </c>
      <c r="C1392" s="319"/>
      <c r="D1392" s="182"/>
      <c r="E1392" s="182"/>
      <c r="F1392" s="182"/>
      <c r="G1392" s="182"/>
      <c r="H1392" s="182"/>
      <c r="I1392" s="179">
        <f>SUM(I1393)</f>
        <v>150000</v>
      </c>
      <c r="J1392" s="179">
        <f t="shared" si="1517"/>
        <v>150000</v>
      </c>
      <c r="K1392" s="179">
        <f t="shared" si="1517"/>
        <v>0</v>
      </c>
      <c r="L1392" s="179">
        <f>SUM(L1393)</f>
        <v>0</v>
      </c>
      <c r="M1392" s="179">
        <f t="shared" si="1518"/>
        <v>3730000</v>
      </c>
      <c r="N1392" s="179">
        <f t="shared" si="1518"/>
        <v>2740000</v>
      </c>
      <c r="O1392" s="179">
        <f t="shared" si="1518"/>
        <v>0</v>
      </c>
      <c r="P1392" s="179">
        <f t="shared" si="1518"/>
        <v>0</v>
      </c>
      <c r="Q1392" s="179">
        <f t="shared" si="1518"/>
        <v>0</v>
      </c>
    </row>
    <row r="1393" spans="1:17" s="4" customFormat="1" hidden="1" x14ac:dyDescent="0.3">
      <c r="A1393" s="266">
        <v>4223</v>
      </c>
      <c r="B1393" s="267" t="s">
        <v>59</v>
      </c>
      <c r="C1393" s="319"/>
      <c r="D1393" s="182"/>
      <c r="E1393" s="182"/>
      <c r="F1393" s="182"/>
      <c r="G1393" s="182"/>
      <c r="H1393" s="182"/>
      <c r="I1393" s="182">
        <v>150000</v>
      </c>
      <c r="J1393" s="220">
        <v>150000</v>
      </c>
      <c r="K1393" s="220"/>
      <c r="L1393" s="220">
        <f>I1393-J1393+K1393</f>
        <v>0</v>
      </c>
      <c r="M1393" s="182">
        <v>3730000</v>
      </c>
      <c r="N1393" s="182">
        <v>2740000</v>
      </c>
      <c r="O1393" s="182"/>
      <c r="P1393" s="182"/>
      <c r="Q1393" s="182"/>
    </row>
    <row r="1394" spans="1:17" s="4" customFormat="1" x14ac:dyDescent="0.3">
      <c r="A1394" s="283">
        <v>423</v>
      </c>
      <c r="B1394" s="284" t="s">
        <v>61</v>
      </c>
      <c r="C1394" s="321">
        <f>SUM(C1395)</f>
        <v>0</v>
      </c>
      <c r="D1394" s="259"/>
      <c r="E1394" s="259"/>
      <c r="F1394" s="179">
        <f t="shared" ref="F1394" si="1520">C1394-D1394+E1394</f>
        <v>0</v>
      </c>
      <c r="G1394" s="259">
        <f>SUM(G1395)</f>
        <v>0</v>
      </c>
      <c r="H1394" s="259">
        <f t="shared" ref="H1394" si="1521">SUM(H1395)</f>
        <v>0</v>
      </c>
      <c r="I1394" s="259"/>
      <c r="J1394" s="259"/>
      <c r="K1394" s="259"/>
      <c r="L1394" s="259"/>
      <c r="M1394" s="259"/>
      <c r="N1394" s="259"/>
      <c r="O1394" s="259">
        <f>SUM(O1395:O1396)</f>
        <v>127500</v>
      </c>
      <c r="P1394" s="259">
        <f t="shared" ref="P1394:Q1394" si="1522">SUM(P1395:P1396)</f>
        <v>1403100</v>
      </c>
      <c r="Q1394" s="259">
        <f t="shared" si="1522"/>
        <v>3825000</v>
      </c>
    </row>
    <row r="1395" spans="1:17" s="4" customFormat="1" x14ac:dyDescent="0.3">
      <c r="A1395" s="266">
        <v>4231</v>
      </c>
      <c r="B1395" s="267" t="s">
        <v>62</v>
      </c>
      <c r="C1395" s="322"/>
      <c r="D1395" s="260"/>
      <c r="E1395" s="260"/>
      <c r="F1395" s="182"/>
      <c r="G1395" s="260"/>
      <c r="H1395" s="260"/>
      <c r="I1395" s="260"/>
      <c r="J1395" s="399"/>
      <c r="K1395" s="399"/>
      <c r="L1395" s="399"/>
      <c r="M1395" s="260"/>
      <c r="N1395" s="260"/>
      <c r="O1395" s="260">
        <v>42500</v>
      </c>
      <c r="P1395" s="260">
        <v>153000</v>
      </c>
      <c r="Q1395" s="260"/>
    </row>
    <row r="1396" spans="1:17" s="6" customFormat="1" ht="24" customHeight="1" x14ac:dyDescent="0.3">
      <c r="A1396" s="266">
        <v>4233</v>
      </c>
      <c r="B1396" s="267" t="s">
        <v>227</v>
      </c>
      <c r="C1396" s="197">
        <v>1493000</v>
      </c>
      <c r="D1396" s="197">
        <v>1493000</v>
      </c>
      <c r="E1396" s="197"/>
      <c r="F1396" s="182">
        <f t="shared" ref="F1396" si="1523">C1396-D1396+E1396</f>
        <v>0</v>
      </c>
      <c r="G1396" s="197">
        <v>1990000</v>
      </c>
      <c r="H1396" s="197">
        <v>1990000</v>
      </c>
      <c r="I1396" s="195"/>
      <c r="J1396" s="297"/>
      <c r="K1396" s="297"/>
      <c r="L1396" s="220"/>
      <c r="M1396" s="197"/>
      <c r="N1396" s="197"/>
      <c r="O1396" s="197">
        <v>85000</v>
      </c>
      <c r="P1396" s="663">
        <f>413000+837100</f>
        <v>1250100</v>
      </c>
      <c r="Q1396" s="197">
        <v>3825000</v>
      </c>
    </row>
    <row r="1397" spans="1:17" s="4" customFormat="1" ht="26.4" x14ac:dyDescent="0.3">
      <c r="A1397" s="281">
        <v>45</v>
      </c>
      <c r="B1397" s="210" t="s">
        <v>326</v>
      </c>
      <c r="C1397" s="307">
        <f t="shared" ref="C1397:H1398" si="1524">SUM(C1398)</f>
        <v>520000</v>
      </c>
      <c r="D1397" s="320">
        <f t="shared" si="1524"/>
        <v>520000</v>
      </c>
      <c r="E1397" s="320">
        <f t="shared" si="1524"/>
        <v>0</v>
      </c>
      <c r="F1397" s="320">
        <f t="shared" si="1524"/>
        <v>0</v>
      </c>
      <c r="G1397" s="320">
        <f t="shared" si="1524"/>
        <v>0</v>
      </c>
      <c r="H1397" s="320">
        <f t="shared" si="1524"/>
        <v>0</v>
      </c>
      <c r="I1397" s="320"/>
      <c r="J1397" s="320"/>
      <c r="K1397" s="320"/>
      <c r="L1397" s="320"/>
      <c r="M1397" s="320"/>
      <c r="N1397" s="320"/>
      <c r="O1397" s="320">
        <f>SUM(O1398)</f>
        <v>255000</v>
      </c>
      <c r="P1397" s="320">
        <f t="shared" ref="P1397" si="1525">SUM(P1398)</f>
        <v>595000</v>
      </c>
      <c r="Q1397" s="320">
        <f>SUM(Q1398)</f>
        <v>850000</v>
      </c>
    </row>
    <row r="1398" spans="1:17" s="4" customFormat="1" x14ac:dyDescent="0.3">
      <c r="A1398" s="283">
        <v>451</v>
      </c>
      <c r="B1398" s="284" t="s">
        <v>55</v>
      </c>
      <c r="C1398" s="321">
        <f t="shared" si="1524"/>
        <v>520000</v>
      </c>
      <c r="D1398" s="259">
        <f t="shared" si="1524"/>
        <v>520000</v>
      </c>
      <c r="E1398" s="259">
        <f t="shared" si="1524"/>
        <v>0</v>
      </c>
      <c r="F1398" s="259">
        <f t="shared" si="1524"/>
        <v>0</v>
      </c>
      <c r="G1398" s="259">
        <f t="shared" si="1524"/>
        <v>0</v>
      </c>
      <c r="H1398" s="259">
        <f t="shared" si="1524"/>
        <v>0</v>
      </c>
      <c r="I1398" s="259"/>
      <c r="J1398" s="259"/>
      <c r="K1398" s="259"/>
      <c r="L1398" s="259"/>
      <c r="M1398" s="259"/>
      <c r="N1398" s="259"/>
      <c r="O1398" s="259">
        <f>SUM(O1399)</f>
        <v>255000</v>
      </c>
      <c r="P1398" s="259">
        <f t="shared" ref="P1398:Q1398" si="1526">SUM(P1399)</f>
        <v>595000</v>
      </c>
      <c r="Q1398" s="259">
        <f t="shared" si="1526"/>
        <v>850000</v>
      </c>
    </row>
    <row r="1399" spans="1:17" s="4" customFormat="1" x14ac:dyDescent="0.3">
      <c r="A1399" s="266">
        <v>4511</v>
      </c>
      <c r="B1399" s="267" t="s">
        <v>55</v>
      </c>
      <c r="C1399" s="322">
        <v>520000</v>
      </c>
      <c r="D1399" s="260">
        <v>520000</v>
      </c>
      <c r="E1399" s="260"/>
      <c r="F1399" s="182">
        <f t="shared" ref="F1399" si="1527">C1399-D1399+E1399</f>
        <v>0</v>
      </c>
      <c r="G1399" s="260"/>
      <c r="H1399" s="260"/>
      <c r="I1399" s="275"/>
      <c r="J1399" s="402"/>
      <c r="K1399" s="402"/>
      <c r="L1399" s="220"/>
      <c r="M1399" s="260"/>
      <c r="N1399" s="260"/>
      <c r="O1399" s="260">
        <v>255000</v>
      </c>
      <c r="P1399" s="260">
        <v>595000</v>
      </c>
      <c r="Q1399" s="260">
        <v>850000</v>
      </c>
    </row>
    <row r="1400" spans="1:17" s="4" customFormat="1" ht="26.4" x14ac:dyDescent="0.3">
      <c r="A1400" s="242" t="s">
        <v>395</v>
      </c>
      <c r="B1400" s="231" t="s">
        <v>394</v>
      </c>
      <c r="C1400" s="334"/>
      <c r="D1400" s="172"/>
      <c r="E1400" s="172"/>
      <c r="F1400" s="172"/>
      <c r="G1400" s="172"/>
      <c r="H1400" s="172"/>
      <c r="I1400" s="172">
        <f>SUM(I1401,I1453)</f>
        <v>2679000</v>
      </c>
      <c r="J1400" s="172">
        <f>SUM(J1401,J1453)</f>
        <v>2679000</v>
      </c>
      <c r="K1400" s="172">
        <f>SUM(K1401,K1453)</f>
        <v>28818000</v>
      </c>
      <c r="L1400" s="172">
        <f>SUM(L1401,L1453)</f>
        <v>28818000</v>
      </c>
      <c r="M1400" s="172">
        <f t="shared" ref="M1400:N1400" si="1528">SUM(M1401)</f>
        <v>12219000</v>
      </c>
      <c r="N1400" s="172">
        <f t="shared" si="1528"/>
        <v>23387000</v>
      </c>
      <c r="O1400" s="172">
        <f>SUM(O1401,O1453)</f>
        <v>19459900</v>
      </c>
      <c r="P1400" s="172">
        <f>SUM(P1401,P1453)</f>
        <v>0</v>
      </c>
      <c r="Q1400" s="172">
        <f>SUM(Q1401,Q1453)</f>
        <v>0</v>
      </c>
    </row>
    <row r="1401" spans="1:17" s="473" customFormat="1" ht="28.5" customHeight="1" x14ac:dyDescent="0.3">
      <c r="A1401" s="720" t="s">
        <v>241</v>
      </c>
      <c r="B1401" s="720"/>
      <c r="C1401" s="720"/>
      <c r="D1401" s="720"/>
      <c r="E1401" s="471"/>
      <c r="F1401" s="471"/>
      <c r="G1401" s="471"/>
      <c r="H1401" s="471"/>
      <c r="I1401" s="472">
        <f t="shared" ref="I1401:Q1401" si="1529">SUM(I1402+I1405+I1431+I1434+I1437+I1448)</f>
        <v>2679000</v>
      </c>
      <c r="J1401" s="472">
        <f t="shared" si="1529"/>
        <v>2679000</v>
      </c>
      <c r="K1401" s="472">
        <f t="shared" si="1529"/>
        <v>0</v>
      </c>
      <c r="L1401" s="472">
        <f t="shared" si="1529"/>
        <v>0</v>
      </c>
      <c r="M1401" s="472">
        <f t="shared" si="1529"/>
        <v>12219000</v>
      </c>
      <c r="N1401" s="472">
        <f t="shared" si="1529"/>
        <v>23387000</v>
      </c>
      <c r="O1401" s="472">
        <f t="shared" si="1529"/>
        <v>19459900</v>
      </c>
      <c r="P1401" s="472">
        <f t="shared" si="1529"/>
        <v>0</v>
      </c>
      <c r="Q1401" s="472">
        <f t="shared" si="1529"/>
        <v>0</v>
      </c>
    </row>
    <row r="1402" spans="1:17" s="4" customFormat="1" hidden="1" x14ac:dyDescent="0.3">
      <c r="A1402" s="185" t="s">
        <v>315</v>
      </c>
      <c r="B1402" s="186" t="s">
        <v>316</v>
      </c>
      <c r="C1402" s="331"/>
      <c r="D1402" s="332"/>
      <c r="E1402" s="332"/>
      <c r="F1402" s="332"/>
      <c r="G1402" s="332"/>
      <c r="H1402" s="332"/>
      <c r="I1402" s="176">
        <f t="shared" ref="I1402:Q1403" si="1530">SUM(I1403)</f>
        <v>383000</v>
      </c>
      <c r="J1402" s="176">
        <f t="shared" si="1530"/>
        <v>383000</v>
      </c>
      <c r="K1402" s="176">
        <f t="shared" si="1530"/>
        <v>0</v>
      </c>
      <c r="L1402" s="176">
        <f t="shared" si="1530"/>
        <v>0</v>
      </c>
      <c r="M1402" s="332">
        <f t="shared" si="1530"/>
        <v>609000</v>
      </c>
      <c r="N1402" s="332">
        <f t="shared" si="1530"/>
        <v>609000</v>
      </c>
      <c r="O1402" s="332">
        <f t="shared" si="1530"/>
        <v>0</v>
      </c>
      <c r="P1402" s="332">
        <f t="shared" si="1530"/>
        <v>0</v>
      </c>
      <c r="Q1402" s="332">
        <f t="shared" si="1530"/>
        <v>0</v>
      </c>
    </row>
    <row r="1403" spans="1:17" s="4" customFormat="1" hidden="1" x14ac:dyDescent="0.3">
      <c r="A1403" s="198" t="s">
        <v>143</v>
      </c>
      <c r="B1403" s="198" t="s">
        <v>220</v>
      </c>
      <c r="C1403" s="319"/>
      <c r="D1403" s="182"/>
      <c r="E1403" s="182"/>
      <c r="F1403" s="182"/>
      <c r="G1403" s="182"/>
      <c r="H1403" s="182"/>
      <c r="I1403" s="179">
        <f t="shared" si="1530"/>
        <v>383000</v>
      </c>
      <c r="J1403" s="179">
        <f t="shared" si="1530"/>
        <v>383000</v>
      </c>
      <c r="K1403" s="179">
        <f t="shared" si="1530"/>
        <v>0</v>
      </c>
      <c r="L1403" s="179">
        <f t="shared" si="1530"/>
        <v>0</v>
      </c>
      <c r="M1403" s="179">
        <f t="shared" si="1530"/>
        <v>609000</v>
      </c>
      <c r="N1403" s="179">
        <f t="shared" si="1530"/>
        <v>609000</v>
      </c>
      <c r="O1403" s="179">
        <f t="shared" si="1530"/>
        <v>0</v>
      </c>
      <c r="P1403" s="179">
        <f t="shared" si="1530"/>
        <v>0</v>
      </c>
      <c r="Q1403" s="179">
        <f t="shared" si="1530"/>
        <v>0</v>
      </c>
    </row>
    <row r="1404" spans="1:17" s="4" customFormat="1" hidden="1" x14ac:dyDescent="0.3">
      <c r="A1404" s="180" t="s">
        <v>144</v>
      </c>
      <c r="B1404" s="204" t="s">
        <v>5</v>
      </c>
      <c r="C1404" s="319"/>
      <c r="D1404" s="182"/>
      <c r="E1404" s="182"/>
      <c r="F1404" s="182"/>
      <c r="G1404" s="182"/>
      <c r="H1404" s="182"/>
      <c r="I1404" s="182">
        <f>90000+100000+100000+50000+43000</f>
        <v>383000</v>
      </c>
      <c r="J1404" s="220">
        <v>383000</v>
      </c>
      <c r="K1404" s="220"/>
      <c r="L1404" s="220">
        <f>I1404-J1404+K1404</f>
        <v>0</v>
      </c>
      <c r="M1404" s="182">
        <f>90000+100000+100000+50000+43000+226000</f>
        <v>609000</v>
      </c>
      <c r="N1404" s="182">
        <f>90000+100000+100000+50000+43000+226000</f>
        <v>609000</v>
      </c>
      <c r="O1404" s="182"/>
      <c r="P1404" s="182"/>
      <c r="Q1404" s="182"/>
    </row>
    <row r="1405" spans="1:17" s="4" customFormat="1" hidden="1" x14ac:dyDescent="0.3">
      <c r="A1405" s="185" t="s">
        <v>317</v>
      </c>
      <c r="B1405" s="185" t="s">
        <v>318</v>
      </c>
      <c r="C1405" s="336"/>
      <c r="D1405" s="176"/>
      <c r="E1405" s="176"/>
      <c r="F1405" s="176"/>
      <c r="G1405" s="176"/>
      <c r="H1405" s="176"/>
      <c r="I1405" s="176">
        <f>SUM(I1406,I1409,I1415,I1425,I1427)</f>
        <v>46000</v>
      </c>
      <c r="J1405" s="176">
        <f t="shared" ref="J1405:K1405" si="1531">SUM(J1406,J1409,J1415,J1425,J1427)</f>
        <v>46000</v>
      </c>
      <c r="K1405" s="176">
        <f t="shared" si="1531"/>
        <v>0</v>
      </c>
      <c r="L1405" s="176">
        <f t="shared" ref="L1405:Q1405" si="1532">SUM(L1406,L1409,L1415,L1425,L1427)</f>
        <v>0</v>
      </c>
      <c r="M1405" s="176">
        <f t="shared" si="1532"/>
        <v>5306000</v>
      </c>
      <c r="N1405" s="176">
        <f t="shared" si="1532"/>
        <v>5165000</v>
      </c>
      <c r="O1405" s="176">
        <f t="shared" si="1532"/>
        <v>0</v>
      </c>
      <c r="P1405" s="176">
        <f t="shared" si="1532"/>
        <v>0</v>
      </c>
      <c r="Q1405" s="176">
        <f t="shared" si="1532"/>
        <v>0</v>
      </c>
    </row>
    <row r="1406" spans="1:17" s="4" customFormat="1" hidden="1" x14ac:dyDescent="0.3">
      <c r="A1406" s="333" t="s">
        <v>149</v>
      </c>
      <c r="B1406" s="284" t="s">
        <v>12</v>
      </c>
      <c r="C1406" s="316"/>
      <c r="D1406" s="202"/>
      <c r="E1406" s="202"/>
      <c r="F1406" s="202"/>
      <c r="G1406" s="202"/>
      <c r="H1406" s="202"/>
      <c r="I1406" s="202">
        <f>SUM(I1407:I1408)</f>
        <v>46000</v>
      </c>
      <c r="J1406" s="202">
        <f t="shared" ref="J1406:K1406" si="1533">SUM(J1407:J1408)</f>
        <v>46000</v>
      </c>
      <c r="K1406" s="202">
        <f t="shared" si="1533"/>
        <v>0</v>
      </c>
      <c r="L1406" s="202">
        <f>SUM(L1407:L1408)</f>
        <v>0</v>
      </c>
      <c r="M1406" s="202">
        <f t="shared" ref="M1406:N1406" si="1534">SUM(M1407:M1408)</f>
        <v>87000</v>
      </c>
      <c r="N1406" s="202">
        <f t="shared" si="1534"/>
        <v>67000</v>
      </c>
      <c r="O1406" s="202">
        <f t="shared" ref="O1406:P1406" si="1535">SUM(O1407:O1408)</f>
        <v>0</v>
      </c>
      <c r="P1406" s="202">
        <f t="shared" si="1535"/>
        <v>0</v>
      </c>
      <c r="Q1406" s="202">
        <f t="shared" ref="Q1406" si="1536">SUM(Q1407:Q1408)</f>
        <v>0</v>
      </c>
    </row>
    <row r="1407" spans="1:17" s="4" customFormat="1" hidden="1" x14ac:dyDescent="0.3">
      <c r="A1407" s="266">
        <v>3211</v>
      </c>
      <c r="B1407" s="267" t="s">
        <v>13</v>
      </c>
      <c r="C1407" s="316"/>
      <c r="D1407" s="202"/>
      <c r="E1407" s="202"/>
      <c r="F1407" s="202"/>
      <c r="G1407" s="202"/>
      <c r="H1407" s="202"/>
      <c r="I1407" s="191">
        <v>17000</v>
      </c>
      <c r="J1407" s="233">
        <v>17000</v>
      </c>
      <c r="K1407" s="233"/>
      <c r="L1407" s="220">
        <f>I1407-J1407+K1407</f>
        <v>0</v>
      </c>
      <c r="M1407" s="191">
        <f>34000+7000</f>
        <v>41000</v>
      </c>
      <c r="N1407" s="191">
        <f>34000+7000</f>
        <v>41000</v>
      </c>
      <c r="O1407" s="191"/>
      <c r="P1407" s="191"/>
      <c r="Q1407" s="191"/>
    </row>
    <row r="1408" spans="1:17" s="4" customFormat="1" ht="14.55" hidden="1" customHeight="1" x14ac:dyDescent="0.3">
      <c r="A1408" s="266">
        <v>3213</v>
      </c>
      <c r="B1408" s="267" t="s">
        <v>15</v>
      </c>
      <c r="C1408" s="317"/>
      <c r="D1408" s="191"/>
      <c r="E1408" s="191"/>
      <c r="F1408" s="191"/>
      <c r="G1408" s="191"/>
      <c r="H1408" s="191"/>
      <c r="I1408" s="191">
        <f>20000+9000</f>
        <v>29000</v>
      </c>
      <c r="J1408" s="233">
        <v>29000</v>
      </c>
      <c r="K1408" s="233"/>
      <c r="L1408" s="220">
        <f>I1408-J1408+K1408</f>
        <v>0</v>
      </c>
      <c r="M1408" s="191">
        <f>20000+26000</f>
        <v>46000</v>
      </c>
      <c r="N1408" s="191">
        <f>26000</f>
        <v>26000</v>
      </c>
      <c r="O1408" s="191"/>
      <c r="P1408" s="191"/>
      <c r="Q1408" s="191"/>
    </row>
    <row r="1409" spans="1:17" s="4" customFormat="1" hidden="1" x14ac:dyDescent="0.3">
      <c r="A1409" s="337">
        <v>322</v>
      </c>
      <c r="B1409" s="178" t="s">
        <v>16</v>
      </c>
      <c r="C1409" s="317"/>
      <c r="D1409" s="191"/>
      <c r="E1409" s="191"/>
      <c r="F1409" s="191"/>
      <c r="G1409" s="191"/>
      <c r="H1409" s="191"/>
      <c r="I1409" s="202">
        <f>SUM(I1410:I1414)</f>
        <v>0</v>
      </c>
      <c r="J1409" s="202">
        <f t="shared" ref="J1409:K1409" si="1537">SUM(J1410:J1414)</f>
        <v>0</v>
      </c>
      <c r="K1409" s="202">
        <f t="shared" si="1537"/>
        <v>0</v>
      </c>
      <c r="L1409" s="202">
        <f>SUM(L1410:L1414)</f>
        <v>0</v>
      </c>
      <c r="M1409" s="202">
        <f t="shared" ref="M1409:N1409" si="1538">SUM(M1410:M1414)</f>
        <v>64000</v>
      </c>
      <c r="N1409" s="202">
        <f t="shared" si="1538"/>
        <v>64000</v>
      </c>
      <c r="O1409" s="202">
        <f t="shared" ref="O1409:P1409" si="1539">SUM(O1410:O1414)</f>
        <v>0</v>
      </c>
      <c r="P1409" s="202">
        <f t="shared" si="1539"/>
        <v>0</v>
      </c>
      <c r="Q1409" s="202">
        <f t="shared" ref="Q1409" si="1540">SUM(Q1410:Q1414)</f>
        <v>0</v>
      </c>
    </row>
    <row r="1410" spans="1:17" s="4" customFormat="1" hidden="1" x14ac:dyDescent="0.3">
      <c r="A1410" s="180">
        <v>3221</v>
      </c>
      <c r="B1410" s="181" t="s">
        <v>17</v>
      </c>
      <c r="C1410" s="317"/>
      <c r="D1410" s="191"/>
      <c r="E1410" s="191"/>
      <c r="F1410" s="191"/>
      <c r="G1410" s="191"/>
      <c r="H1410" s="191"/>
      <c r="I1410" s="191"/>
      <c r="J1410" s="233"/>
      <c r="K1410" s="233"/>
      <c r="L1410" s="233"/>
      <c r="M1410" s="191">
        <v>21000</v>
      </c>
      <c r="N1410" s="191">
        <v>21000</v>
      </c>
      <c r="O1410" s="191"/>
      <c r="P1410" s="191"/>
      <c r="Q1410" s="191"/>
    </row>
    <row r="1411" spans="1:17" s="4" customFormat="1" hidden="1" x14ac:dyDescent="0.3">
      <c r="A1411" s="180">
        <v>3222</v>
      </c>
      <c r="B1411" s="181" t="s">
        <v>18</v>
      </c>
      <c r="C1411" s="317"/>
      <c r="D1411" s="191"/>
      <c r="E1411" s="191"/>
      <c r="F1411" s="191"/>
      <c r="G1411" s="191"/>
      <c r="H1411" s="191"/>
      <c r="I1411" s="191"/>
      <c r="J1411" s="233"/>
      <c r="K1411" s="233"/>
      <c r="L1411" s="233"/>
      <c r="M1411" s="191">
        <v>2000</v>
      </c>
      <c r="N1411" s="191">
        <v>2000</v>
      </c>
      <c r="O1411" s="191"/>
      <c r="P1411" s="191"/>
      <c r="Q1411" s="191"/>
    </row>
    <row r="1412" spans="1:17" s="4" customFormat="1" hidden="1" x14ac:dyDescent="0.3">
      <c r="A1412" s="266">
        <v>3223</v>
      </c>
      <c r="B1412" s="267" t="s">
        <v>19</v>
      </c>
      <c r="C1412" s="317"/>
      <c r="D1412" s="191"/>
      <c r="E1412" s="191"/>
      <c r="F1412" s="191"/>
      <c r="G1412" s="191"/>
      <c r="H1412" s="191"/>
      <c r="I1412" s="191"/>
      <c r="J1412" s="233"/>
      <c r="K1412" s="233"/>
      <c r="L1412" s="233"/>
      <c r="M1412" s="191">
        <f>10000+1000</f>
        <v>11000</v>
      </c>
      <c r="N1412" s="191">
        <f>1000+10000</f>
        <v>11000</v>
      </c>
      <c r="O1412" s="191"/>
      <c r="P1412" s="191"/>
      <c r="Q1412" s="191"/>
    </row>
    <row r="1413" spans="1:17" s="4" customFormat="1" ht="26.4" hidden="1" x14ac:dyDescent="0.3">
      <c r="A1413" s="266">
        <v>3224</v>
      </c>
      <c r="B1413" s="267" t="s">
        <v>112</v>
      </c>
      <c r="C1413" s="317"/>
      <c r="D1413" s="191"/>
      <c r="E1413" s="191"/>
      <c r="F1413" s="191"/>
      <c r="G1413" s="191"/>
      <c r="H1413" s="191"/>
      <c r="I1413" s="191"/>
      <c r="J1413" s="233"/>
      <c r="K1413" s="233"/>
      <c r="L1413" s="233"/>
      <c r="M1413" s="191">
        <v>13000</v>
      </c>
      <c r="N1413" s="191">
        <v>13000</v>
      </c>
      <c r="O1413" s="191"/>
      <c r="P1413" s="191"/>
      <c r="Q1413" s="191"/>
    </row>
    <row r="1414" spans="1:17" s="4" customFormat="1" hidden="1" x14ac:dyDescent="0.3">
      <c r="A1414" s="266">
        <v>3225</v>
      </c>
      <c r="B1414" s="267" t="s">
        <v>21</v>
      </c>
      <c r="C1414" s="317"/>
      <c r="D1414" s="191"/>
      <c r="E1414" s="191"/>
      <c r="F1414" s="191"/>
      <c r="G1414" s="191"/>
      <c r="H1414" s="191"/>
      <c r="I1414" s="191"/>
      <c r="J1414" s="233"/>
      <c r="K1414" s="233"/>
      <c r="L1414" s="233"/>
      <c r="M1414" s="191">
        <v>17000</v>
      </c>
      <c r="N1414" s="191">
        <v>17000</v>
      </c>
      <c r="O1414" s="191"/>
      <c r="P1414" s="191"/>
      <c r="Q1414" s="191"/>
    </row>
    <row r="1415" spans="1:17" s="4" customFormat="1" hidden="1" x14ac:dyDescent="0.3">
      <c r="A1415" s="338" t="s">
        <v>159</v>
      </c>
      <c r="B1415" s="247" t="s">
        <v>123</v>
      </c>
      <c r="C1415" s="318"/>
      <c r="D1415" s="179"/>
      <c r="E1415" s="179"/>
      <c r="F1415" s="179"/>
      <c r="G1415" s="179"/>
      <c r="H1415" s="179"/>
      <c r="I1415" s="202">
        <f>SUM(I1416:I1424)</f>
        <v>0</v>
      </c>
      <c r="J1415" s="202">
        <f t="shared" ref="J1415:K1415" si="1541">SUM(J1416:J1424)</f>
        <v>0</v>
      </c>
      <c r="K1415" s="202">
        <f t="shared" si="1541"/>
        <v>0</v>
      </c>
      <c r="L1415" s="202">
        <f>SUM(L1416:L1424)</f>
        <v>0</v>
      </c>
      <c r="M1415" s="179">
        <f t="shared" ref="M1415:N1415" si="1542">SUM(M1416:M1424)</f>
        <v>5057000</v>
      </c>
      <c r="N1415" s="179">
        <f t="shared" si="1542"/>
        <v>4936000</v>
      </c>
      <c r="O1415" s="179">
        <f t="shared" ref="O1415:P1415" si="1543">SUM(O1416:O1424)</f>
        <v>0</v>
      </c>
      <c r="P1415" s="179">
        <f t="shared" si="1543"/>
        <v>0</v>
      </c>
      <c r="Q1415" s="179">
        <f t="shared" ref="Q1415" si="1544">SUM(Q1416:Q1424)</f>
        <v>0</v>
      </c>
    </row>
    <row r="1416" spans="1:17" s="4" customFormat="1" hidden="1" x14ac:dyDescent="0.3">
      <c r="A1416" s="249">
        <v>3231</v>
      </c>
      <c r="B1416" s="215" t="s">
        <v>24</v>
      </c>
      <c r="C1416" s="319"/>
      <c r="D1416" s="182"/>
      <c r="E1416" s="182"/>
      <c r="F1416" s="182"/>
      <c r="G1416" s="182"/>
      <c r="H1416" s="182"/>
      <c r="I1416" s="191"/>
      <c r="J1416" s="233"/>
      <c r="K1416" s="233"/>
      <c r="L1416" s="233"/>
      <c r="M1416" s="182">
        <v>9000</v>
      </c>
      <c r="N1416" s="182">
        <v>9000</v>
      </c>
      <c r="O1416" s="182"/>
      <c r="P1416" s="182"/>
      <c r="Q1416" s="182"/>
    </row>
    <row r="1417" spans="1:17" s="4" customFormat="1" hidden="1" x14ac:dyDescent="0.3">
      <c r="A1417" s="249">
        <v>3232</v>
      </c>
      <c r="B1417" s="215" t="s">
        <v>25</v>
      </c>
      <c r="C1417" s="319"/>
      <c r="D1417" s="182"/>
      <c r="E1417" s="182"/>
      <c r="F1417" s="182"/>
      <c r="G1417" s="182"/>
      <c r="H1417" s="182"/>
      <c r="I1417" s="191"/>
      <c r="J1417" s="233"/>
      <c r="K1417" s="233"/>
      <c r="L1417" s="233"/>
      <c r="M1417" s="182">
        <v>9000</v>
      </c>
      <c r="N1417" s="182">
        <v>9000</v>
      </c>
      <c r="O1417" s="182"/>
      <c r="P1417" s="182"/>
      <c r="Q1417" s="182"/>
    </row>
    <row r="1418" spans="1:17" s="4" customFormat="1" hidden="1" x14ac:dyDescent="0.3">
      <c r="A1418" s="249">
        <v>3233</v>
      </c>
      <c r="B1418" s="215" t="s">
        <v>26</v>
      </c>
      <c r="C1418" s="319"/>
      <c r="D1418" s="182"/>
      <c r="E1418" s="182"/>
      <c r="F1418" s="182"/>
      <c r="G1418" s="182"/>
      <c r="H1418" s="182"/>
      <c r="I1418" s="191"/>
      <c r="J1418" s="233"/>
      <c r="K1418" s="233"/>
      <c r="L1418" s="233"/>
      <c r="M1418" s="182">
        <f>44000+21000</f>
        <v>65000</v>
      </c>
      <c r="N1418" s="182">
        <f>13000+44000+21000</f>
        <v>78000</v>
      </c>
      <c r="O1418" s="182"/>
      <c r="P1418" s="182"/>
      <c r="Q1418" s="182"/>
    </row>
    <row r="1419" spans="1:17" s="4" customFormat="1" hidden="1" x14ac:dyDescent="0.3">
      <c r="A1419" s="249">
        <v>3234</v>
      </c>
      <c r="B1419" s="215" t="s">
        <v>27</v>
      </c>
      <c r="C1419" s="319"/>
      <c r="D1419" s="182"/>
      <c r="E1419" s="182"/>
      <c r="F1419" s="182"/>
      <c r="G1419" s="182"/>
      <c r="H1419" s="182"/>
      <c r="I1419" s="191"/>
      <c r="J1419" s="233"/>
      <c r="K1419" s="233"/>
      <c r="L1419" s="233"/>
      <c r="M1419" s="182">
        <v>26000</v>
      </c>
      <c r="N1419" s="182">
        <v>26000</v>
      </c>
      <c r="O1419" s="182"/>
      <c r="P1419" s="182"/>
      <c r="Q1419" s="182"/>
    </row>
    <row r="1420" spans="1:17" s="4" customFormat="1" hidden="1" x14ac:dyDescent="0.3">
      <c r="A1420" s="249">
        <v>3235</v>
      </c>
      <c r="B1420" s="215" t="s">
        <v>28</v>
      </c>
      <c r="C1420" s="319"/>
      <c r="D1420" s="182"/>
      <c r="E1420" s="182"/>
      <c r="F1420" s="182"/>
      <c r="G1420" s="182"/>
      <c r="H1420" s="182"/>
      <c r="I1420" s="191"/>
      <c r="J1420" s="233"/>
      <c r="K1420" s="233"/>
      <c r="L1420" s="233"/>
      <c r="M1420" s="182">
        <f>50000+2000</f>
        <v>52000</v>
      </c>
      <c r="N1420" s="182">
        <f>2000</f>
        <v>2000</v>
      </c>
      <c r="O1420" s="182"/>
      <c r="P1420" s="182"/>
      <c r="Q1420" s="182"/>
    </row>
    <row r="1421" spans="1:17" s="4" customFormat="1" hidden="1" x14ac:dyDescent="0.3">
      <c r="A1421" s="249">
        <v>3236</v>
      </c>
      <c r="B1421" s="215" t="s">
        <v>29</v>
      </c>
      <c r="C1421" s="319"/>
      <c r="D1421" s="182"/>
      <c r="E1421" s="182"/>
      <c r="F1421" s="182"/>
      <c r="G1421" s="182"/>
      <c r="H1421" s="182"/>
      <c r="I1421" s="191"/>
      <c r="J1421" s="233"/>
      <c r="K1421" s="233"/>
      <c r="L1421" s="233"/>
      <c r="M1421" s="182">
        <v>2000</v>
      </c>
      <c r="N1421" s="182">
        <v>2000</v>
      </c>
      <c r="O1421" s="182"/>
      <c r="P1421" s="182"/>
      <c r="Q1421" s="182"/>
    </row>
    <row r="1422" spans="1:17" s="4" customFormat="1" hidden="1" x14ac:dyDescent="0.3">
      <c r="A1422" s="249">
        <v>3237</v>
      </c>
      <c r="B1422" s="215" t="s">
        <v>30</v>
      </c>
      <c r="C1422" s="319"/>
      <c r="D1422" s="182"/>
      <c r="E1422" s="182"/>
      <c r="F1422" s="182"/>
      <c r="G1422" s="182"/>
      <c r="H1422" s="182"/>
      <c r="I1422" s="191"/>
      <c r="J1422" s="233"/>
      <c r="K1422" s="233"/>
      <c r="L1422" s="233"/>
      <c r="M1422" s="182">
        <f>50000+50000+400000+43000+170000</f>
        <v>713000</v>
      </c>
      <c r="N1422" s="182">
        <f>50000+50000+400000+43000+170000</f>
        <v>713000</v>
      </c>
      <c r="O1422" s="182"/>
      <c r="P1422" s="182"/>
      <c r="Q1422" s="182"/>
    </row>
    <row r="1423" spans="1:17" s="4" customFormat="1" hidden="1" x14ac:dyDescent="0.3">
      <c r="A1423" s="249">
        <v>3238</v>
      </c>
      <c r="B1423" s="215" t="s">
        <v>70</v>
      </c>
      <c r="C1423" s="319"/>
      <c r="D1423" s="182"/>
      <c r="E1423" s="182"/>
      <c r="F1423" s="182"/>
      <c r="G1423" s="182"/>
      <c r="H1423" s="182"/>
      <c r="I1423" s="191"/>
      <c r="J1423" s="233"/>
      <c r="K1423" s="233"/>
      <c r="L1423" s="233"/>
      <c r="M1423" s="182">
        <v>340000</v>
      </c>
      <c r="N1423" s="182">
        <v>340000</v>
      </c>
      <c r="O1423" s="182"/>
      <c r="P1423" s="182"/>
      <c r="Q1423" s="182"/>
    </row>
    <row r="1424" spans="1:17" s="4" customFormat="1" hidden="1" x14ac:dyDescent="0.3">
      <c r="A1424" s="249">
        <v>3239</v>
      </c>
      <c r="B1424" s="215" t="s">
        <v>31</v>
      </c>
      <c r="C1424" s="319"/>
      <c r="D1424" s="182"/>
      <c r="E1424" s="182"/>
      <c r="F1424" s="182"/>
      <c r="G1424" s="182"/>
      <c r="H1424" s="182"/>
      <c r="I1424" s="191"/>
      <c r="J1424" s="233"/>
      <c r="K1424" s="233"/>
      <c r="L1424" s="233"/>
      <c r="M1424" s="182">
        <f>3000000+300000+300000+200000+34000+7000</f>
        <v>3841000</v>
      </c>
      <c r="N1424" s="182">
        <f>3000000+100000+300000+300000+34000+16000+7000</f>
        <v>3757000</v>
      </c>
      <c r="O1424" s="182"/>
      <c r="P1424" s="182"/>
      <c r="Q1424" s="182"/>
    </row>
    <row r="1425" spans="1:17" s="4" customFormat="1" ht="26.4" hidden="1" x14ac:dyDescent="0.3">
      <c r="A1425" s="333">
        <v>324</v>
      </c>
      <c r="B1425" s="284" t="s">
        <v>32</v>
      </c>
      <c r="C1425" s="319"/>
      <c r="D1425" s="182"/>
      <c r="E1425" s="182"/>
      <c r="F1425" s="182"/>
      <c r="G1425" s="182"/>
      <c r="H1425" s="182"/>
      <c r="I1425" s="202">
        <f>SUM(I1426)</f>
        <v>0</v>
      </c>
      <c r="J1425" s="202">
        <f t="shared" ref="J1425:K1425" si="1545">SUM(J1426)</f>
        <v>0</v>
      </c>
      <c r="K1425" s="202">
        <f t="shared" si="1545"/>
        <v>0</v>
      </c>
      <c r="L1425" s="202">
        <f>SUM(L1426)</f>
        <v>0</v>
      </c>
      <c r="M1425" s="179">
        <f t="shared" ref="M1425:Q1425" si="1546">SUM(M1426)</f>
        <v>21000</v>
      </c>
      <c r="N1425" s="179">
        <f t="shared" si="1546"/>
        <v>21000</v>
      </c>
      <c r="O1425" s="179">
        <f t="shared" si="1546"/>
        <v>0</v>
      </c>
      <c r="P1425" s="179">
        <f t="shared" si="1546"/>
        <v>0</v>
      </c>
      <c r="Q1425" s="179">
        <f t="shared" si="1546"/>
        <v>0</v>
      </c>
    </row>
    <row r="1426" spans="1:17" s="4" customFormat="1" ht="26.4" hidden="1" x14ac:dyDescent="0.3">
      <c r="A1426" s="266">
        <v>3241</v>
      </c>
      <c r="B1426" s="267" t="s">
        <v>32</v>
      </c>
      <c r="C1426" s="319"/>
      <c r="D1426" s="182"/>
      <c r="E1426" s="182"/>
      <c r="F1426" s="182"/>
      <c r="G1426" s="182"/>
      <c r="H1426" s="182"/>
      <c r="I1426" s="191"/>
      <c r="J1426" s="233"/>
      <c r="K1426" s="233"/>
      <c r="L1426" s="233"/>
      <c r="M1426" s="182">
        <v>21000</v>
      </c>
      <c r="N1426" s="182">
        <v>21000</v>
      </c>
      <c r="O1426" s="182"/>
      <c r="P1426" s="182"/>
      <c r="Q1426" s="182"/>
    </row>
    <row r="1427" spans="1:17" s="4" customFormat="1" hidden="1" x14ac:dyDescent="0.3">
      <c r="A1427" s="337" t="s">
        <v>170</v>
      </c>
      <c r="B1427" s="198" t="s">
        <v>33</v>
      </c>
      <c r="C1427" s="318"/>
      <c r="D1427" s="179"/>
      <c r="E1427" s="179"/>
      <c r="F1427" s="179"/>
      <c r="G1427" s="179"/>
      <c r="H1427" s="179"/>
      <c r="I1427" s="202">
        <f>SUM(I1428:I1430)</f>
        <v>0</v>
      </c>
      <c r="J1427" s="202">
        <f t="shared" ref="J1427:K1427" si="1547">SUM(J1428:J1430)</f>
        <v>0</v>
      </c>
      <c r="K1427" s="202">
        <f t="shared" si="1547"/>
        <v>0</v>
      </c>
      <c r="L1427" s="202">
        <f>SUM(L1428:L1430)</f>
        <v>0</v>
      </c>
      <c r="M1427" s="179">
        <f t="shared" ref="M1427:N1427" si="1548">SUM(M1428:M1430)</f>
        <v>77000</v>
      </c>
      <c r="N1427" s="179">
        <f t="shared" si="1548"/>
        <v>77000</v>
      </c>
      <c r="O1427" s="179">
        <f t="shared" ref="O1427:P1427" si="1549">SUM(O1428:O1430)</f>
        <v>0</v>
      </c>
      <c r="P1427" s="179">
        <f t="shared" si="1549"/>
        <v>0</v>
      </c>
      <c r="Q1427" s="179">
        <f t="shared" ref="Q1427" si="1550">SUM(Q1428:Q1430)</f>
        <v>0</v>
      </c>
    </row>
    <row r="1428" spans="1:17" s="4" customFormat="1" hidden="1" x14ac:dyDescent="0.3">
      <c r="A1428" s="180">
        <v>3292</v>
      </c>
      <c r="B1428" s="204" t="s">
        <v>35</v>
      </c>
      <c r="C1428" s="318"/>
      <c r="D1428" s="179"/>
      <c r="E1428" s="179"/>
      <c r="F1428" s="179"/>
      <c r="G1428" s="179"/>
      <c r="H1428" s="179"/>
      <c r="I1428" s="191"/>
      <c r="J1428" s="233"/>
      <c r="K1428" s="233"/>
      <c r="L1428" s="233"/>
      <c r="M1428" s="182">
        <f>22000+26000</f>
        <v>48000</v>
      </c>
      <c r="N1428" s="182">
        <f>22000+26000</f>
        <v>48000</v>
      </c>
      <c r="O1428" s="182"/>
      <c r="P1428" s="182"/>
      <c r="Q1428" s="182"/>
    </row>
    <row r="1429" spans="1:17" s="4" customFormat="1" hidden="1" x14ac:dyDescent="0.3">
      <c r="A1429" s="189" t="s">
        <v>172</v>
      </c>
      <c r="B1429" s="190" t="s">
        <v>36</v>
      </c>
      <c r="C1429" s="319"/>
      <c r="D1429" s="182"/>
      <c r="E1429" s="182"/>
      <c r="F1429" s="182"/>
      <c r="G1429" s="182"/>
      <c r="H1429" s="182"/>
      <c r="I1429" s="191"/>
      <c r="J1429" s="233"/>
      <c r="K1429" s="233"/>
      <c r="L1429" s="233"/>
      <c r="M1429" s="182">
        <v>13000</v>
      </c>
      <c r="N1429" s="182">
        <v>13000</v>
      </c>
      <c r="O1429" s="182"/>
      <c r="P1429" s="182"/>
      <c r="Q1429" s="182"/>
    </row>
    <row r="1430" spans="1:17" s="4" customFormat="1" hidden="1" x14ac:dyDescent="0.3">
      <c r="A1430" s="189">
        <v>3299</v>
      </c>
      <c r="B1430" s="190" t="s">
        <v>33</v>
      </c>
      <c r="C1430" s="319"/>
      <c r="D1430" s="182"/>
      <c r="E1430" s="182"/>
      <c r="F1430" s="182"/>
      <c r="G1430" s="182"/>
      <c r="H1430" s="182"/>
      <c r="I1430" s="191"/>
      <c r="J1430" s="233"/>
      <c r="K1430" s="233"/>
      <c r="L1430" s="233"/>
      <c r="M1430" s="182">
        <v>16000</v>
      </c>
      <c r="N1430" s="182">
        <v>16000</v>
      </c>
      <c r="O1430" s="182"/>
      <c r="P1430" s="182"/>
      <c r="Q1430" s="182"/>
    </row>
    <row r="1431" spans="1:17" s="4" customFormat="1" hidden="1" x14ac:dyDescent="0.3">
      <c r="A1431" s="339" t="s">
        <v>319</v>
      </c>
      <c r="B1431" s="340" t="s">
        <v>320</v>
      </c>
      <c r="C1431" s="331"/>
      <c r="D1431" s="332"/>
      <c r="E1431" s="332"/>
      <c r="F1431" s="332"/>
      <c r="G1431" s="332"/>
      <c r="H1431" s="332"/>
      <c r="I1431" s="176">
        <f>SUM(I1432)</f>
        <v>0</v>
      </c>
      <c r="J1431" s="176">
        <f t="shared" ref="J1431:K1432" si="1551">SUM(J1432)</f>
        <v>0</v>
      </c>
      <c r="K1431" s="176">
        <f t="shared" si="1551"/>
        <v>0</v>
      </c>
      <c r="L1431" s="176">
        <f>SUM(L1432)</f>
        <v>0</v>
      </c>
      <c r="M1431" s="176">
        <f t="shared" ref="M1431:Q1432" si="1552">SUM(M1432)</f>
        <v>21000</v>
      </c>
      <c r="N1431" s="176">
        <f t="shared" si="1552"/>
        <v>21000</v>
      </c>
      <c r="O1431" s="176">
        <f t="shared" si="1552"/>
        <v>0</v>
      </c>
      <c r="P1431" s="176">
        <f t="shared" si="1552"/>
        <v>0</v>
      </c>
      <c r="Q1431" s="176">
        <f t="shared" si="1552"/>
        <v>0</v>
      </c>
    </row>
    <row r="1432" spans="1:17" s="4" customFormat="1" hidden="1" x14ac:dyDescent="0.3">
      <c r="A1432" s="341">
        <v>343</v>
      </c>
      <c r="B1432" s="342" t="s">
        <v>40</v>
      </c>
      <c r="C1432" s="319"/>
      <c r="D1432" s="182"/>
      <c r="E1432" s="182"/>
      <c r="F1432" s="182"/>
      <c r="G1432" s="182"/>
      <c r="H1432" s="182"/>
      <c r="I1432" s="202">
        <f>SUM(I1433)</f>
        <v>0</v>
      </c>
      <c r="J1432" s="202">
        <f t="shared" si="1551"/>
        <v>0</v>
      </c>
      <c r="K1432" s="202">
        <f t="shared" si="1551"/>
        <v>0</v>
      </c>
      <c r="L1432" s="202">
        <f>SUM(L1433)</f>
        <v>0</v>
      </c>
      <c r="M1432" s="179">
        <f t="shared" si="1552"/>
        <v>21000</v>
      </c>
      <c r="N1432" s="179">
        <f t="shared" si="1552"/>
        <v>21000</v>
      </c>
      <c r="O1432" s="179">
        <f t="shared" si="1552"/>
        <v>0</v>
      </c>
      <c r="P1432" s="179">
        <f t="shared" si="1552"/>
        <v>0</v>
      </c>
      <c r="Q1432" s="179">
        <f t="shared" si="1552"/>
        <v>0</v>
      </c>
    </row>
    <row r="1433" spans="1:17" s="4" customFormat="1" hidden="1" x14ac:dyDescent="0.3">
      <c r="A1433" s="343">
        <v>3434</v>
      </c>
      <c r="B1433" s="344" t="s">
        <v>43</v>
      </c>
      <c r="C1433" s="319"/>
      <c r="D1433" s="182"/>
      <c r="E1433" s="182"/>
      <c r="F1433" s="182"/>
      <c r="G1433" s="182"/>
      <c r="H1433" s="182"/>
      <c r="I1433" s="191"/>
      <c r="J1433" s="233"/>
      <c r="K1433" s="233"/>
      <c r="L1433" s="233"/>
      <c r="M1433" s="182">
        <v>21000</v>
      </c>
      <c r="N1433" s="182">
        <v>21000</v>
      </c>
      <c r="O1433" s="182"/>
      <c r="P1433" s="182"/>
      <c r="Q1433" s="182"/>
    </row>
    <row r="1434" spans="1:17" s="4" customFormat="1" ht="26.4" hidden="1" x14ac:dyDescent="0.3">
      <c r="A1434" s="174">
        <v>41</v>
      </c>
      <c r="B1434" s="186" t="s">
        <v>328</v>
      </c>
      <c r="C1434" s="331"/>
      <c r="D1434" s="332"/>
      <c r="E1434" s="332"/>
      <c r="F1434" s="332"/>
      <c r="G1434" s="332"/>
      <c r="H1434" s="332"/>
      <c r="I1434" s="176">
        <f>SUM(I1435)</f>
        <v>0</v>
      </c>
      <c r="J1434" s="176">
        <f t="shared" ref="J1434:K1435" si="1553">SUM(J1435)</f>
        <v>0</v>
      </c>
      <c r="K1434" s="176">
        <f t="shared" si="1553"/>
        <v>0</v>
      </c>
      <c r="L1434" s="176">
        <f>SUM(L1435)</f>
        <v>0</v>
      </c>
      <c r="M1434" s="176">
        <f t="shared" ref="M1434:Q1434" si="1554">SUM(M1435)</f>
        <v>76000</v>
      </c>
      <c r="N1434" s="176">
        <f t="shared" si="1554"/>
        <v>26000</v>
      </c>
      <c r="O1434" s="176">
        <f t="shared" si="1554"/>
        <v>0</v>
      </c>
      <c r="P1434" s="176">
        <f t="shared" si="1554"/>
        <v>0</v>
      </c>
      <c r="Q1434" s="176">
        <f t="shared" si="1554"/>
        <v>0</v>
      </c>
    </row>
    <row r="1435" spans="1:17" s="4" customFormat="1" hidden="1" x14ac:dyDescent="0.3">
      <c r="A1435" s="283">
        <v>412</v>
      </c>
      <c r="B1435" s="284" t="s">
        <v>67</v>
      </c>
      <c r="C1435" s="319"/>
      <c r="D1435" s="182"/>
      <c r="E1435" s="182"/>
      <c r="F1435" s="182"/>
      <c r="G1435" s="182"/>
      <c r="H1435" s="182"/>
      <c r="I1435" s="202">
        <f>SUM(I1436)</f>
        <v>0</v>
      </c>
      <c r="J1435" s="202">
        <f t="shared" si="1553"/>
        <v>0</v>
      </c>
      <c r="K1435" s="202">
        <f t="shared" si="1553"/>
        <v>0</v>
      </c>
      <c r="L1435" s="202">
        <f>SUM(L1436)</f>
        <v>0</v>
      </c>
      <c r="M1435" s="179">
        <f t="shared" ref="M1435:Q1435" si="1555">SUM(M1436)</f>
        <v>76000</v>
      </c>
      <c r="N1435" s="179">
        <f t="shared" si="1555"/>
        <v>26000</v>
      </c>
      <c r="O1435" s="179">
        <f t="shared" si="1555"/>
        <v>0</v>
      </c>
      <c r="P1435" s="179">
        <f t="shared" si="1555"/>
        <v>0</v>
      </c>
      <c r="Q1435" s="179">
        <f t="shared" si="1555"/>
        <v>0</v>
      </c>
    </row>
    <row r="1436" spans="1:17" s="4" customFormat="1" hidden="1" x14ac:dyDescent="0.3">
      <c r="A1436" s="266">
        <v>4123</v>
      </c>
      <c r="B1436" s="267" t="s">
        <v>68</v>
      </c>
      <c r="C1436" s="319"/>
      <c r="D1436" s="182"/>
      <c r="E1436" s="182"/>
      <c r="F1436" s="182"/>
      <c r="G1436" s="182"/>
      <c r="H1436" s="182"/>
      <c r="I1436" s="191"/>
      <c r="J1436" s="233"/>
      <c r="K1436" s="233"/>
      <c r="L1436" s="233"/>
      <c r="M1436" s="182">
        <f>50000+26000</f>
        <v>76000</v>
      </c>
      <c r="N1436" s="182">
        <f>26000</f>
        <v>26000</v>
      </c>
      <c r="O1436" s="182"/>
      <c r="P1436" s="182"/>
      <c r="Q1436" s="182"/>
    </row>
    <row r="1437" spans="1:17" s="4" customFormat="1" x14ac:dyDescent="0.3">
      <c r="A1437" s="174" t="s">
        <v>323</v>
      </c>
      <c r="B1437" s="186" t="s">
        <v>324</v>
      </c>
      <c r="C1437" s="331"/>
      <c r="D1437" s="332"/>
      <c r="E1437" s="332"/>
      <c r="F1437" s="332"/>
      <c r="G1437" s="332"/>
      <c r="H1437" s="332"/>
      <c r="I1437" s="176">
        <f t="shared" ref="I1437:Q1437" si="1556">SUM(I1438,I1444,I1446)</f>
        <v>2250000</v>
      </c>
      <c r="J1437" s="176">
        <f t="shared" si="1556"/>
        <v>2250000</v>
      </c>
      <c r="K1437" s="176">
        <f t="shared" si="1556"/>
        <v>0</v>
      </c>
      <c r="L1437" s="176">
        <f t="shared" si="1556"/>
        <v>0</v>
      </c>
      <c r="M1437" s="176">
        <f t="shared" si="1556"/>
        <v>5286000</v>
      </c>
      <c r="N1437" s="176">
        <f t="shared" si="1556"/>
        <v>16607000</v>
      </c>
      <c r="O1437" s="176">
        <f t="shared" si="1556"/>
        <v>19459900</v>
      </c>
      <c r="P1437" s="176">
        <f t="shared" si="1556"/>
        <v>0</v>
      </c>
      <c r="Q1437" s="176">
        <f t="shared" si="1556"/>
        <v>0</v>
      </c>
    </row>
    <row r="1438" spans="1:17" s="4" customFormat="1" hidden="1" x14ac:dyDescent="0.3">
      <c r="A1438" s="337" t="s">
        <v>177</v>
      </c>
      <c r="B1438" s="198" t="s">
        <v>129</v>
      </c>
      <c r="C1438" s="318"/>
      <c r="D1438" s="179"/>
      <c r="E1438" s="179"/>
      <c r="F1438" s="179"/>
      <c r="G1438" s="179"/>
      <c r="H1438" s="179"/>
      <c r="I1438" s="179">
        <f>SUM(I1439:I1443)</f>
        <v>0</v>
      </c>
      <c r="J1438" s="179">
        <f t="shared" ref="J1438:K1438" si="1557">SUM(J1439:J1443)</f>
        <v>0</v>
      </c>
      <c r="K1438" s="179">
        <f t="shared" si="1557"/>
        <v>0</v>
      </c>
      <c r="L1438" s="179">
        <f>SUM(L1439:L1443)</f>
        <v>0</v>
      </c>
      <c r="M1438" s="179">
        <f t="shared" ref="M1438:N1438" si="1558">SUM(M1439:M1443)</f>
        <v>4640000</v>
      </c>
      <c r="N1438" s="179">
        <f t="shared" si="1558"/>
        <v>2794000</v>
      </c>
      <c r="O1438" s="179">
        <f t="shared" ref="O1438:P1438" si="1559">SUM(O1439:O1443)</f>
        <v>0</v>
      </c>
      <c r="P1438" s="179">
        <f t="shared" si="1559"/>
        <v>0</v>
      </c>
      <c r="Q1438" s="179">
        <f t="shared" ref="Q1438" si="1560">SUM(Q1439:Q1443)</f>
        <v>0</v>
      </c>
    </row>
    <row r="1439" spans="1:17" s="4" customFormat="1" hidden="1" x14ac:dyDescent="0.3">
      <c r="A1439" s="180">
        <v>4221</v>
      </c>
      <c r="B1439" s="204" t="s">
        <v>54</v>
      </c>
      <c r="C1439" s="318"/>
      <c r="D1439" s="179"/>
      <c r="E1439" s="179"/>
      <c r="F1439" s="179"/>
      <c r="G1439" s="179"/>
      <c r="H1439" s="179"/>
      <c r="I1439" s="182"/>
      <c r="J1439" s="220"/>
      <c r="K1439" s="220"/>
      <c r="L1439" s="220"/>
      <c r="M1439" s="182">
        <f>175000+340000</f>
        <v>515000</v>
      </c>
      <c r="N1439" s="182">
        <f>340000</f>
        <v>340000</v>
      </c>
      <c r="O1439" s="182"/>
      <c r="P1439" s="182"/>
      <c r="Q1439" s="182"/>
    </row>
    <row r="1440" spans="1:17" s="4" customFormat="1" hidden="1" x14ac:dyDescent="0.3">
      <c r="A1440" s="180">
        <v>4222</v>
      </c>
      <c r="B1440" s="204" t="s">
        <v>58</v>
      </c>
      <c r="C1440" s="318"/>
      <c r="D1440" s="179"/>
      <c r="E1440" s="179"/>
      <c r="F1440" s="179"/>
      <c r="G1440" s="179"/>
      <c r="H1440" s="179"/>
      <c r="I1440" s="182"/>
      <c r="J1440" s="220"/>
      <c r="K1440" s="220"/>
      <c r="L1440" s="220"/>
      <c r="M1440" s="182">
        <v>128000</v>
      </c>
      <c r="N1440" s="182">
        <v>128000</v>
      </c>
      <c r="O1440" s="182"/>
      <c r="P1440" s="182"/>
      <c r="Q1440" s="182"/>
    </row>
    <row r="1441" spans="1:20" s="4" customFormat="1" hidden="1" x14ac:dyDescent="0.3">
      <c r="A1441" s="180">
        <v>4223</v>
      </c>
      <c r="B1441" s="204" t="s">
        <v>59</v>
      </c>
      <c r="C1441" s="319"/>
      <c r="D1441" s="182"/>
      <c r="E1441" s="182"/>
      <c r="F1441" s="182"/>
      <c r="G1441" s="182"/>
      <c r="H1441" s="182"/>
      <c r="I1441" s="182"/>
      <c r="J1441" s="220"/>
      <c r="K1441" s="220"/>
      <c r="L1441" s="220"/>
      <c r="M1441" s="182">
        <f>142000+26000</f>
        <v>168000</v>
      </c>
      <c r="N1441" s="182">
        <f>26000</f>
        <v>26000</v>
      </c>
      <c r="O1441" s="182"/>
      <c r="P1441" s="182"/>
      <c r="Q1441" s="182"/>
    </row>
    <row r="1442" spans="1:20" s="4" customFormat="1" hidden="1" x14ac:dyDescent="0.3">
      <c r="A1442" s="180">
        <v>4225</v>
      </c>
      <c r="B1442" s="204" t="s">
        <v>105</v>
      </c>
      <c r="C1442" s="319"/>
      <c r="D1442" s="182"/>
      <c r="E1442" s="182"/>
      <c r="F1442" s="182"/>
      <c r="G1442" s="182"/>
      <c r="H1442" s="182"/>
      <c r="I1442" s="182"/>
      <c r="J1442" s="220"/>
      <c r="K1442" s="220"/>
      <c r="L1442" s="220"/>
      <c r="M1442" s="182"/>
      <c r="N1442" s="182"/>
      <c r="O1442" s="182"/>
      <c r="P1442" s="182"/>
      <c r="Q1442" s="182"/>
    </row>
    <row r="1443" spans="1:20" s="4" customFormat="1" hidden="1" x14ac:dyDescent="0.3">
      <c r="A1443" s="180" t="s">
        <v>180</v>
      </c>
      <c r="B1443" s="204" t="s">
        <v>60</v>
      </c>
      <c r="C1443" s="319"/>
      <c r="D1443" s="182"/>
      <c r="E1443" s="182"/>
      <c r="F1443" s="182"/>
      <c r="G1443" s="182"/>
      <c r="H1443" s="182"/>
      <c r="I1443" s="182"/>
      <c r="J1443" s="220"/>
      <c r="K1443" s="220"/>
      <c r="L1443" s="220"/>
      <c r="M1443" s="182">
        <f>1529000+43000+2257000</f>
        <v>3829000</v>
      </c>
      <c r="N1443" s="182">
        <f>43000+2257000</f>
        <v>2300000</v>
      </c>
      <c r="O1443" s="182"/>
      <c r="P1443" s="182"/>
      <c r="Q1443" s="182"/>
    </row>
    <row r="1444" spans="1:20" s="4" customFormat="1" x14ac:dyDescent="0.3">
      <c r="A1444" s="337" t="s">
        <v>181</v>
      </c>
      <c r="B1444" s="198" t="s">
        <v>61</v>
      </c>
      <c r="C1444" s="318"/>
      <c r="D1444" s="179"/>
      <c r="E1444" s="179"/>
      <c r="F1444" s="179"/>
      <c r="G1444" s="179"/>
      <c r="H1444" s="179"/>
      <c r="I1444" s="179">
        <f t="shared" ref="I1444:Q1444" si="1561">SUM(I1445)</f>
        <v>2250000</v>
      </c>
      <c r="J1444" s="179">
        <f t="shared" si="1561"/>
        <v>2250000</v>
      </c>
      <c r="K1444" s="179">
        <f t="shared" si="1561"/>
        <v>0</v>
      </c>
      <c r="L1444" s="179">
        <f t="shared" si="1561"/>
        <v>0</v>
      </c>
      <c r="M1444" s="179">
        <f t="shared" si="1561"/>
        <v>561000</v>
      </c>
      <c r="N1444" s="179">
        <f t="shared" si="1561"/>
        <v>13728000</v>
      </c>
      <c r="O1444" s="179">
        <f t="shared" si="1561"/>
        <v>19459900</v>
      </c>
      <c r="P1444" s="179">
        <f t="shared" si="1561"/>
        <v>0</v>
      </c>
      <c r="Q1444" s="179">
        <f t="shared" si="1561"/>
        <v>0</v>
      </c>
    </row>
    <row r="1445" spans="1:20" s="4" customFormat="1" ht="17.25" customHeight="1" x14ac:dyDescent="0.3">
      <c r="A1445" s="664">
        <v>4234</v>
      </c>
      <c r="B1445" s="665" t="s">
        <v>279</v>
      </c>
      <c r="C1445" s="666"/>
      <c r="D1445" s="667"/>
      <c r="E1445" s="667"/>
      <c r="F1445" s="667"/>
      <c r="G1445" s="667"/>
      <c r="H1445" s="667"/>
      <c r="I1445" s="667">
        <v>2250000</v>
      </c>
      <c r="J1445" s="668">
        <v>2250000</v>
      </c>
      <c r="K1445" s="668"/>
      <c r="L1445" s="668">
        <f>I1445-J1445+K1445</f>
        <v>0</v>
      </c>
      <c r="M1445" s="667">
        <f>433000+128000</f>
        <v>561000</v>
      </c>
      <c r="N1445" s="667">
        <f>13600000+128000</f>
        <v>13728000</v>
      </c>
      <c r="O1445" s="667">
        <f>23447000-3987100</f>
        <v>19459900</v>
      </c>
      <c r="P1445" s="182"/>
      <c r="Q1445" s="182"/>
      <c r="R1445" s="457"/>
      <c r="S1445" s="457"/>
      <c r="T1445" s="457"/>
    </row>
    <row r="1446" spans="1:20" s="4" customFormat="1" ht="20.25" hidden="1" customHeight="1" x14ac:dyDescent="0.3">
      <c r="A1446" s="333">
        <v>426</v>
      </c>
      <c r="B1446" s="284" t="s">
        <v>73</v>
      </c>
      <c r="C1446" s="319"/>
      <c r="D1446" s="182"/>
      <c r="E1446" s="182"/>
      <c r="F1446" s="182"/>
      <c r="G1446" s="182"/>
      <c r="H1446" s="182"/>
      <c r="I1446" s="179">
        <f>SUM(I1447)</f>
        <v>0</v>
      </c>
      <c r="J1446" s="179">
        <f t="shared" ref="J1446:K1446" si="1562">SUM(J1447)</f>
        <v>0</v>
      </c>
      <c r="K1446" s="179">
        <f t="shared" si="1562"/>
        <v>0</v>
      </c>
      <c r="L1446" s="179">
        <f>SUM(L1447)</f>
        <v>0</v>
      </c>
      <c r="M1446" s="179">
        <f t="shared" ref="M1446:Q1446" si="1563">SUM(M1447)</f>
        <v>85000</v>
      </c>
      <c r="N1446" s="179">
        <f t="shared" si="1563"/>
        <v>85000</v>
      </c>
      <c r="O1446" s="179">
        <f t="shared" si="1563"/>
        <v>0</v>
      </c>
      <c r="P1446" s="179">
        <f t="shared" si="1563"/>
        <v>0</v>
      </c>
      <c r="Q1446" s="179">
        <f t="shared" si="1563"/>
        <v>0</v>
      </c>
    </row>
    <row r="1447" spans="1:20" s="4" customFormat="1" ht="44.1" hidden="1" customHeight="1" x14ac:dyDescent="0.3">
      <c r="A1447" s="266">
        <v>4262</v>
      </c>
      <c r="B1447" s="267" t="s">
        <v>88</v>
      </c>
      <c r="C1447" s="319"/>
      <c r="D1447" s="182"/>
      <c r="E1447" s="182"/>
      <c r="F1447" s="182"/>
      <c r="G1447" s="182"/>
      <c r="H1447" s="182"/>
      <c r="I1447" s="182"/>
      <c r="J1447" s="220"/>
      <c r="K1447" s="220"/>
      <c r="L1447" s="220"/>
      <c r="M1447" s="182">
        <v>85000</v>
      </c>
      <c r="N1447" s="182">
        <v>85000</v>
      </c>
      <c r="O1447" s="182"/>
      <c r="P1447" s="182"/>
      <c r="Q1447" s="182"/>
    </row>
    <row r="1448" spans="1:20" s="4" customFormat="1" ht="26.4" hidden="1" x14ac:dyDescent="0.3">
      <c r="A1448" s="281">
        <v>45</v>
      </c>
      <c r="B1448" s="210" t="s">
        <v>326</v>
      </c>
      <c r="C1448" s="331"/>
      <c r="D1448" s="332"/>
      <c r="E1448" s="332"/>
      <c r="F1448" s="332"/>
      <c r="G1448" s="332"/>
      <c r="H1448" s="332"/>
      <c r="I1448" s="176">
        <f>SUM(I1449,I1451)</f>
        <v>0</v>
      </c>
      <c r="J1448" s="176">
        <f t="shared" ref="J1448:K1448" si="1564">SUM(J1449,J1451)</f>
        <v>0</v>
      </c>
      <c r="K1448" s="176">
        <f t="shared" si="1564"/>
        <v>0</v>
      </c>
      <c r="L1448" s="176">
        <f>SUM(L1449,L1451)</f>
        <v>0</v>
      </c>
      <c r="M1448" s="176">
        <f t="shared" ref="M1448:N1448" si="1565">SUM(M1449,M1451)</f>
        <v>921000</v>
      </c>
      <c r="N1448" s="176">
        <f t="shared" si="1565"/>
        <v>959000</v>
      </c>
      <c r="O1448" s="176">
        <f t="shared" ref="O1448:P1448" si="1566">SUM(O1449,O1451)</f>
        <v>0</v>
      </c>
      <c r="P1448" s="176">
        <f t="shared" si="1566"/>
        <v>0</v>
      </c>
      <c r="Q1448" s="176">
        <f t="shared" ref="Q1448" si="1567">SUM(Q1449,Q1451)</f>
        <v>0</v>
      </c>
    </row>
    <row r="1449" spans="1:20" s="4" customFormat="1" ht="26.4" hidden="1" x14ac:dyDescent="0.3">
      <c r="A1449" s="333">
        <v>451</v>
      </c>
      <c r="B1449" s="284" t="s">
        <v>55</v>
      </c>
      <c r="C1449" s="319"/>
      <c r="D1449" s="182"/>
      <c r="E1449" s="182"/>
      <c r="F1449" s="182"/>
      <c r="G1449" s="182"/>
      <c r="H1449" s="182"/>
      <c r="I1449" s="179">
        <f>SUM(I1450)</f>
        <v>0</v>
      </c>
      <c r="J1449" s="179">
        <f t="shared" ref="J1449:K1449" si="1568">SUM(J1450)</f>
        <v>0</v>
      </c>
      <c r="K1449" s="179">
        <f t="shared" si="1568"/>
        <v>0</v>
      </c>
      <c r="L1449" s="179">
        <f>SUM(L1450)</f>
        <v>0</v>
      </c>
      <c r="M1449" s="179">
        <f t="shared" ref="M1449:Q1449" si="1569">SUM(M1450)</f>
        <v>887000</v>
      </c>
      <c r="N1449" s="179">
        <f t="shared" si="1569"/>
        <v>925000</v>
      </c>
      <c r="O1449" s="179">
        <f t="shared" si="1569"/>
        <v>0</v>
      </c>
      <c r="P1449" s="179">
        <f t="shared" si="1569"/>
        <v>0</v>
      </c>
      <c r="Q1449" s="179">
        <f t="shared" si="1569"/>
        <v>0</v>
      </c>
    </row>
    <row r="1450" spans="1:20" s="4" customFormat="1" hidden="1" x14ac:dyDescent="0.3">
      <c r="A1450" s="266">
        <v>4511</v>
      </c>
      <c r="B1450" s="267" t="s">
        <v>55</v>
      </c>
      <c r="C1450" s="319"/>
      <c r="D1450" s="182"/>
      <c r="E1450" s="182"/>
      <c r="F1450" s="182"/>
      <c r="G1450" s="182"/>
      <c r="H1450" s="182"/>
      <c r="I1450" s="182"/>
      <c r="J1450" s="220"/>
      <c r="K1450" s="220"/>
      <c r="L1450" s="220"/>
      <c r="M1450" s="182">
        <f>37000+850000</f>
        <v>887000</v>
      </c>
      <c r="N1450" s="182">
        <f>75000+850000</f>
        <v>925000</v>
      </c>
      <c r="O1450" s="182"/>
      <c r="P1450" s="182"/>
      <c r="Q1450" s="182"/>
    </row>
    <row r="1451" spans="1:20" s="4" customFormat="1" ht="26.4" hidden="1" x14ac:dyDescent="0.3">
      <c r="A1451" s="333">
        <v>453</v>
      </c>
      <c r="B1451" s="284" t="s">
        <v>287</v>
      </c>
      <c r="C1451" s="319"/>
      <c r="D1451" s="182"/>
      <c r="E1451" s="182"/>
      <c r="F1451" s="182"/>
      <c r="G1451" s="182"/>
      <c r="H1451" s="182"/>
      <c r="I1451" s="179">
        <f>SUM(I1452)</f>
        <v>0</v>
      </c>
      <c r="J1451" s="179">
        <f t="shared" ref="J1451:K1451" si="1570">SUM(J1452)</f>
        <v>0</v>
      </c>
      <c r="K1451" s="179">
        <f t="shared" si="1570"/>
        <v>0</v>
      </c>
      <c r="L1451" s="179">
        <f>SUM(L1452)</f>
        <v>0</v>
      </c>
      <c r="M1451" s="179">
        <f t="shared" ref="M1451:Q1451" si="1571">SUM(M1452)</f>
        <v>34000</v>
      </c>
      <c r="N1451" s="179">
        <f t="shared" si="1571"/>
        <v>34000</v>
      </c>
      <c r="O1451" s="179">
        <f t="shared" si="1571"/>
        <v>0</v>
      </c>
      <c r="P1451" s="179">
        <f t="shared" si="1571"/>
        <v>0</v>
      </c>
      <c r="Q1451" s="179">
        <f t="shared" si="1571"/>
        <v>0</v>
      </c>
    </row>
    <row r="1452" spans="1:20" s="4" customFormat="1" ht="26.4" hidden="1" x14ac:dyDescent="0.3">
      <c r="A1452" s="266">
        <v>4531</v>
      </c>
      <c r="B1452" s="284" t="s">
        <v>287</v>
      </c>
      <c r="C1452" s="322"/>
      <c r="D1452" s="260"/>
      <c r="E1452" s="260"/>
      <c r="F1452" s="182"/>
      <c r="G1452" s="260"/>
      <c r="H1452" s="260"/>
      <c r="I1452" s="260"/>
      <c r="J1452" s="399"/>
      <c r="K1452" s="399"/>
      <c r="L1452" s="399"/>
      <c r="M1452" s="260">
        <v>34000</v>
      </c>
      <c r="N1452" s="260">
        <v>34000</v>
      </c>
      <c r="O1452" s="260"/>
      <c r="P1452" s="260"/>
      <c r="Q1452" s="260"/>
    </row>
    <row r="1453" spans="1:20" ht="19.5" hidden="1" customHeight="1" x14ac:dyDescent="0.3">
      <c r="A1453" s="721" t="s">
        <v>118</v>
      </c>
      <c r="B1453" s="721"/>
      <c r="C1453" s="325">
        <f>SUM(C1462,C1465+C1478+C1484)</f>
        <v>0</v>
      </c>
      <c r="D1453" s="258">
        <f>SUM(D1462,D1465,D1478,D1484)</f>
        <v>0</v>
      </c>
      <c r="E1453" s="258">
        <f>SUM(E1465+E1478+E1484+E1462)</f>
        <v>0</v>
      </c>
      <c r="F1453" s="258">
        <f>SUM(F1465+F1478+F1484+F1462)</f>
        <v>0</v>
      </c>
      <c r="G1453" s="258">
        <f>SUM(G1462,G1465+G1478+G1484)</f>
        <v>0</v>
      </c>
      <c r="H1453" s="258">
        <f t="shared" ref="H1453" si="1572">SUM(H1462,H1465+H1478+H1484)</f>
        <v>0</v>
      </c>
      <c r="I1453" s="258">
        <f>SUM(I1454)</f>
        <v>0</v>
      </c>
      <c r="J1453" s="258">
        <f t="shared" ref="J1453:L1455" si="1573">SUM(J1454)</f>
        <v>0</v>
      </c>
      <c r="K1453" s="258">
        <f t="shared" si="1573"/>
        <v>28818000</v>
      </c>
      <c r="L1453" s="258">
        <f t="shared" si="1573"/>
        <v>28818000</v>
      </c>
      <c r="M1453" s="258">
        <f>SUM(M1454)</f>
        <v>0</v>
      </c>
      <c r="N1453" s="258">
        <f>SUM(N1454)</f>
        <v>0</v>
      </c>
      <c r="O1453" s="258">
        <f>SUM(O1454)</f>
        <v>0</v>
      </c>
      <c r="P1453" s="258">
        <f>SUM(P1454)</f>
        <v>0</v>
      </c>
      <c r="Q1453" s="258">
        <f>SUM(Q1454)</f>
        <v>0</v>
      </c>
    </row>
    <row r="1454" spans="1:20" s="4" customFormat="1" ht="24.6" hidden="1" customHeight="1" x14ac:dyDescent="0.3">
      <c r="A1454" s="174" t="s">
        <v>323</v>
      </c>
      <c r="B1454" s="186" t="s">
        <v>324</v>
      </c>
      <c r="C1454" s="331"/>
      <c r="D1454" s="332"/>
      <c r="E1454" s="332"/>
      <c r="F1454" s="332"/>
      <c r="G1454" s="332"/>
      <c r="H1454" s="332"/>
      <c r="I1454" s="176">
        <f>SUM(I1455)</f>
        <v>0</v>
      </c>
      <c r="J1454" s="176">
        <f t="shared" si="1573"/>
        <v>0</v>
      </c>
      <c r="K1454" s="176">
        <f t="shared" si="1573"/>
        <v>28818000</v>
      </c>
      <c r="L1454" s="176">
        <f t="shared" si="1573"/>
        <v>28818000</v>
      </c>
      <c r="M1454" s="176">
        <f>SUM(M1455)</f>
        <v>0</v>
      </c>
      <c r="N1454" s="176">
        <f>SUM(N1455)</f>
        <v>0</v>
      </c>
      <c r="O1454" s="176">
        <f>SUM(O1455)</f>
        <v>0</v>
      </c>
      <c r="P1454" s="176">
        <f t="shared" ref="P1454:Q1454" si="1574">SUM(P1455)</f>
        <v>0</v>
      </c>
      <c r="Q1454" s="176">
        <f t="shared" si="1574"/>
        <v>0</v>
      </c>
    </row>
    <row r="1455" spans="1:20" s="4" customFormat="1" ht="14.55" hidden="1" customHeight="1" x14ac:dyDescent="0.3">
      <c r="A1455" s="337" t="s">
        <v>181</v>
      </c>
      <c r="B1455" s="198" t="s">
        <v>61</v>
      </c>
      <c r="C1455" s="318"/>
      <c r="D1455" s="179"/>
      <c r="E1455" s="179"/>
      <c r="F1455" s="179"/>
      <c r="G1455" s="179"/>
      <c r="H1455" s="179"/>
      <c r="I1455" s="179">
        <f>SUM(I1456)</f>
        <v>0</v>
      </c>
      <c r="J1455" s="179">
        <f t="shared" si="1573"/>
        <v>0</v>
      </c>
      <c r="K1455" s="179">
        <f t="shared" si="1573"/>
        <v>28818000</v>
      </c>
      <c r="L1455" s="179">
        <f t="shared" si="1573"/>
        <v>28818000</v>
      </c>
      <c r="M1455" s="179">
        <f t="shared" ref="M1455:Q1455" si="1575">SUM(M1456)</f>
        <v>0</v>
      </c>
      <c r="N1455" s="179">
        <f t="shared" si="1575"/>
        <v>0</v>
      </c>
      <c r="O1455" s="179">
        <f t="shared" si="1575"/>
        <v>0</v>
      </c>
      <c r="P1455" s="179">
        <f t="shared" si="1575"/>
        <v>0</v>
      </c>
      <c r="Q1455" s="179">
        <f t="shared" si="1575"/>
        <v>0</v>
      </c>
    </row>
    <row r="1456" spans="1:20" s="4" customFormat="1" ht="21" hidden="1" customHeight="1" x14ac:dyDescent="0.3">
      <c r="A1456" s="664">
        <v>4234</v>
      </c>
      <c r="B1456" s="665" t="s">
        <v>279</v>
      </c>
      <c r="C1456" s="477"/>
      <c r="D1456" s="478"/>
      <c r="E1456" s="478"/>
      <c r="F1456" s="478"/>
      <c r="G1456" s="478"/>
      <c r="H1456" s="478"/>
      <c r="I1456" s="478"/>
      <c r="J1456" s="479"/>
      <c r="K1456" s="479">
        <v>28818000</v>
      </c>
      <c r="L1456" s="479">
        <f>I1456-J1456+K1456</f>
        <v>28818000</v>
      </c>
      <c r="M1456" s="182"/>
      <c r="N1456" s="182"/>
      <c r="O1456" s="182"/>
      <c r="P1456" s="182"/>
      <c r="Q1456" s="182"/>
      <c r="R1456" s="457"/>
      <c r="S1456" s="457"/>
      <c r="T1456" s="457"/>
    </row>
    <row r="1457" spans="1:20" s="4" customFormat="1" ht="26.4" x14ac:dyDescent="0.3">
      <c r="A1457" s="242" t="s">
        <v>473</v>
      </c>
      <c r="B1457" s="231" t="s">
        <v>474</v>
      </c>
      <c r="C1457" s="334"/>
      <c r="D1457" s="172"/>
      <c r="E1457" s="172"/>
      <c r="F1457" s="172"/>
      <c r="G1457" s="172"/>
      <c r="H1457" s="172"/>
      <c r="I1457" s="172">
        <f>SUM(I1462,I1526)</f>
        <v>145000</v>
      </c>
      <c r="J1457" s="172">
        <f>SUM(J1462,J1526)</f>
        <v>145000</v>
      </c>
      <c r="K1457" s="172">
        <f>SUM(K1462,K1526)</f>
        <v>0</v>
      </c>
      <c r="L1457" s="172">
        <f>SUM(L1458)</f>
        <v>0</v>
      </c>
      <c r="M1457" s="172">
        <f t="shared" ref="M1457:O1457" si="1576">SUM(M1458)</f>
        <v>0</v>
      </c>
      <c r="N1457" s="172">
        <f t="shared" si="1576"/>
        <v>0</v>
      </c>
      <c r="O1457" s="172">
        <f t="shared" si="1576"/>
        <v>0</v>
      </c>
      <c r="P1457" s="172">
        <f>SUM(P1458)</f>
        <v>12500000</v>
      </c>
      <c r="Q1457" s="172">
        <f>SUM(Q1458)</f>
        <v>12500000</v>
      </c>
    </row>
    <row r="1458" spans="1:20" ht="19.5" customHeight="1" x14ac:dyDescent="0.3">
      <c r="A1458" s="721" t="s">
        <v>118</v>
      </c>
      <c r="B1458" s="721"/>
      <c r="C1458" s="325">
        <f>SUM(C1467,C1470+C1483+C1489)</f>
        <v>0</v>
      </c>
      <c r="D1458" s="258">
        <f>SUM(D1467,D1470,D1483,D1489)</f>
        <v>0</v>
      </c>
      <c r="E1458" s="258">
        <f>SUM(E1470+E1483+E1489+E1467)</f>
        <v>0</v>
      </c>
      <c r="F1458" s="258">
        <f>SUM(F1470+F1483+F1489+F1467)</f>
        <v>0</v>
      </c>
      <c r="G1458" s="258">
        <f>SUM(G1467,G1470+G1483+G1489)</f>
        <v>0</v>
      </c>
      <c r="H1458" s="258">
        <f t="shared" ref="H1458" si="1577">SUM(H1467,H1470+H1483+H1489)</f>
        <v>0</v>
      </c>
      <c r="I1458" s="258">
        <f>SUM(I1459)</f>
        <v>0</v>
      </c>
      <c r="J1458" s="258">
        <f t="shared" ref="J1458:K1460" si="1578">SUM(J1459)</f>
        <v>0</v>
      </c>
      <c r="K1458" s="258">
        <f t="shared" si="1578"/>
        <v>28818000</v>
      </c>
      <c r="L1458" s="258">
        <f>SUM(L1459)</f>
        <v>0</v>
      </c>
      <c r="M1458" s="258">
        <f t="shared" ref="M1458:Q1458" si="1579">SUM(M1459)</f>
        <v>0</v>
      </c>
      <c r="N1458" s="258">
        <f t="shared" si="1579"/>
        <v>0</v>
      </c>
      <c r="O1458" s="258">
        <f t="shared" si="1579"/>
        <v>0</v>
      </c>
      <c r="P1458" s="258">
        <f t="shared" si="1579"/>
        <v>12500000</v>
      </c>
      <c r="Q1458" s="258">
        <f t="shared" si="1579"/>
        <v>12500000</v>
      </c>
    </row>
    <row r="1459" spans="1:20" s="4" customFormat="1" ht="24.6" customHeight="1" x14ac:dyDescent="0.3">
      <c r="A1459" s="174" t="s">
        <v>323</v>
      </c>
      <c r="B1459" s="186" t="s">
        <v>324</v>
      </c>
      <c r="C1459" s="331"/>
      <c r="D1459" s="332"/>
      <c r="E1459" s="332"/>
      <c r="F1459" s="332"/>
      <c r="G1459" s="332"/>
      <c r="H1459" s="332"/>
      <c r="I1459" s="176">
        <f>SUM(I1460)</f>
        <v>0</v>
      </c>
      <c r="J1459" s="176">
        <f t="shared" si="1578"/>
        <v>0</v>
      </c>
      <c r="K1459" s="176">
        <f t="shared" si="1578"/>
        <v>28818000</v>
      </c>
      <c r="L1459" s="176">
        <f>SUM(L1460)</f>
        <v>0</v>
      </c>
      <c r="M1459" s="176">
        <f t="shared" ref="M1459:Q1459" si="1580">SUM(M1460)</f>
        <v>0</v>
      </c>
      <c r="N1459" s="176">
        <f t="shared" si="1580"/>
        <v>0</v>
      </c>
      <c r="O1459" s="176">
        <f t="shared" si="1580"/>
        <v>0</v>
      </c>
      <c r="P1459" s="176">
        <f t="shared" si="1580"/>
        <v>12500000</v>
      </c>
      <c r="Q1459" s="176">
        <f t="shared" si="1580"/>
        <v>12500000</v>
      </c>
    </row>
    <row r="1460" spans="1:20" s="4" customFormat="1" ht="14.55" customHeight="1" x14ac:dyDescent="0.3">
      <c r="A1460" s="337" t="s">
        <v>181</v>
      </c>
      <c r="B1460" s="198" t="s">
        <v>61</v>
      </c>
      <c r="C1460" s="318"/>
      <c r="D1460" s="179"/>
      <c r="E1460" s="179"/>
      <c r="F1460" s="179"/>
      <c r="G1460" s="179"/>
      <c r="H1460" s="179"/>
      <c r="I1460" s="179">
        <f>SUM(I1461)</f>
        <v>0</v>
      </c>
      <c r="J1460" s="179">
        <f t="shared" si="1578"/>
        <v>0</v>
      </c>
      <c r="K1460" s="179">
        <f t="shared" si="1578"/>
        <v>28818000</v>
      </c>
      <c r="L1460" s="179">
        <f>SUM(L1461)</f>
        <v>0</v>
      </c>
      <c r="M1460" s="179">
        <f t="shared" ref="M1460:Q1460" si="1581">SUM(M1461)</f>
        <v>0</v>
      </c>
      <c r="N1460" s="179">
        <f t="shared" si="1581"/>
        <v>0</v>
      </c>
      <c r="O1460" s="179">
        <f t="shared" si="1581"/>
        <v>0</v>
      </c>
      <c r="P1460" s="179">
        <f t="shared" si="1581"/>
        <v>12500000</v>
      </c>
      <c r="Q1460" s="179">
        <f t="shared" si="1581"/>
        <v>12500000</v>
      </c>
    </row>
    <row r="1461" spans="1:20" s="4" customFormat="1" ht="21" customHeight="1" x14ac:dyDescent="0.3">
      <c r="A1461" s="664">
        <v>4234</v>
      </c>
      <c r="B1461" s="665" t="s">
        <v>279</v>
      </c>
      <c r="C1461" s="477"/>
      <c r="D1461" s="478"/>
      <c r="E1461" s="478"/>
      <c r="F1461" s="478"/>
      <c r="G1461" s="478"/>
      <c r="H1461" s="478"/>
      <c r="I1461" s="478"/>
      <c r="J1461" s="479"/>
      <c r="K1461" s="479">
        <v>28818000</v>
      </c>
      <c r="L1461" s="479"/>
      <c r="M1461" s="182"/>
      <c r="N1461" s="182"/>
      <c r="O1461" s="182"/>
      <c r="P1461" s="182">
        <v>12500000</v>
      </c>
      <c r="Q1461" s="182">
        <v>12500000</v>
      </c>
      <c r="R1461" s="457"/>
      <c r="S1461" s="457"/>
      <c r="T1461" s="457"/>
    </row>
    <row r="1462" spans="1:20" s="4" customFormat="1" ht="39.6" x14ac:dyDescent="0.3">
      <c r="A1462" s="242" t="s">
        <v>419</v>
      </c>
      <c r="B1462" s="231" t="s">
        <v>411</v>
      </c>
      <c r="C1462" s="345"/>
      <c r="D1462" s="346"/>
      <c r="E1462" s="346"/>
      <c r="F1462" s="347"/>
      <c r="G1462" s="347"/>
      <c r="H1462" s="348">
        <f>SUM(H1463)</f>
        <v>0</v>
      </c>
      <c r="I1462" s="348">
        <f>SUM(I1463)</f>
        <v>145000</v>
      </c>
      <c r="J1462" s="348">
        <f t="shared" ref="J1462:K1462" si="1582">SUM(J1463)</f>
        <v>145000</v>
      </c>
      <c r="K1462" s="348">
        <f t="shared" si="1582"/>
        <v>0</v>
      </c>
      <c r="L1462" s="348">
        <f>SUM(L1463)</f>
        <v>0</v>
      </c>
      <c r="M1462" s="348">
        <f t="shared" ref="M1462:Q1462" si="1583">SUM(M1463)</f>
        <v>167000</v>
      </c>
      <c r="N1462" s="348">
        <f t="shared" si="1583"/>
        <v>87000</v>
      </c>
      <c r="O1462" s="348">
        <f t="shared" si="1583"/>
        <v>232500</v>
      </c>
      <c r="P1462" s="348">
        <f t="shared" si="1583"/>
        <v>20500</v>
      </c>
      <c r="Q1462" s="348">
        <f t="shared" si="1583"/>
        <v>22500</v>
      </c>
    </row>
    <row r="1463" spans="1:20" s="4" customFormat="1" ht="28.5" customHeight="1" x14ac:dyDescent="0.3">
      <c r="A1463" s="720" t="s">
        <v>241</v>
      </c>
      <c r="B1463" s="720"/>
      <c r="C1463" s="721"/>
      <c r="D1463" s="721"/>
      <c r="E1463" s="349"/>
      <c r="F1463" s="216"/>
      <c r="G1463" s="216"/>
      <c r="H1463" s="216">
        <f t="shared" ref="H1463:Q1463" si="1584">SUM(H1464,H1467,H1483)</f>
        <v>0</v>
      </c>
      <c r="I1463" s="184">
        <f t="shared" si="1584"/>
        <v>145000</v>
      </c>
      <c r="J1463" s="184">
        <f t="shared" si="1584"/>
        <v>145000</v>
      </c>
      <c r="K1463" s="184">
        <f t="shared" si="1584"/>
        <v>0</v>
      </c>
      <c r="L1463" s="184">
        <f t="shared" si="1584"/>
        <v>0</v>
      </c>
      <c r="M1463" s="184">
        <f t="shared" si="1584"/>
        <v>167000</v>
      </c>
      <c r="N1463" s="184">
        <f t="shared" si="1584"/>
        <v>87000</v>
      </c>
      <c r="O1463" s="184">
        <f t="shared" si="1584"/>
        <v>232500</v>
      </c>
      <c r="P1463" s="184">
        <f t="shared" si="1584"/>
        <v>20500</v>
      </c>
      <c r="Q1463" s="184">
        <f t="shared" si="1584"/>
        <v>22500</v>
      </c>
    </row>
    <row r="1464" spans="1:20" s="4" customFormat="1" x14ac:dyDescent="0.3">
      <c r="A1464" s="185" t="s">
        <v>315</v>
      </c>
      <c r="B1464" s="186" t="s">
        <v>316</v>
      </c>
      <c r="C1464" s="350"/>
      <c r="D1464" s="350"/>
      <c r="E1464" s="350"/>
      <c r="F1464" s="351"/>
      <c r="G1464" s="332"/>
      <c r="H1464" s="218">
        <f t="shared" ref="H1464:Q1465" si="1585">SUM(H1465)</f>
        <v>0</v>
      </c>
      <c r="I1464" s="218">
        <f t="shared" si="1585"/>
        <v>55000</v>
      </c>
      <c r="J1464" s="218">
        <f t="shared" si="1585"/>
        <v>55000</v>
      </c>
      <c r="K1464" s="218">
        <f t="shared" si="1585"/>
        <v>0</v>
      </c>
      <c r="L1464" s="218">
        <f t="shared" si="1585"/>
        <v>0</v>
      </c>
      <c r="M1464" s="218">
        <f t="shared" si="1585"/>
        <v>55000</v>
      </c>
      <c r="N1464" s="218">
        <f t="shared" si="1585"/>
        <v>55000</v>
      </c>
      <c r="O1464" s="218">
        <f t="shared" si="1585"/>
        <v>25500</v>
      </c>
      <c r="P1464" s="218">
        <f t="shared" si="1585"/>
        <v>8000</v>
      </c>
      <c r="Q1464" s="218">
        <f t="shared" si="1585"/>
        <v>5500</v>
      </c>
    </row>
    <row r="1465" spans="1:20" s="4" customFormat="1" x14ac:dyDescent="0.3">
      <c r="A1465" s="198" t="s">
        <v>143</v>
      </c>
      <c r="B1465" s="198" t="s">
        <v>220</v>
      </c>
      <c r="C1465" s="352"/>
      <c r="D1465" s="352"/>
      <c r="E1465" s="352"/>
      <c r="F1465" s="212"/>
      <c r="G1465" s="182"/>
      <c r="H1465" s="248">
        <f t="shared" si="1585"/>
        <v>0</v>
      </c>
      <c r="I1465" s="248">
        <f t="shared" si="1585"/>
        <v>55000</v>
      </c>
      <c r="J1465" s="248">
        <f t="shared" si="1585"/>
        <v>55000</v>
      </c>
      <c r="K1465" s="248">
        <f t="shared" si="1585"/>
        <v>0</v>
      </c>
      <c r="L1465" s="248">
        <f t="shared" si="1585"/>
        <v>0</v>
      </c>
      <c r="M1465" s="248">
        <f t="shared" si="1585"/>
        <v>55000</v>
      </c>
      <c r="N1465" s="248">
        <f t="shared" si="1585"/>
        <v>55000</v>
      </c>
      <c r="O1465" s="248">
        <f t="shared" si="1585"/>
        <v>25500</v>
      </c>
      <c r="P1465" s="248">
        <f t="shared" si="1585"/>
        <v>8000</v>
      </c>
      <c r="Q1465" s="248">
        <f t="shared" si="1585"/>
        <v>5500</v>
      </c>
    </row>
    <row r="1466" spans="1:20" s="4" customFormat="1" x14ac:dyDescent="0.3">
      <c r="A1466" s="180" t="s">
        <v>144</v>
      </c>
      <c r="B1466" s="204" t="s">
        <v>5</v>
      </c>
      <c r="C1466" s="352"/>
      <c r="D1466" s="352"/>
      <c r="E1466" s="352"/>
      <c r="F1466" s="212"/>
      <c r="G1466" s="182"/>
      <c r="H1466" s="212"/>
      <c r="I1466" s="212">
        <v>55000</v>
      </c>
      <c r="J1466" s="255">
        <v>55000</v>
      </c>
      <c r="K1466" s="255"/>
      <c r="L1466" s="220">
        <f>I1466-J1466+K1466</f>
        <v>0</v>
      </c>
      <c r="M1466" s="212">
        <v>55000</v>
      </c>
      <c r="N1466" s="353">
        <v>55000</v>
      </c>
      <c r="O1466" s="212">
        <v>25500</v>
      </c>
      <c r="P1466" s="353">
        <v>8000</v>
      </c>
      <c r="Q1466" s="353">
        <v>5500</v>
      </c>
    </row>
    <row r="1467" spans="1:20" s="4" customFormat="1" x14ac:dyDescent="0.3">
      <c r="A1467" s="185" t="s">
        <v>317</v>
      </c>
      <c r="B1467" s="185" t="s">
        <v>318</v>
      </c>
      <c r="C1467" s="350"/>
      <c r="D1467" s="350"/>
      <c r="E1467" s="350"/>
      <c r="F1467" s="351"/>
      <c r="G1467" s="332"/>
      <c r="H1467" s="218">
        <f t="shared" ref="H1467:N1467" si="1586">SUM(H1468,H1471,H1474,H1481)</f>
        <v>0</v>
      </c>
      <c r="I1467" s="218">
        <f t="shared" si="1586"/>
        <v>44000</v>
      </c>
      <c r="J1467" s="218">
        <f t="shared" si="1586"/>
        <v>44000</v>
      </c>
      <c r="K1467" s="218">
        <f t="shared" si="1586"/>
        <v>0</v>
      </c>
      <c r="L1467" s="218">
        <f t="shared" si="1586"/>
        <v>0</v>
      </c>
      <c r="M1467" s="218">
        <f t="shared" si="1586"/>
        <v>66000</v>
      </c>
      <c r="N1467" s="218">
        <f t="shared" si="1586"/>
        <v>21000</v>
      </c>
      <c r="O1467" s="218">
        <f>SUM(O1468,O1471,O1474,O1479,O1481)</f>
        <v>58000</v>
      </c>
      <c r="P1467" s="218">
        <f t="shared" ref="P1467:Q1467" si="1587">SUM(P1468,P1471,P1474,P1479,P1481)</f>
        <v>12500</v>
      </c>
      <c r="Q1467" s="218">
        <f t="shared" si="1587"/>
        <v>17000</v>
      </c>
    </row>
    <row r="1468" spans="1:20" s="4" customFormat="1" x14ac:dyDescent="0.3">
      <c r="A1468" s="333" t="s">
        <v>149</v>
      </c>
      <c r="B1468" s="284" t="s">
        <v>12</v>
      </c>
      <c r="C1468" s="352"/>
      <c r="D1468" s="352"/>
      <c r="E1468" s="352"/>
      <c r="F1468" s="212"/>
      <c r="G1468" s="182"/>
      <c r="H1468" s="248">
        <f>SUM(H1469:H1470)</f>
        <v>0</v>
      </c>
      <c r="I1468" s="248">
        <f t="shared" ref="I1468:N1468" si="1588">SUM(I1469:I1470)</f>
        <v>14000</v>
      </c>
      <c r="J1468" s="248">
        <f t="shared" si="1588"/>
        <v>14000</v>
      </c>
      <c r="K1468" s="248">
        <f t="shared" si="1588"/>
        <v>0</v>
      </c>
      <c r="L1468" s="248">
        <f t="shared" si="1588"/>
        <v>0</v>
      </c>
      <c r="M1468" s="248">
        <f t="shared" si="1588"/>
        <v>36000</v>
      </c>
      <c r="N1468" s="248">
        <f t="shared" si="1588"/>
        <v>14000</v>
      </c>
      <c r="O1468" s="248">
        <f t="shared" ref="O1468:P1468" si="1589">SUM(O1469:O1470)</f>
        <v>13500</v>
      </c>
      <c r="P1468" s="248">
        <f t="shared" si="1589"/>
        <v>2500</v>
      </c>
      <c r="Q1468" s="248">
        <f t="shared" ref="Q1468" si="1590">SUM(Q1469:Q1470)</f>
        <v>2000</v>
      </c>
    </row>
    <row r="1469" spans="1:20" s="4" customFormat="1" ht="12" customHeight="1" x14ac:dyDescent="0.3">
      <c r="A1469" s="266">
        <v>3211</v>
      </c>
      <c r="B1469" s="267" t="s">
        <v>13</v>
      </c>
      <c r="C1469" s="352"/>
      <c r="D1469" s="352"/>
      <c r="E1469" s="352"/>
      <c r="F1469" s="212"/>
      <c r="G1469" s="182"/>
      <c r="H1469" s="212"/>
      <c r="I1469" s="212">
        <v>14000</v>
      </c>
      <c r="J1469" s="255">
        <v>14000</v>
      </c>
      <c r="K1469" s="255"/>
      <c r="L1469" s="220">
        <f>I1469-J1469+K1469</f>
        <v>0</v>
      </c>
      <c r="M1469" s="212">
        <v>14000</v>
      </c>
      <c r="N1469" s="353">
        <v>14000</v>
      </c>
      <c r="O1469" s="212">
        <v>2500</v>
      </c>
      <c r="P1469" s="353">
        <v>2500</v>
      </c>
      <c r="Q1469" s="353">
        <v>2000</v>
      </c>
    </row>
    <row r="1470" spans="1:20" s="4" customFormat="1" x14ac:dyDescent="0.3">
      <c r="A1470" s="266">
        <v>3213</v>
      </c>
      <c r="B1470" s="267" t="s">
        <v>15</v>
      </c>
      <c r="C1470" s="352"/>
      <c r="D1470" s="352"/>
      <c r="E1470" s="352"/>
      <c r="F1470" s="212"/>
      <c r="G1470" s="182"/>
      <c r="H1470" s="212"/>
      <c r="I1470" s="212"/>
      <c r="J1470" s="255"/>
      <c r="K1470" s="255"/>
      <c r="L1470" s="255"/>
      <c r="M1470" s="212">
        <v>22000</v>
      </c>
      <c r="N1470" s="353"/>
      <c r="O1470" s="212">
        <v>11000</v>
      </c>
      <c r="P1470" s="353"/>
      <c r="Q1470" s="353"/>
    </row>
    <row r="1471" spans="1:20" s="4" customFormat="1" x14ac:dyDescent="0.3">
      <c r="A1471" s="337">
        <v>322</v>
      </c>
      <c r="B1471" s="178" t="s">
        <v>16</v>
      </c>
      <c r="C1471" s="352"/>
      <c r="D1471" s="352"/>
      <c r="E1471" s="352"/>
      <c r="F1471" s="212"/>
      <c r="G1471" s="182"/>
      <c r="H1471" s="248">
        <f>SUM(H1472:H1473)</f>
        <v>0</v>
      </c>
      <c r="I1471" s="248">
        <f>SUM(I1472:I1473)</f>
        <v>1000</v>
      </c>
      <c r="J1471" s="248">
        <f t="shared" ref="J1471:K1471" si="1591">SUM(J1472:J1473)</f>
        <v>1000</v>
      </c>
      <c r="K1471" s="248">
        <f t="shared" si="1591"/>
        <v>0</v>
      </c>
      <c r="L1471" s="248">
        <f t="shared" ref="L1471:Q1471" si="1592">SUM(L1472:L1473)</f>
        <v>0</v>
      </c>
      <c r="M1471" s="248">
        <f t="shared" si="1592"/>
        <v>1000</v>
      </c>
      <c r="N1471" s="248">
        <f t="shared" si="1592"/>
        <v>1000</v>
      </c>
      <c r="O1471" s="248">
        <f t="shared" si="1592"/>
        <v>3500</v>
      </c>
      <c r="P1471" s="248">
        <f t="shared" si="1592"/>
        <v>2500</v>
      </c>
      <c r="Q1471" s="248">
        <f t="shared" si="1592"/>
        <v>2500</v>
      </c>
    </row>
    <row r="1472" spans="1:20" s="4" customFormat="1" x14ac:dyDescent="0.3">
      <c r="A1472" s="180">
        <v>3221</v>
      </c>
      <c r="B1472" s="181" t="s">
        <v>17</v>
      </c>
      <c r="C1472" s="352"/>
      <c r="D1472" s="352"/>
      <c r="E1472" s="352"/>
      <c r="F1472" s="212"/>
      <c r="G1472" s="182"/>
      <c r="H1472" s="212"/>
      <c r="I1472" s="212">
        <v>1000</v>
      </c>
      <c r="J1472" s="255">
        <v>1000</v>
      </c>
      <c r="K1472" s="255"/>
      <c r="L1472" s="220">
        <f>I1472-J1472+K1472</f>
        <v>0</v>
      </c>
      <c r="M1472" s="212"/>
      <c r="N1472" s="353"/>
      <c r="O1472" s="212">
        <v>2000</v>
      </c>
      <c r="P1472" s="353">
        <v>1000</v>
      </c>
      <c r="Q1472" s="353">
        <v>1000</v>
      </c>
    </row>
    <row r="1473" spans="1:17" s="4" customFormat="1" x14ac:dyDescent="0.3">
      <c r="A1473" s="266">
        <v>3223</v>
      </c>
      <c r="B1473" s="267" t="s">
        <v>19</v>
      </c>
      <c r="C1473" s="352"/>
      <c r="D1473" s="352"/>
      <c r="E1473" s="352"/>
      <c r="F1473" s="212"/>
      <c r="G1473" s="182"/>
      <c r="H1473" s="212"/>
      <c r="I1473" s="212"/>
      <c r="J1473" s="255"/>
      <c r="K1473" s="255"/>
      <c r="L1473" s="255"/>
      <c r="M1473" s="212">
        <v>1000</v>
      </c>
      <c r="N1473" s="353">
        <v>1000</v>
      </c>
      <c r="O1473" s="212">
        <v>1500</v>
      </c>
      <c r="P1473" s="353">
        <v>1500</v>
      </c>
      <c r="Q1473" s="353">
        <v>1500</v>
      </c>
    </row>
    <row r="1474" spans="1:17" s="4" customFormat="1" x14ac:dyDescent="0.3">
      <c r="A1474" s="338" t="s">
        <v>159</v>
      </c>
      <c r="B1474" s="247" t="s">
        <v>123</v>
      </c>
      <c r="C1474" s="352"/>
      <c r="D1474" s="352"/>
      <c r="E1474" s="352"/>
      <c r="F1474" s="212"/>
      <c r="G1474" s="182"/>
      <c r="H1474" s="248">
        <f>SUM(H1475:H1477)</f>
        <v>0</v>
      </c>
      <c r="I1474" s="248">
        <f t="shared" ref="I1474:Q1474" si="1593">SUM(I1475:I1478)</f>
        <v>26000</v>
      </c>
      <c r="J1474" s="248">
        <f t="shared" si="1593"/>
        <v>26000</v>
      </c>
      <c r="K1474" s="248">
        <f t="shared" si="1593"/>
        <v>0</v>
      </c>
      <c r="L1474" s="248">
        <f t="shared" si="1593"/>
        <v>0</v>
      </c>
      <c r="M1474" s="248">
        <f t="shared" si="1593"/>
        <v>26000</v>
      </c>
      <c r="N1474" s="248">
        <f t="shared" si="1593"/>
        <v>3000</v>
      </c>
      <c r="O1474" s="248">
        <f t="shared" si="1593"/>
        <v>37000</v>
      </c>
      <c r="P1474" s="248">
        <f t="shared" si="1593"/>
        <v>4000</v>
      </c>
      <c r="Q1474" s="248">
        <f t="shared" si="1593"/>
        <v>0</v>
      </c>
    </row>
    <row r="1475" spans="1:17" s="4" customFormat="1" x14ac:dyDescent="0.3">
      <c r="A1475" s="249">
        <v>3233</v>
      </c>
      <c r="B1475" s="215" t="s">
        <v>26</v>
      </c>
      <c r="C1475" s="352"/>
      <c r="D1475" s="352"/>
      <c r="E1475" s="352"/>
      <c r="F1475" s="212"/>
      <c r="G1475" s="182"/>
      <c r="H1475" s="212"/>
      <c r="I1475" s="212">
        <v>12000</v>
      </c>
      <c r="J1475" s="255">
        <v>12000</v>
      </c>
      <c r="K1475" s="255"/>
      <c r="L1475" s="220">
        <f>I1475-J1475+K1475</f>
        <v>0</v>
      </c>
      <c r="M1475" s="212">
        <v>12000</v>
      </c>
      <c r="N1475" s="353"/>
      <c r="O1475" s="212">
        <v>14500</v>
      </c>
      <c r="P1475" s="353"/>
      <c r="Q1475" s="353"/>
    </row>
    <row r="1476" spans="1:17" s="4" customFormat="1" x14ac:dyDescent="0.3">
      <c r="A1476" s="249">
        <v>3235</v>
      </c>
      <c r="B1476" s="215" t="s">
        <v>28</v>
      </c>
      <c r="C1476" s="352"/>
      <c r="D1476" s="352"/>
      <c r="E1476" s="352"/>
      <c r="F1476" s="255"/>
      <c r="G1476" s="220"/>
      <c r="H1476" s="255"/>
      <c r="I1476" s="255">
        <v>3000</v>
      </c>
      <c r="J1476" s="255">
        <v>3000</v>
      </c>
      <c r="K1476" s="255"/>
      <c r="L1476" s="220">
        <f>I1476-J1476+K1476</f>
        <v>0</v>
      </c>
      <c r="M1476" s="255">
        <v>3000</v>
      </c>
      <c r="N1476" s="319">
        <v>3000</v>
      </c>
      <c r="O1476" s="255"/>
      <c r="P1476" s="319">
        <v>3000</v>
      </c>
      <c r="Q1476" s="319"/>
    </row>
    <row r="1477" spans="1:17" s="4" customFormat="1" x14ac:dyDescent="0.3">
      <c r="A1477" s="249">
        <v>3237</v>
      </c>
      <c r="B1477" s="215" t="s">
        <v>30</v>
      </c>
      <c r="C1477" s="352"/>
      <c r="D1477" s="352"/>
      <c r="E1477" s="352"/>
      <c r="F1477" s="212"/>
      <c r="G1477" s="182"/>
      <c r="H1477" s="212"/>
      <c r="I1477" s="212">
        <v>11000</v>
      </c>
      <c r="J1477" s="255">
        <v>11000</v>
      </c>
      <c r="K1477" s="255"/>
      <c r="L1477" s="220">
        <f>I1477-J1477+K1477</f>
        <v>0</v>
      </c>
      <c r="M1477" s="212">
        <v>11000</v>
      </c>
      <c r="N1477" s="353"/>
      <c r="O1477" s="212">
        <v>22500</v>
      </c>
      <c r="P1477" s="353"/>
      <c r="Q1477" s="353"/>
    </row>
    <row r="1478" spans="1:17" s="4" customFormat="1" x14ac:dyDescent="0.3">
      <c r="A1478" s="249">
        <v>3239</v>
      </c>
      <c r="B1478" s="215" t="s">
        <v>31</v>
      </c>
      <c r="C1478" s="319"/>
      <c r="D1478" s="182"/>
      <c r="E1478" s="182"/>
      <c r="F1478" s="182"/>
      <c r="G1478" s="182"/>
      <c r="H1478" s="182"/>
      <c r="I1478" s="191"/>
      <c r="J1478" s="233"/>
      <c r="K1478" s="233"/>
      <c r="L1478" s="233"/>
      <c r="M1478" s="182"/>
      <c r="N1478" s="182"/>
      <c r="O1478" s="182"/>
      <c r="P1478" s="182">
        <v>1000</v>
      </c>
      <c r="Q1478" s="182"/>
    </row>
    <row r="1479" spans="1:17" s="4" customFormat="1" x14ac:dyDescent="0.3">
      <c r="A1479" s="333">
        <v>324</v>
      </c>
      <c r="B1479" s="284" t="s">
        <v>32</v>
      </c>
      <c r="C1479" s="319"/>
      <c r="D1479" s="182"/>
      <c r="E1479" s="182"/>
      <c r="F1479" s="182"/>
      <c r="G1479" s="182"/>
      <c r="H1479" s="182"/>
      <c r="I1479" s="202">
        <f>SUM(I1480)</f>
        <v>0</v>
      </c>
      <c r="J1479" s="202">
        <f t="shared" ref="J1479:K1479" si="1594">SUM(J1480)</f>
        <v>0</v>
      </c>
      <c r="K1479" s="202">
        <f t="shared" si="1594"/>
        <v>0</v>
      </c>
      <c r="L1479" s="202">
        <f>SUM(L1480)</f>
        <v>0</v>
      </c>
      <c r="M1479" s="179">
        <f t="shared" ref="M1479:Q1479" si="1595">SUM(M1480)</f>
        <v>0</v>
      </c>
      <c r="N1479" s="179">
        <f t="shared" si="1595"/>
        <v>0</v>
      </c>
      <c r="O1479" s="179">
        <f t="shared" si="1595"/>
        <v>0</v>
      </c>
      <c r="P1479" s="179">
        <f t="shared" si="1595"/>
        <v>3500</v>
      </c>
      <c r="Q1479" s="179">
        <f t="shared" si="1595"/>
        <v>4000</v>
      </c>
    </row>
    <row r="1480" spans="1:17" s="4" customFormat="1" x14ac:dyDescent="0.3">
      <c r="A1480" s="266">
        <v>3241</v>
      </c>
      <c r="B1480" s="267" t="s">
        <v>32</v>
      </c>
      <c r="C1480" s="319"/>
      <c r="D1480" s="182"/>
      <c r="E1480" s="182"/>
      <c r="F1480" s="182"/>
      <c r="G1480" s="182"/>
      <c r="H1480" s="182"/>
      <c r="I1480" s="191"/>
      <c r="J1480" s="233"/>
      <c r="K1480" s="233"/>
      <c r="L1480" s="233"/>
      <c r="M1480" s="182"/>
      <c r="N1480" s="182"/>
      <c r="O1480" s="182"/>
      <c r="P1480" s="182">
        <v>3500</v>
      </c>
      <c r="Q1480" s="182">
        <v>4000</v>
      </c>
    </row>
    <row r="1481" spans="1:17" s="4" customFormat="1" x14ac:dyDescent="0.3">
      <c r="A1481" s="337" t="s">
        <v>170</v>
      </c>
      <c r="B1481" s="198" t="s">
        <v>33</v>
      </c>
      <c r="C1481" s="352"/>
      <c r="D1481" s="352"/>
      <c r="E1481" s="352"/>
      <c r="F1481" s="212"/>
      <c r="G1481" s="182"/>
      <c r="H1481" s="248">
        <f>SUM(H1482:H1482)</f>
        <v>0</v>
      </c>
      <c r="I1481" s="248">
        <f t="shared" ref="I1481:Q1481" si="1596">SUM(I1482)</f>
        <v>3000</v>
      </c>
      <c r="J1481" s="248">
        <f t="shared" si="1596"/>
        <v>3000</v>
      </c>
      <c r="K1481" s="248">
        <f t="shared" si="1596"/>
        <v>0</v>
      </c>
      <c r="L1481" s="248">
        <f t="shared" si="1596"/>
        <v>0</v>
      </c>
      <c r="M1481" s="248">
        <f t="shared" si="1596"/>
        <v>3000</v>
      </c>
      <c r="N1481" s="248">
        <f t="shared" si="1596"/>
        <v>3000</v>
      </c>
      <c r="O1481" s="248">
        <f t="shared" si="1596"/>
        <v>4000</v>
      </c>
      <c r="P1481" s="248">
        <f t="shared" si="1596"/>
        <v>0</v>
      </c>
      <c r="Q1481" s="248">
        <f t="shared" si="1596"/>
        <v>8500</v>
      </c>
    </row>
    <row r="1482" spans="1:17" s="4" customFormat="1" x14ac:dyDescent="0.3">
      <c r="A1482" s="189" t="s">
        <v>172</v>
      </c>
      <c r="B1482" s="190" t="s">
        <v>36</v>
      </c>
      <c r="C1482" s="352"/>
      <c r="D1482" s="352"/>
      <c r="E1482" s="352"/>
      <c r="F1482" s="212"/>
      <c r="G1482" s="182"/>
      <c r="H1482" s="212"/>
      <c r="I1482" s="212">
        <v>3000</v>
      </c>
      <c r="J1482" s="255">
        <v>3000</v>
      </c>
      <c r="K1482" s="255"/>
      <c r="L1482" s="220">
        <f>I1482-J1482+K1482</f>
        <v>0</v>
      </c>
      <c r="M1482" s="212">
        <v>3000</v>
      </c>
      <c r="N1482" s="353">
        <v>3000</v>
      </c>
      <c r="O1482" s="212">
        <v>4000</v>
      </c>
      <c r="P1482" s="353"/>
      <c r="Q1482" s="353">
        <v>8500</v>
      </c>
    </row>
    <row r="1483" spans="1:17" x14ac:dyDescent="0.3">
      <c r="A1483" s="174" t="s">
        <v>323</v>
      </c>
      <c r="B1483" s="186" t="s">
        <v>324</v>
      </c>
      <c r="C1483" s="350"/>
      <c r="D1483" s="350"/>
      <c r="E1483" s="350"/>
      <c r="F1483" s="351"/>
      <c r="G1483" s="332"/>
      <c r="H1483" s="218">
        <f>SUM(H1488,H1484)</f>
        <v>0</v>
      </c>
      <c r="I1483" s="218">
        <f t="shared" ref="I1483:N1483" si="1597">SUM(I1488,I1484)</f>
        <v>46000</v>
      </c>
      <c r="J1483" s="218">
        <f t="shared" si="1597"/>
        <v>46000</v>
      </c>
      <c r="K1483" s="218">
        <f t="shared" si="1597"/>
        <v>0</v>
      </c>
      <c r="L1483" s="218">
        <f t="shared" si="1597"/>
        <v>0</v>
      </c>
      <c r="M1483" s="218">
        <f t="shared" si="1597"/>
        <v>46000</v>
      </c>
      <c r="N1483" s="218">
        <f t="shared" si="1597"/>
        <v>11000</v>
      </c>
      <c r="O1483" s="218">
        <f t="shared" ref="O1483:P1483" si="1598">SUM(O1488,O1484)</f>
        <v>149000</v>
      </c>
      <c r="P1483" s="218">
        <f t="shared" si="1598"/>
        <v>0</v>
      </c>
      <c r="Q1483" s="218">
        <f t="shared" ref="Q1483" si="1599">SUM(Q1488,Q1484)</f>
        <v>0</v>
      </c>
    </row>
    <row r="1484" spans="1:17" ht="15" customHeight="1" x14ac:dyDescent="0.3">
      <c r="A1484" s="337" t="s">
        <v>177</v>
      </c>
      <c r="B1484" s="198" t="s">
        <v>129</v>
      </c>
      <c r="C1484" s="352"/>
      <c r="D1484" s="352"/>
      <c r="E1484" s="352"/>
      <c r="F1484" s="212"/>
      <c r="G1484" s="182"/>
      <c r="H1484" s="248">
        <f>SUM(H1485:H1486)</f>
        <v>0</v>
      </c>
      <c r="I1484" s="248">
        <f t="shared" ref="I1484:Q1484" si="1600">SUM(I1485:I1487)</f>
        <v>35000</v>
      </c>
      <c r="J1484" s="248">
        <f t="shared" si="1600"/>
        <v>35000</v>
      </c>
      <c r="K1484" s="248">
        <f t="shared" si="1600"/>
        <v>0</v>
      </c>
      <c r="L1484" s="248">
        <f t="shared" si="1600"/>
        <v>0</v>
      </c>
      <c r="M1484" s="248">
        <f t="shared" si="1600"/>
        <v>35000</v>
      </c>
      <c r="N1484" s="248">
        <f t="shared" si="1600"/>
        <v>0</v>
      </c>
      <c r="O1484" s="248">
        <f t="shared" si="1600"/>
        <v>75500</v>
      </c>
      <c r="P1484" s="248">
        <f t="shared" si="1600"/>
        <v>0</v>
      </c>
      <c r="Q1484" s="248">
        <f t="shared" si="1600"/>
        <v>0</v>
      </c>
    </row>
    <row r="1485" spans="1:17" x14ac:dyDescent="0.3">
      <c r="A1485" s="180">
        <v>4221</v>
      </c>
      <c r="B1485" s="204" t="s">
        <v>54</v>
      </c>
      <c r="C1485" s="352"/>
      <c r="D1485" s="352"/>
      <c r="E1485" s="352"/>
      <c r="F1485" s="212"/>
      <c r="G1485" s="182"/>
      <c r="H1485" s="212"/>
      <c r="I1485" s="212">
        <v>30000</v>
      </c>
      <c r="J1485" s="255">
        <v>30000</v>
      </c>
      <c r="K1485" s="255"/>
      <c r="L1485" s="220">
        <f>I1485-J1485+K1485</f>
        <v>0</v>
      </c>
      <c r="M1485" s="212">
        <v>30000</v>
      </c>
      <c r="N1485" s="353"/>
      <c r="O1485" s="212">
        <v>60000</v>
      </c>
      <c r="P1485" s="353"/>
      <c r="Q1485" s="353"/>
    </row>
    <row r="1486" spans="1:17" hidden="1" x14ac:dyDescent="0.3">
      <c r="A1486" s="180">
        <v>4225</v>
      </c>
      <c r="B1486" s="204" t="s">
        <v>105</v>
      </c>
      <c r="C1486" s="352"/>
      <c r="D1486" s="352"/>
      <c r="E1486" s="352"/>
      <c r="F1486" s="212"/>
      <c r="G1486" s="182"/>
      <c r="H1486" s="212"/>
      <c r="I1486" s="212">
        <v>5000</v>
      </c>
      <c r="J1486" s="255">
        <v>5000</v>
      </c>
      <c r="K1486" s="255"/>
      <c r="L1486" s="220">
        <f>I1486-J1486+K1486</f>
        <v>0</v>
      </c>
      <c r="M1486" s="212">
        <v>5000</v>
      </c>
      <c r="N1486" s="353"/>
      <c r="O1486" s="212"/>
      <c r="P1486" s="353"/>
      <c r="Q1486" s="353"/>
    </row>
    <row r="1487" spans="1:17" x14ac:dyDescent="0.3">
      <c r="A1487" s="222">
        <v>4227</v>
      </c>
      <c r="B1487" s="223" t="s">
        <v>60</v>
      </c>
      <c r="C1487" s="352"/>
      <c r="D1487" s="352"/>
      <c r="E1487" s="352"/>
      <c r="F1487" s="255"/>
      <c r="G1487" s="220"/>
      <c r="H1487" s="255"/>
      <c r="I1487" s="255"/>
      <c r="J1487" s="255"/>
      <c r="K1487" s="255"/>
      <c r="L1487" s="220"/>
      <c r="M1487" s="255"/>
      <c r="N1487" s="319"/>
      <c r="O1487" s="255">
        <v>15500</v>
      </c>
      <c r="P1487" s="319"/>
      <c r="Q1487" s="319"/>
    </row>
    <row r="1488" spans="1:17" x14ac:dyDescent="0.3">
      <c r="A1488" s="337" t="s">
        <v>181</v>
      </c>
      <c r="B1488" s="198" t="s">
        <v>61</v>
      </c>
      <c r="C1488" s="352"/>
      <c r="D1488" s="352"/>
      <c r="E1488" s="352"/>
      <c r="F1488" s="212"/>
      <c r="G1488" s="182"/>
      <c r="H1488" s="248">
        <f t="shared" ref="H1488:Q1488" si="1601">SUM(H1489)</f>
        <v>0</v>
      </c>
      <c r="I1488" s="248">
        <f t="shared" si="1601"/>
        <v>11000</v>
      </c>
      <c r="J1488" s="248">
        <f t="shared" si="1601"/>
        <v>11000</v>
      </c>
      <c r="K1488" s="248">
        <f t="shared" si="1601"/>
        <v>0</v>
      </c>
      <c r="L1488" s="248">
        <f t="shared" si="1601"/>
        <v>0</v>
      </c>
      <c r="M1488" s="248">
        <f t="shared" si="1601"/>
        <v>11000</v>
      </c>
      <c r="N1488" s="248">
        <f t="shared" si="1601"/>
        <v>11000</v>
      </c>
      <c r="O1488" s="248">
        <f t="shared" si="1601"/>
        <v>73500</v>
      </c>
      <c r="P1488" s="248">
        <f t="shared" si="1601"/>
        <v>0</v>
      </c>
      <c r="Q1488" s="248">
        <f t="shared" si="1601"/>
        <v>0</v>
      </c>
    </row>
    <row r="1489" spans="1:17" ht="18.600000000000001" customHeight="1" x14ac:dyDescent="0.3">
      <c r="A1489" s="180">
        <v>4231</v>
      </c>
      <c r="B1489" s="204" t="s">
        <v>62</v>
      </c>
      <c r="C1489" s="352"/>
      <c r="D1489" s="352"/>
      <c r="E1489" s="352"/>
      <c r="F1489" s="212"/>
      <c r="G1489" s="182"/>
      <c r="H1489" s="212"/>
      <c r="I1489" s="212">
        <v>11000</v>
      </c>
      <c r="J1489" s="255">
        <v>11000</v>
      </c>
      <c r="K1489" s="255"/>
      <c r="L1489" s="220">
        <f>I1489-J1489+K1489</f>
        <v>0</v>
      </c>
      <c r="M1489" s="212">
        <v>11000</v>
      </c>
      <c r="N1489" s="353">
        <v>11000</v>
      </c>
      <c r="O1489" s="212">
        <v>73500</v>
      </c>
      <c r="P1489" s="353"/>
      <c r="Q1489" s="353"/>
    </row>
    <row r="1490" spans="1:17" s="4" customFormat="1" ht="26.4" x14ac:dyDescent="0.3">
      <c r="A1490" s="242" t="s">
        <v>464</v>
      </c>
      <c r="B1490" s="231" t="s">
        <v>465</v>
      </c>
      <c r="C1490" s="345"/>
      <c r="D1490" s="346"/>
      <c r="E1490" s="346"/>
      <c r="F1490" s="347"/>
      <c r="G1490" s="347"/>
      <c r="H1490" s="348">
        <f>SUM(H1507)</f>
        <v>104985000</v>
      </c>
      <c r="I1490" s="348">
        <f>SUM(I1491)</f>
        <v>0</v>
      </c>
      <c r="J1490" s="348">
        <f t="shared" ref="J1490:Q1490" si="1602">SUM(J1491)</f>
        <v>0</v>
      </c>
      <c r="K1490" s="348">
        <f t="shared" si="1602"/>
        <v>0</v>
      </c>
      <c r="L1490" s="348">
        <f t="shared" si="1602"/>
        <v>0</v>
      </c>
      <c r="M1490" s="348">
        <f t="shared" si="1602"/>
        <v>0</v>
      </c>
      <c r="N1490" s="348">
        <f t="shared" si="1602"/>
        <v>0</v>
      </c>
      <c r="O1490" s="348">
        <f t="shared" si="1602"/>
        <v>1100000</v>
      </c>
      <c r="P1490" s="348">
        <f t="shared" si="1602"/>
        <v>600000</v>
      </c>
      <c r="Q1490" s="348">
        <f t="shared" si="1602"/>
        <v>550000</v>
      </c>
    </row>
    <row r="1491" spans="1:17" s="4" customFormat="1" ht="28.35" customHeight="1" x14ac:dyDescent="0.3">
      <c r="A1491" s="728" t="s">
        <v>241</v>
      </c>
      <c r="B1491" s="729"/>
      <c r="C1491" s="724"/>
      <c r="D1491" s="725"/>
      <c r="E1491" s="349"/>
      <c r="F1491" s="484"/>
      <c r="G1491" s="484"/>
      <c r="H1491" s="484">
        <f t="shared" ref="H1491" si="1603">SUM(H1507,H1510,H1526)</f>
        <v>148730000</v>
      </c>
      <c r="I1491" s="184">
        <f>SUM(I1492)</f>
        <v>0</v>
      </c>
      <c r="J1491" s="184">
        <f t="shared" ref="J1491:Q1492" si="1604">SUM(J1492)</f>
        <v>0</v>
      </c>
      <c r="K1491" s="184">
        <f t="shared" si="1604"/>
        <v>0</v>
      </c>
      <c r="L1491" s="184">
        <f t="shared" si="1604"/>
        <v>0</v>
      </c>
      <c r="M1491" s="184">
        <f t="shared" si="1604"/>
        <v>0</v>
      </c>
      <c r="N1491" s="184">
        <f t="shared" si="1604"/>
        <v>0</v>
      </c>
      <c r="O1491" s="184">
        <f t="shared" si="1604"/>
        <v>1100000</v>
      </c>
      <c r="P1491" s="184">
        <f t="shared" si="1604"/>
        <v>600000</v>
      </c>
      <c r="Q1491" s="184">
        <f t="shared" si="1604"/>
        <v>550000</v>
      </c>
    </row>
    <row r="1492" spans="1:17" s="4" customFormat="1" x14ac:dyDescent="0.3">
      <c r="A1492" s="174">
        <v>35</v>
      </c>
      <c r="B1492" s="186" t="s">
        <v>332</v>
      </c>
      <c r="C1492" s="350"/>
      <c r="D1492" s="350"/>
      <c r="E1492" s="350"/>
      <c r="F1492" s="351"/>
      <c r="G1492" s="332"/>
      <c r="H1492" s="218">
        <f t="shared" ref="H1492" si="1605">SUM(H1507)</f>
        <v>104985000</v>
      </c>
      <c r="I1492" s="218">
        <f>SUM(I1493)</f>
        <v>0</v>
      </c>
      <c r="J1492" s="218">
        <f t="shared" si="1604"/>
        <v>0</v>
      </c>
      <c r="K1492" s="218">
        <f t="shared" si="1604"/>
        <v>0</v>
      </c>
      <c r="L1492" s="218">
        <f t="shared" si="1604"/>
        <v>0</v>
      </c>
      <c r="M1492" s="218">
        <f t="shared" si="1604"/>
        <v>0</v>
      </c>
      <c r="N1492" s="218">
        <f t="shared" si="1604"/>
        <v>0</v>
      </c>
      <c r="O1492" s="218">
        <f t="shared" si="1604"/>
        <v>1100000</v>
      </c>
      <c r="P1492" s="218">
        <f t="shared" si="1604"/>
        <v>600000</v>
      </c>
      <c r="Q1492" s="218">
        <f t="shared" si="1604"/>
        <v>550000</v>
      </c>
    </row>
    <row r="1493" spans="1:17" s="4" customFormat="1" ht="26.4" x14ac:dyDescent="0.3">
      <c r="A1493" s="337">
        <v>353</v>
      </c>
      <c r="B1493" s="178" t="s">
        <v>235</v>
      </c>
      <c r="C1493" s="352"/>
      <c r="D1493" s="352"/>
      <c r="E1493" s="352"/>
      <c r="F1493" s="212"/>
      <c r="G1493" s="182"/>
      <c r="H1493" s="248">
        <f t="shared" ref="H1493" si="1606">SUM(H1507)</f>
        <v>104985000</v>
      </c>
      <c r="I1493" s="248">
        <f>SUM(I1494)</f>
        <v>0</v>
      </c>
      <c r="J1493" s="248">
        <f t="shared" ref="J1493:Q1493" si="1607">SUM(J1494)</f>
        <v>0</v>
      </c>
      <c r="K1493" s="248">
        <f t="shared" si="1607"/>
        <v>0</v>
      </c>
      <c r="L1493" s="248">
        <f t="shared" si="1607"/>
        <v>0</v>
      </c>
      <c r="M1493" s="248">
        <f t="shared" si="1607"/>
        <v>0</v>
      </c>
      <c r="N1493" s="248">
        <f t="shared" si="1607"/>
        <v>0</v>
      </c>
      <c r="O1493" s="248">
        <f t="shared" si="1607"/>
        <v>1100000</v>
      </c>
      <c r="P1493" s="248">
        <f t="shared" si="1607"/>
        <v>600000</v>
      </c>
      <c r="Q1493" s="248">
        <f t="shared" si="1607"/>
        <v>550000</v>
      </c>
    </row>
    <row r="1494" spans="1:17" s="4" customFormat="1" ht="26.4" x14ac:dyDescent="0.3">
      <c r="A1494" s="180">
        <v>3531</v>
      </c>
      <c r="B1494" s="181" t="s">
        <v>235</v>
      </c>
      <c r="C1494" s="352"/>
      <c r="D1494" s="352"/>
      <c r="E1494" s="352"/>
      <c r="F1494" s="212"/>
      <c r="G1494" s="182"/>
      <c r="H1494" s="212"/>
      <c r="I1494" s="212"/>
      <c r="J1494" s="255"/>
      <c r="K1494" s="255"/>
      <c r="L1494" s="220"/>
      <c r="M1494" s="212"/>
      <c r="N1494" s="353"/>
      <c r="O1494" s="212">
        <v>1100000</v>
      </c>
      <c r="P1494" s="353">
        <v>600000</v>
      </c>
      <c r="Q1494" s="353">
        <v>550000</v>
      </c>
    </row>
    <row r="1495" spans="1:17" s="4" customFormat="1" ht="26.4" x14ac:dyDescent="0.3">
      <c r="A1495" s="242" t="s">
        <v>471</v>
      </c>
      <c r="B1495" s="231" t="s">
        <v>472</v>
      </c>
      <c r="C1495" s="345"/>
      <c r="D1495" s="346"/>
      <c r="E1495" s="346"/>
      <c r="F1495" s="347"/>
      <c r="G1495" s="347"/>
      <c r="H1495" s="348">
        <f>SUM(H1496)</f>
        <v>423266000</v>
      </c>
      <c r="I1495" s="348">
        <f>SUM(I1496)</f>
        <v>647662000</v>
      </c>
      <c r="J1495" s="348">
        <f t="shared" ref="J1495:K1495" si="1608">SUM(J1496)</f>
        <v>171083200</v>
      </c>
      <c r="K1495" s="348">
        <f t="shared" si="1608"/>
        <v>269665500</v>
      </c>
      <c r="L1495" s="348">
        <f>SUM(L1496)</f>
        <v>0</v>
      </c>
      <c r="M1495" s="348">
        <f t="shared" ref="M1495:N1495" si="1609">SUM(M1496)</f>
        <v>0</v>
      </c>
      <c r="N1495" s="348">
        <f t="shared" si="1609"/>
        <v>0</v>
      </c>
      <c r="O1495" s="348">
        <f t="shared" ref="O1495" si="1610">SUM(O1496)</f>
        <v>39500</v>
      </c>
      <c r="P1495" s="348">
        <f t="shared" ref="P1495:Q1495" si="1611">SUM(P1496)</f>
        <v>35000</v>
      </c>
      <c r="Q1495" s="348">
        <f t="shared" si="1611"/>
        <v>48000</v>
      </c>
    </row>
    <row r="1496" spans="1:17" s="4" customFormat="1" ht="28.5" customHeight="1" x14ac:dyDescent="0.3">
      <c r="A1496" s="720" t="s">
        <v>241</v>
      </c>
      <c r="B1496" s="720"/>
      <c r="C1496" s="721"/>
      <c r="D1496" s="721"/>
      <c r="E1496" s="349"/>
      <c r="F1496" s="508"/>
      <c r="G1496" s="508"/>
      <c r="H1496" s="508">
        <f>SUM(H1497,H1500,H1520)</f>
        <v>423266000</v>
      </c>
      <c r="I1496" s="184">
        <f>SUM(I1497,I1500,I1520)</f>
        <v>647662000</v>
      </c>
      <c r="J1496" s="184">
        <f>SUM(J1497,J1500,J1520)</f>
        <v>171083200</v>
      </c>
      <c r="K1496" s="184">
        <f>SUM(K1497,K1500,K1520)</f>
        <v>269665500</v>
      </c>
      <c r="L1496" s="184">
        <f>SUM(L1497+L1500)</f>
        <v>0</v>
      </c>
      <c r="M1496" s="184">
        <f t="shared" ref="M1496:N1496" si="1612">SUM(M1497+M1500)</f>
        <v>0</v>
      </c>
      <c r="N1496" s="184">
        <f t="shared" si="1612"/>
        <v>0</v>
      </c>
      <c r="O1496" s="184">
        <f t="shared" ref="O1496" si="1613">SUM(O1497+O1500)</f>
        <v>39500</v>
      </c>
      <c r="P1496" s="184">
        <f t="shared" ref="P1496:Q1496" si="1614">SUM(P1497+P1500)</f>
        <v>35000</v>
      </c>
      <c r="Q1496" s="184">
        <f t="shared" si="1614"/>
        <v>48000</v>
      </c>
    </row>
    <row r="1497" spans="1:17" s="4" customFormat="1" x14ac:dyDescent="0.3">
      <c r="A1497" s="185" t="s">
        <v>315</v>
      </c>
      <c r="B1497" s="186" t="s">
        <v>316</v>
      </c>
      <c r="C1497" s="350"/>
      <c r="D1497" s="350"/>
      <c r="E1497" s="350"/>
      <c r="F1497" s="351"/>
      <c r="G1497" s="332"/>
      <c r="H1497" s="218">
        <f t="shared" ref="H1497:K1498" si="1615">SUM(H1498)</f>
        <v>0</v>
      </c>
      <c r="I1497" s="218">
        <f t="shared" si="1615"/>
        <v>55000</v>
      </c>
      <c r="J1497" s="218">
        <f t="shared" si="1615"/>
        <v>55000</v>
      </c>
      <c r="K1497" s="218">
        <f t="shared" si="1615"/>
        <v>0</v>
      </c>
      <c r="L1497" s="218">
        <f>SUM(L1498)</f>
        <v>0</v>
      </c>
      <c r="M1497" s="218">
        <f t="shared" ref="M1497:N1497" si="1616">SUM(M1498)</f>
        <v>0</v>
      </c>
      <c r="N1497" s="218">
        <f t="shared" si="1616"/>
        <v>0</v>
      </c>
      <c r="O1497" s="218">
        <f t="shared" ref="O1497" si="1617">SUM(O1498)</f>
        <v>28500</v>
      </c>
      <c r="P1497" s="218">
        <f t="shared" ref="P1497:Q1497" si="1618">SUM(P1498)</f>
        <v>30500</v>
      </c>
      <c r="Q1497" s="218">
        <f t="shared" si="1618"/>
        <v>30500</v>
      </c>
    </row>
    <row r="1498" spans="1:17" s="4" customFormat="1" x14ac:dyDescent="0.3">
      <c r="A1498" s="198" t="s">
        <v>143</v>
      </c>
      <c r="B1498" s="198" t="s">
        <v>220</v>
      </c>
      <c r="C1498" s="352"/>
      <c r="D1498" s="352"/>
      <c r="E1498" s="352"/>
      <c r="F1498" s="212"/>
      <c r="G1498" s="182"/>
      <c r="H1498" s="248">
        <f t="shared" si="1615"/>
        <v>0</v>
      </c>
      <c r="I1498" s="248">
        <f t="shared" si="1615"/>
        <v>55000</v>
      </c>
      <c r="J1498" s="248">
        <f t="shared" si="1615"/>
        <v>55000</v>
      </c>
      <c r="K1498" s="248">
        <f t="shared" si="1615"/>
        <v>0</v>
      </c>
      <c r="L1498" s="248">
        <f>SUM(L1499)</f>
        <v>0</v>
      </c>
      <c r="M1498" s="248">
        <f t="shared" ref="M1498:N1498" si="1619">SUM(M1499)</f>
        <v>0</v>
      </c>
      <c r="N1498" s="248">
        <f t="shared" si="1619"/>
        <v>0</v>
      </c>
      <c r="O1498" s="248">
        <f t="shared" ref="O1498" si="1620">SUM(O1499)</f>
        <v>28500</v>
      </c>
      <c r="P1498" s="248">
        <f t="shared" ref="P1498:Q1498" si="1621">SUM(P1499)</f>
        <v>30500</v>
      </c>
      <c r="Q1498" s="248">
        <f t="shared" si="1621"/>
        <v>30500</v>
      </c>
    </row>
    <row r="1499" spans="1:17" s="4" customFormat="1" x14ac:dyDescent="0.3">
      <c r="A1499" s="180" t="s">
        <v>144</v>
      </c>
      <c r="B1499" s="204" t="s">
        <v>5</v>
      </c>
      <c r="C1499" s="352"/>
      <c r="D1499" s="352"/>
      <c r="E1499" s="352"/>
      <c r="F1499" s="212"/>
      <c r="G1499" s="182"/>
      <c r="H1499" s="212"/>
      <c r="I1499" s="212">
        <v>55000</v>
      </c>
      <c r="J1499" s="255">
        <v>55000</v>
      </c>
      <c r="K1499" s="255"/>
      <c r="L1499" s="220"/>
      <c r="M1499" s="212"/>
      <c r="N1499" s="353"/>
      <c r="O1499" s="212">
        <v>28500</v>
      </c>
      <c r="P1499" s="353">
        <v>30500</v>
      </c>
      <c r="Q1499" s="353">
        <v>30500</v>
      </c>
    </row>
    <row r="1500" spans="1:17" s="4" customFormat="1" x14ac:dyDescent="0.3">
      <c r="A1500" s="185" t="s">
        <v>317</v>
      </c>
      <c r="B1500" s="185" t="s">
        <v>318</v>
      </c>
      <c r="C1500" s="350"/>
      <c r="D1500" s="350"/>
      <c r="E1500" s="350"/>
      <c r="F1500" s="351"/>
      <c r="G1500" s="332"/>
      <c r="H1500" s="218">
        <f>SUM(H1501,H1508,H1511,H1518)</f>
        <v>423266000</v>
      </c>
      <c r="I1500" s="218">
        <f>SUM(I1501,I1508,I1511,I1518)</f>
        <v>647607000</v>
      </c>
      <c r="J1500" s="218">
        <f>SUM(J1501,J1508,J1511,J1518)</f>
        <v>171028200</v>
      </c>
      <c r="K1500" s="218">
        <f>SUM(K1501,K1508,K1511,K1518)</f>
        <v>269665500</v>
      </c>
      <c r="L1500" s="218">
        <f>SUM(L1501+L1503)</f>
        <v>0</v>
      </c>
      <c r="M1500" s="218">
        <f t="shared" ref="M1500:N1500" si="1622">SUM(M1501+M1503)</f>
        <v>0</v>
      </c>
      <c r="N1500" s="218">
        <f t="shared" si="1622"/>
        <v>0</v>
      </c>
      <c r="O1500" s="218">
        <f t="shared" ref="O1500" si="1623">SUM(O1501+O1503)</f>
        <v>11000</v>
      </c>
      <c r="P1500" s="218">
        <f t="shared" ref="P1500:Q1500" si="1624">SUM(P1501+P1503)</f>
        <v>4500</v>
      </c>
      <c r="Q1500" s="218">
        <f t="shared" si="1624"/>
        <v>17500</v>
      </c>
    </row>
    <row r="1501" spans="1:17" s="4" customFormat="1" x14ac:dyDescent="0.3">
      <c r="A1501" s="333" t="s">
        <v>149</v>
      </c>
      <c r="B1501" s="284" t="s">
        <v>12</v>
      </c>
      <c r="C1501" s="352"/>
      <c r="D1501" s="352"/>
      <c r="E1501" s="352"/>
      <c r="F1501" s="212"/>
      <c r="G1501" s="182"/>
      <c r="H1501" s="248">
        <f>SUM(H1502:H1507)</f>
        <v>316555000</v>
      </c>
      <c r="I1501" s="248">
        <f>SUM(I1502:I1507)</f>
        <v>483429000</v>
      </c>
      <c r="J1501" s="248">
        <f>SUM(J1502:J1507)</f>
        <v>127464900</v>
      </c>
      <c r="K1501" s="248">
        <f>SUM(K1502:K1507)</f>
        <v>205717000</v>
      </c>
      <c r="L1501" s="248">
        <f>SUM(L1502)</f>
        <v>0</v>
      </c>
      <c r="M1501" s="248">
        <f t="shared" ref="M1501:N1501" si="1625">SUM(M1502)</f>
        <v>0</v>
      </c>
      <c r="N1501" s="248">
        <f t="shared" si="1625"/>
        <v>0</v>
      </c>
      <c r="O1501" s="248">
        <f t="shared" ref="O1501" si="1626">SUM(O1502)</f>
        <v>1500</v>
      </c>
      <c r="P1501" s="248">
        <f t="shared" ref="P1501:Q1501" si="1627">SUM(P1502)</f>
        <v>1500</v>
      </c>
      <c r="Q1501" s="248">
        <f t="shared" si="1627"/>
        <v>1000</v>
      </c>
    </row>
    <row r="1502" spans="1:17" s="4" customFormat="1" ht="12" customHeight="1" x14ac:dyDescent="0.3">
      <c r="A1502" s="266">
        <v>3211</v>
      </c>
      <c r="B1502" s="267" t="s">
        <v>13</v>
      </c>
      <c r="C1502" s="352"/>
      <c r="D1502" s="352"/>
      <c r="E1502" s="352"/>
      <c r="F1502" s="212"/>
      <c r="G1502" s="182"/>
      <c r="H1502" s="212"/>
      <c r="I1502" s="212">
        <v>14000</v>
      </c>
      <c r="J1502" s="255">
        <v>14000</v>
      </c>
      <c r="K1502" s="255"/>
      <c r="L1502" s="220"/>
      <c r="M1502" s="212"/>
      <c r="N1502" s="353"/>
      <c r="O1502" s="212">
        <v>1500</v>
      </c>
      <c r="P1502" s="353">
        <v>1500</v>
      </c>
      <c r="Q1502" s="353">
        <v>1000</v>
      </c>
    </row>
    <row r="1503" spans="1:17" s="4" customFormat="1" x14ac:dyDescent="0.3">
      <c r="A1503" s="338" t="s">
        <v>159</v>
      </c>
      <c r="B1503" s="247" t="s">
        <v>123</v>
      </c>
      <c r="C1503" s="352"/>
      <c r="D1503" s="352"/>
      <c r="E1503" s="352"/>
      <c r="F1503" s="212"/>
      <c r="G1503" s="182"/>
      <c r="H1503" s="248">
        <f>SUM(H1507:H1509)</f>
        <v>211570000</v>
      </c>
      <c r="I1503" s="248">
        <f t="shared" ref="I1503:K1503" si="1628">SUM(I1507:I1510)</f>
        <v>337478000</v>
      </c>
      <c r="J1503" s="248">
        <f t="shared" si="1628"/>
        <v>84959600</v>
      </c>
      <c r="K1503" s="248">
        <f t="shared" si="1628"/>
        <v>142070500</v>
      </c>
      <c r="L1503" s="248">
        <f>SUM(L1504:L1506)</f>
        <v>0</v>
      </c>
      <c r="M1503" s="248">
        <f t="shared" ref="M1503:O1503" si="1629">SUM(M1504:M1506)</f>
        <v>0</v>
      </c>
      <c r="N1503" s="248">
        <f t="shared" si="1629"/>
        <v>0</v>
      </c>
      <c r="O1503" s="248">
        <f t="shared" si="1629"/>
        <v>9500</v>
      </c>
      <c r="P1503" s="248">
        <f t="shared" ref="P1503" si="1630">SUM(P1504:P1506)</f>
        <v>3000</v>
      </c>
      <c r="Q1503" s="248">
        <f t="shared" ref="Q1503" si="1631">SUM(Q1504:Q1506)</f>
        <v>16500</v>
      </c>
    </row>
    <row r="1504" spans="1:17" s="4" customFormat="1" x14ac:dyDescent="0.3">
      <c r="A1504" s="249">
        <v>3235</v>
      </c>
      <c r="B1504" s="215" t="s">
        <v>28</v>
      </c>
      <c r="C1504" s="352"/>
      <c r="D1504" s="352"/>
      <c r="E1504" s="352"/>
      <c r="F1504" s="255"/>
      <c r="G1504" s="220"/>
      <c r="H1504" s="255"/>
      <c r="I1504" s="255">
        <v>3000</v>
      </c>
      <c r="J1504" s="255">
        <v>3000</v>
      </c>
      <c r="K1504" s="255"/>
      <c r="L1504" s="220"/>
      <c r="M1504" s="255"/>
      <c r="N1504" s="319"/>
      <c r="O1504" s="255">
        <v>500</v>
      </c>
      <c r="P1504" s="319"/>
      <c r="Q1504" s="319">
        <v>500</v>
      </c>
    </row>
    <row r="1505" spans="1:25" s="4" customFormat="1" x14ac:dyDescent="0.3">
      <c r="A1505" s="249">
        <v>3237</v>
      </c>
      <c r="B1505" s="215" t="s">
        <v>30</v>
      </c>
      <c r="C1505" s="352"/>
      <c r="D1505" s="352"/>
      <c r="E1505" s="352"/>
      <c r="F1505" s="212"/>
      <c r="G1505" s="182"/>
      <c r="H1505" s="212"/>
      <c r="I1505" s="212">
        <v>11000</v>
      </c>
      <c r="J1505" s="255">
        <v>11000</v>
      </c>
      <c r="K1505" s="255"/>
      <c r="L1505" s="220"/>
      <c r="M1505" s="212"/>
      <c r="N1505" s="353"/>
      <c r="O1505" s="212">
        <v>1500</v>
      </c>
      <c r="P1505" s="353">
        <v>2000</v>
      </c>
      <c r="Q1505" s="353">
        <v>5000</v>
      </c>
    </row>
    <row r="1506" spans="1:25" s="4" customFormat="1" x14ac:dyDescent="0.3">
      <c r="A1506" s="249">
        <v>3239</v>
      </c>
      <c r="B1506" s="215" t="s">
        <v>31</v>
      </c>
      <c r="C1506" s="319"/>
      <c r="D1506" s="182"/>
      <c r="E1506" s="182"/>
      <c r="F1506" s="182"/>
      <c r="G1506" s="182"/>
      <c r="H1506" s="182"/>
      <c r="I1506" s="191"/>
      <c r="J1506" s="233"/>
      <c r="K1506" s="233"/>
      <c r="L1506" s="233"/>
      <c r="M1506" s="182"/>
      <c r="N1506" s="182"/>
      <c r="O1506" s="182">
        <v>7500</v>
      </c>
      <c r="P1506" s="182">
        <v>1000</v>
      </c>
      <c r="Q1506" s="182">
        <v>11000</v>
      </c>
    </row>
    <row r="1507" spans="1:25" ht="26.4" x14ac:dyDescent="0.3">
      <c r="A1507" s="354" t="s">
        <v>90</v>
      </c>
      <c r="B1507" s="354" t="s">
        <v>200</v>
      </c>
      <c r="C1507" s="355">
        <f t="shared" ref="C1507:Q1507" si="1632">SUM(C1508)</f>
        <v>178730200</v>
      </c>
      <c r="D1507" s="355">
        <f t="shared" si="1632"/>
        <v>61901200</v>
      </c>
      <c r="E1507" s="355">
        <f t="shared" si="1632"/>
        <v>24935000</v>
      </c>
      <c r="F1507" s="355">
        <f t="shared" si="1632"/>
        <v>141764000</v>
      </c>
      <c r="G1507" s="355">
        <f t="shared" si="1632"/>
        <v>98323000</v>
      </c>
      <c r="H1507" s="355">
        <f t="shared" si="1632"/>
        <v>104985000</v>
      </c>
      <c r="I1507" s="355">
        <f t="shared" si="1632"/>
        <v>145923000</v>
      </c>
      <c r="J1507" s="355">
        <f t="shared" si="1632"/>
        <v>42477300</v>
      </c>
      <c r="K1507" s="355">
        <f t="shared" si="1632"/>
        <v>63646500</v>
      </c>
      <c r="L1507" s="355">
        <f t="shared" si="1632"/>
        <v>167092200</v>
      </c>
      <c r="M1507" s="355">
        <f t="shared" si="1632"/>
        <v>206622000</v>
      </c>
      <c r="N1507" s="355">
        <f t="shared" si="1632"/>
        <v>141133000</v>
      </c>
      <c r="O1507" s="355">
        <f t="shared" si="1632"/>
        <v>270930350</v>
      </c>
      <c r="P1507" s="355">
        <f t="shared" si="1632"/>
        <v>177267613</v>
      </c>
      <c r="Q1507" s="355">
        <f t="shared" si="1632"/>
        <v>116618000</v>
      </c>
    </row>
    <row r="1508" spans="1:25" x14ac:dyDescent="0.3">
      <c r="A1508" s="356" t="s">
        <v>195</v>
      </c>
      <c r="B1508" s="356" t="s">
        <v>196</v>
      </c>
      <c r="C1508" s="357">
        <f t="shared" ref="C1508:H1508" si="1633">SUM(C1509:C1517)</f>
        <v>178730200</v>
      </c>
      <c r="D1508" s="357">
        <f t="shared" si="1633"/>
        <v>61901200</v>
      </c>
      <c r="E1508" s="357">
        <f t="shared" si="1633"/>
        <v>24935000</v>
      </c>
      <c r="F1508" s="357">
        <f t="shared" si="1633"/>
        <v>141764000</v>
      </c>
      <c r="G1508" s="357">
        <f t="shared" si="1633"/>
        <v>98323000</v>
      </c>
      <c r="H1508" s="357">
        <f t="shared" si="1633"/>
        <v>104985000</v>
      </c>
      <c r="I1508" s="357">
        <f>SUM(I1509:I1518)</f>
        <v>145923000</v>
      </c>
      <c r="J1508" s="357">
        <f>SUM(J1509:J1518)</f>
        <v>42477300</v>
      </c>
      <c r="K1508" s="357">
        <f>SUM(K1509:K1518)</f>
        <v>63646500</v>
      </c>
      <c r="L1508" s="357">
        <f>SUM(L1509:L1518)</f>
        <v>167092200</v>
      </c>
      <c r="M1508" s="357">
        <f>SUM(M1509:M1517)</f>
        <v>206622000</v>
      </c>
      <c r="N1508" s="357">
        <f>SUM(N1509:N1517)</f>
        <v>141133000</v>
      </c>
      <c r="O1508" s="357">
        <f>SUM(O1509:O1518)</f>
        <v>270930350</v>
      </c>
      <c r="P1508" s="357">
        <f>SUM(P1509:P1518)</f>
        <v>177267613</v>
      </c>
      <c r="Q1508" s="357">
        <f>SUM(Q1509:Q1518)</f>
        <v>116618000</v>
      </c>
    </row>
    <row r="1509" spans="1:25" x14ac:dyDescent="0.3">
      <c r="A1509" s="358"/>
      <c r="B1509" s="358" t="s">
        <v>201</v>
      </c>
      <c r="C1509" s="359">
        <f>SUM(C10,C83,C110)</f>
        <v>1693000</v>
      </c>
      <c r="D1509" s="359">
        <f>SUM(D10,D83,D110)</f>
        <v>55500</v>
      </c>
      <c r="E1509" s="359">
        <f>SUM(E10,E83,E110)</f>
        <v>529000</v>
      </c>
      <c r="F1509" s="182">
        <f t="shared" ref="F1509:F1517" si="1634">C1509-D1509+E1509</f>
        <v>2166500</v>
      </c>
      <c r="G1509" s="359">
        <f t="shared" ref="G1509:Q1509" si="1635">SUM(G10,G83,G110)</f>
        <v>1620000</v>
      </c>
      <c r="H1509" s="359">
        <f t="shared" si="1635"/>
        <v>1600000</v>
      </c>
      <c r="I1509" s="359">
        <f t="shared" si="1635"/>
        <v>1610000</v>
      </c>
      <c r="J1509" s="359">
        <f t="shared" si="1635"/>
        <v>5000</v>
      </c>
      <c r="K1509" s="359">
        <f t="shared" si="1635"/>
        <v>1005000</v>
      </c>
      <c r="L1509" s="359">
        <f t="shared" si="1635"/>
        <v>2610000</v>
      </c>
      <c r="M1509" s="359">
        <f t="shared" si="1635"/>
        <v>1600000</v>
      </c>
      <c r="N1509" s="359">
        <f t="shared" si="1635"/>
        <v>1600000</v>
      </c>
      <c r="O1509" s="359">
        <f t="shared" si="1635"/>
        <v>2610000</v>
      </c>
      <c r="P1509" s="359">
        <f t="shared" si="1635"/>
        <v>2610000</v>
      </c>
      <c r="Q1509" s="359">
        <f t="shared" si="1635"/>
        <v>2610000</v>
      </c>
    </row>
    <row r="1510" spans="1:25" x14ac:dyDescent="0.3">
      <c r="A1510" s="360"/>
      <c r="B1510" s="360" t="s">
        <v>202</v>
      </c>
      <c r="C1510" s="359">
        <f>SUM(C14,C139,C155,C176,C214,C219,C272,C288,C181)</f>
        <v>45605000</v>
      </c>
      <c r="D1510" s="359">
        <f>SUM(D14,D139,D155,D176,D214,D219,D272,D288,D181)</f>
        <v>1623000</v>
      </c>
      <c r="E1510" s="359">
        <f>SUM(E14,E139,E155,E176,E214,E219,E272,E288,E181)</f>
        <v>20061000</v>
      </c>
      <c r="F1510" s="182">
        <f t="shared" si="1634"/>
        <v>64043000</v>
      </c>
      <c r="G1510" s="359">
        <f>SUM(G14,G139,G155,G176,G214,G219,G272,G288,G181)</f>
        <v>43745000</v>
      </c>
      <c r="H1510" s="359">
        <f>SUM(H14,H139,H155,H176,H214,H219,H272,H288,H181)</f>
        <v>43745000</v>
      </c>
      <c r="I1510" s="359">
        <f t="shared" ref="I1510:Q1510" si="1636">SUM(I14,I139,I219,I288)</f>
        <v>44022000</v>
      </c>
      <c r="J1510" s="359">
        <f t="shared" si="1636"/>
        <v>0</v>
      </c>
      <c r="K1510" s="359">
        <f t="shared" si="1636"/>
        <v>13772500</v>
      </c>
      <c r="L1510" s="359">
        <f t="shared" si="1636"/>
        <v>57794500</v>
      </c>
      <c r="M1510" s="359">
        <f t="shared" si="1636"/>
        <v>44022000</v>
      </c>
      <c r="N1510" s="359">
        <f t="shared" si="1636"/>
        <v>44022000</v>
      </c>
      <c r="O1510" s="359">
        <f t="shared" si="1636"/>
        <v>68384000</v>
      </c>
      <c r="P1510" s="359">
        <f t="shared" si="1636"/>
        <v>68448500</v>
      </c>
      <c r="Q1510" s="359">
        <f t="shared" si="1636"/>
        <v>57530500</v>
      </c>
    </row>
    <row r="1511" spans="1:25" x14ac:dyDescent="0.3">
      <c r="A1511" s="360"/>
      <c r="B1511" s="360" t="s">
        <v>203</v>
      </c>
      <c r="C1511" s="359">
        <f t="shared" ref="C1511:H1511" si="1637">SUM(C18,C183,C335,C395,C417,C438,C477,C516)</f>
        <v>2563500</v>
      </c>
      <c r="D1511" s="359">
        <f t="shared" si="1637"/>
        <v>953000</v>
      </c>
      <c r="E1511" s="359">
        <f t="shared" si="1637"/>
        <v>878500</v>
      </c>
      <c r="F1511" s="359">
        <f t="shared" si="1637"/>
        <v>2489000</v>
      </c>
      <c r="G1511" s="359">
        <f t="shared" si="1637"/>
        <v>2264000</v>
      </c>
      <c r="H1511" s="359">
        <f t="shared" si="1637"/>
        <v>1726000</v>
      </c>
      <c r="I1511" s="359">
        <f t="shared" ref="I1511:Q1511" si="1638">SUM(I18,I183,I335,I395,I417,I438,I477,I516,I1343,I1362)</f>
        <v>3645000</v>
      </c>
      <c r="J1511" s="359">
        <f t="shared" si="1638"/>
        <v>1086000</v>
      </c>
      <c r="K1511" s="359">
        <f t="shared" si="1638"/>
        <v>302000</v>
      </c>
      <c r="L1511" s="359">
        <f t="shared" si="1638"/>
        <v>2861000</v>
      </c>
      <c r="M1511" s="359">
        <f t="shared" si="1638"/>
        <v>2119000</v>
      </c>
      <c r="N1511" s="359">
        <f t="shared" si="1638"/>
        <v>1619000</v>
      </c>
      <c r="O1511" s="359">
        <f t="shared" si="1638"/>
        <v>2686500</v>
      </c>
      <c r="P1511" s="359">
        <f t="shared" si="1638"/>
        <v>2006500</v>
      </c>
      <c r="Q1511" s="359">
        <f t="shared" si="1638"/>
        <v>1614000</v>
      </c>
    </row>
    <row r="1512" spans="1:25" x14ac:dyDescent="0.3">
      <c r="A1512" s="360"/>
      <c r="B1512" s="360" t="s">
        <v>204</v>
      </c>
      <c r="C1512" s="359">
        <f>SUM(C43,C277,C531,C143)</f>
        <v>129000</v>
      </c>
      <c r="D1512" s="359">
        <f>SUM(D43,D277,D531,D143)</f>
        <v>63500</v>
      </c>
      <c r="E1512" s="359">
        <f>SUM(E43,E277,E531,E143)</f>
        <v>44500</v>
      </c>
      <c r="F1512" s="182">
        <f t="shared" si="1634"/>
        <v>110000</v>
      </c>
      <c r="G1512" s="359">
        <f>SUM(G43,G277,G531,G143)</f>
        <v>129000</v>
      </c>
      <c r="H1512" s="359">
        <f>SUM(H43,H277,H531,H143)</f>
        <v>129000</v>
      </c>
      <c r="I1512" s="359">
        <f>SUM(I43,I164,I531)</f>
        <v>129000</v>
      </c>
      <c r="J1512" s="359">
        <f>SUM(J43,J164,J531)</f>
        <v>49000</v>
      </c>
      <c r="K1512" s="359">
        <f>SUM(K43,K164,K531)</f>
        <v>530000</v>
      </c>
      <c r="L1512" s="359">
        <f>SUM(L43,L147,L164,L531)</f>
        <v>610000</v>
      </c>
      <c r="M1512" s="359">
        <f t="shared" ref="M1512:Q1512" si="1639">SUM(M43,M147,M164,M531)</f>
        <v>129000</v>
      </c>
      <c r="N1512" s="359">
        <f t="shared" si="1639"/>
        <v>129000</v>
      </c>
      <c r="O1512" s="359">
        <f t="shared" si="1639"/>
        <v>5375000</v>
      </c>
      <c r="P1512" s="359">
        <f t="shared" si="1639"/>
        <v>164000</v>
      </c>
      <c r="Q1512" s="359">
        <f t="shared" si="1639"/>
        <v>164000</v>
      </c>
      <c r="W1512" s="3"/>
    </row>
    <row r="1513" spans="1:25" x14ac:dyDescent="0.3">
      <c r="A1513" s="360"/>
      <c r="B1513" s="360" t="s">
        <v>207</v>
      </c>
      <c r="C1513" s="359">
        <f>SUM(C604)</f>
        <v>1158000</v>
      </c>
      <c r="D1513" s="359">
        <f>SUM(D604)</f>
        <v>0</v>
      </c>
      <c r="E1513" s="359">
        <f>SUM(E604)</f>
        <v>0</v>
      </c>
      <c r="F1513" s="182">
        <f t="shared" si="1634"/>
        <v>1158000</v>
      </c>
      <c r="G1513" s="359">
        <f t="shared" ref="G1513:Q1513" si="1640">SUM(G604)</f>
        <v>4000</v>
      </c>
      <c r="H1513" s="359">
        <f t="shared" si="1640"/>
        <v>0</v>
      </c>
      <c r="I1513" s="359">
        <f t="shared" si="1640"/>
        <v>134000</v>
      </c>
      <c r="J1513" s="359">
        <f t="shared" si="1640"/>
        <v>0</v>
      </c>
      <c r="K1513" s="359">
        <f t="shared" si="1640"/>
        <v>2000</v>
      </c>
      <c r="L1513" s="359">
        <f t="shared" si="1640"/>
        <v>136000</v>
      </c>
      <c r="M1513" s="359">
        <f t="shared" si="1640"/>
        <v>0</v>
      </c>
      <c r="N1513" s="359">
        <f t="shared" si="1640"/>
        <v>0</v>
      </c>
      <c r="O1513" s="359">
        <f t="shared" si="1640"/>
        <v>0</v>
      </c>
      <c r="P1513" s="359">
        <f t="shared" si="1640"/>
        <v>0</v>
      </c>
      <c r="Q1513" s="359">
        <f t="shared" si="1640"/>
        <v>0</v>
      </c>
    </row>
    <row r="1514" spans="1:25" x14ac:dyDescent="0.3">
      <c r="A1514" s="360"/>
      <c r="B1514" s="358" t="s">
        <v>268</v>
      </c>
      <c r="C1514" s="361">
        <f>C171+C621+C681+C721+C733+C738+C630</f>
        <v>47803500</v>
      </c>
      <c r="D1514" s="361">
        <f>D171+D621+D681+D721+D733+D738+D630</f>
        <v>5290300</v>
      </c>
      <c r="E1514" s="361">
        <f>E171+E621+E681+E721+E733+E738+E630</f>
        <v>210600</v>
      </c>
      <c r="F1514" s="182">
        <f t="shared" si="1634"/>
        <v>42723800</v>
      </c>
      <c r="G1514" s="361">
        <f>G171+G621+G681+G721+G733+G738+G630</f>
        <v>2211000</v>
      </c>
      <c r="H1514" s="361">
        <f>H171+H621+H681+H721+H733+H738+H630</f>
        <v>2130000</v>
      </c>
      <c r="I1514" s="361">
        <f t="shared" ref="I1514:N1514" si="1641">I171+I621+I630++I681+I721+I733+I738+I1382+I1387+I1401+I1463</f>
        <v>20000000</v>
      </c>
      <c r="J1514" s="361">
        <f t="shared" si="1641"/>
        <v>5156000</v>
      </c>
      <c r="K1514" s="361">
        <f t="shared" si="1641"/>
        <v>8195000</v>
      </c>
      <c r="L1514" s="361">
        <f t="shared" si="1641"/>
        <v>23039000</v>
      </c>
      <c r="M1514" s="361">
        <f t="shared" si="1641"/>
        <v>50381000</v>
      </c>
      <c r="N1514" s="361">
        <f t="shared" si="1641"/>
        <v>35117000</v>
      </c>
      <c r="O1514" s="361">
        <f>O171+O621+O630++O681+O721+O733+O738+O1382+O1387+O1401+O1463+O1491+O1496</f>
        <v>49848400</v>
      </c>
      <c r="P1514" s="361">
        <f>P171+P621+P630++P681+P721+P733+P738+P1382+P1387+P1401+P1463+P1491+P1496</f>
        <v>14840100</v>
      </c>
      <c r="Q1514" s="361">
        <f>Q171+Q621+Q630++Q681+Q721+Q733+Q738+Q1382+Q1387+Q1401+Q1463+Q1491+Q1496</f>
        <v>8935500</v>
      </c>
      <c r="R1514" s="3">
        <f>14840100-P1514</f>
        <v>0</v>
      </c>
    </row>
    <row r="1515" spans="1:25" x14ac:dyDescent="0.3">
      <c r="A1515" s="360"/>
      <c r="B1515" s="360" t="s">
        <v>205</v>
      </c>
      <c r="C1515" s="359">
        <f t="shared" ref="C1515:H1515" si="1642">C743+C795+C848+C952+C963+C1037+C1043+C1091+C1137+C1011+C991+C1316+C1296+C1189</f>
        <v>72231200</v>
      </c>
      <c r="D1515" s="359">
        <f t="shared" si="1642"/>
        <v>53914900</v>
      </c>
      <c r="E1515" s="359">
        <f t="shared" si="1642"/>
        <v>3089400</v>
      </c>
      <c r="F1515" s="359">
        <f t="shared" si="1642"/>
        <v>21405700</v>
      </c>
      <c r="G1515" s="359">
        <f t="shared" si="1642"/>
        <v>45463000</v>
      </c>
      <c r="H1515" s="359">
        <f t="shared" si="1642"/>
        <v>55496000</v>
      </c>
      <c r="I1515" s="359">
        <f>I743+I795+I848+I952+I963+I991+I1011+I1037+I1043+I1091+I1137+I1190+I1296+I1316+I1453</f>
        <v>60000000</v>
      </c>
      <c r="J1515" s="359">
        <f>J743+J795+J848+J952+J963+J991+J1011+J1037+J1043+J1091+J1137+J1190+J1296+J1316+J1453</f>
        <v>36181300</v>
      </c>
      <c r="K1515" s="359">
        <f>K743+K795+K848+K952+K963+K991+K1011+K1037+K1043+K1091+K1137+K1190+K1296+K1316+K1453</f>
        <v>38170000</v>
      </c>
      <c r="L1515" s="359">
        <f>L743+L795+L848+L952+L963+L991+L1011+L1037+L1043+L1091+L1137+L1190+L1296+L1316+L1453</f>
        <v>61988700</v>
      </c>
      <c r="M1515" s="359">
        <f>M743+M795+M848+M952+M963+M1037+M1043+M1091+M1137+M1011+M991+M1316+M1296+M1190</f>
        <v>107418000</v>
      </c>
      <c r="N1515" s="359">
        <f>N743+N795+N848+N952+N963+N1037+N1043+N1091+N1137+N1011+N991+N1316+N1296+N1190</f>
        <v>58572000</v>
      </c>
      <c r="O1515" s="359">
        <f>O743+O795+O848+O952+O963+O1037+O1043+O1091+O1137+O1011+O991+O1316+O1296+O1190+O1453+O1458</f>
        <v>140745450</v>
      </c>
      <c r="P1515" s="359">
        <f>P743+P795+P848+P952+P963+P1037+P1043+P1091+P1137+P1011+P991+P1316+P1296+P1190+P1453+P1458</f>
        <v>89016513</v>
      </c>
      <c r="Q1515" s="359">
        <f>Q743+Q795+Q848+Q952+Q963+Q1037+Q1043+Q1091+Q1137+Q1011+Q991+Q1316+Q1296+Q1190+Q1453+Q1458</f>
        <v>45582000</v>
      </c>
      <c r="X1515" s="3"/>
      <c r="Y1515" s="3"/>
    </row>
    <row r="1516" spans="1:25" x14ac:dyDescent="0.3">
      <c r="A1516" s="360"/>
      <c r="B1516" s="362" t="s">
        <v>301</v>
      </c>
      <c r="C1516" s="359">
        <f>C1262</f>
        <v>7473000</v>
      </c>
      <c r="D1516" s="359">
        <f>D1262</f>
        <v>0</v>
      </c>
      <c r="E1516" s="359">
        <f>E1262</f>
        <v>0</v>
      </c>
      <c r="F1516" s="182">
        <f t="shared" si="1634"/>
        <v>7473000</v>
      </c>
      <c r="G1516" s="359">
        <f>G1262</f>
        <v>2813000</v>
      </c>
      <c r="H1516" s="359">
        <f>H1262</f>
        <v>85000</v>
      </c>
      <c r="I1516" s="359">
        <f>I1262</f>
        <v>1699000</v>
      </c>
      <c r="J1516" s="359">
        <f>J1262</f>
        <v>0</v>
      </c>
      <c r="K1516" s="359">
        <f t="shared" ref="K1516:Q1516" si="1643">K1262</f>
        <v>1555000</v>
      </c>
      <c r="L1516" s="359">
        <f t="shared" si="1643"/>
        <v>3254000</v>
      </c>
      <c r="M1516" s="359">
        <f t="shared" si="1643"/>
        <v>879000</v>
      </c>
      <c r="N1516" s="359">
        <f t="shared" si="1643"/>
        <v>0</v>
      </c>
      <c r="O1516" s="359">
        <f t="shared" si="1643"/>
        <v>1099000</v>
      </c>
      <c r="P1516" s="359">
        <f t="shared" si="1643"/>
        <v>0</v>
      </c>
      <c r="Q1516" s="359">
        <f t="shared" si="1643"/>
        <v>0</v>
      </c>
    </row>
    <row r="1517" spans="1:25" x14ac:dyDescent="0.3">
      <c r="A1517" s="360"/>
      <c r="B1517" s="669" t="s">
        <v>206</v>
      </c>
      <c r="C1517" s="293">
        <f>SUM(C56,C568)</f>
        <v>74000</v>
      </c>
      <c r="D1517" s="293">
        <f>SUM(D56,D568)</f>
        <v>1000</v>
      </c>
      <c r="E1517" s="293">
        <f>SUM(E56,E568)</f>
        <v>122000</v>
      </c>
      <c r="F1517" s="220">
        <f t="shared" si="1634"/>
        <v>195000</v>
      </c>
      <c r="G1517" s="293">
        <f t="shared" ref="G1517:Q1517" si="1644">SUM(G56,G568)</f>
        <v>74000</v>
      </c>
      <c r="H1517" s="293">
        <f t="shared" si="1644"/>
        <v>74000</v>
      </c>
      <c r="I1517" s="293">
        <f t="shared" si="1644"/>
        <v>74000</v>
      </c>
      <c r="J1517" s="293">
        <f t="shared" si="1644"/>
        <v>0</v>
      </c>
      <c r="K1517" s="293">
        <f t="shared" si="1644"/>
        <v>115000</v>
      </c>
      <c r="L1517" s="293">
        <f t="shared" si="1644"/>
        <v>189000</v>
      </c>
      <c r="M1517" s="293">
        <f t="shared" si="1644"/>
        <v>74000</v>
      </c>
      <c r="N1517" s="293">
        <f t="shared" si="1644"/>
        <v>74000</v>
      </c>
      <c r="O1517" s="293">
        <f t="shared" si="1644"/>
        <v>182000</v>
      </c>
      <c r="P1517" s="293">
        <f t="shared" si="1644"/>
        <v>182000</v>
      </c>
      <c r="Q1517" s="293">
        <f t="shared" si="1644"/>
        <v>182000</v>
      </c>
    </row>
    <row r="1518" spans="1:25" hidden="1" x14ac:dyDescent="0.3">
      <c r="A1518" s="415"/>
      <c r="B1518" s="417" t="s">
        <v>432</v>
      </c>
      <c r="C1518" s="417"/>
      <c r="D1518" s="417"/>
      <c r="E1518" s="417"/>
      <c r="F1518" s="417"/>
      <c r="G1518" s="417"/>
      <c r="H1518" s="417"/>
      <c r="I1518" s="293">
        <f>(I1291)</f>
        <v>14610000</v>
      </c>
      <c r="J1518" s="293">
        <f>(J1291)</f>
        <v>0</v>
      </c>
      <c r="K1518" s="293">
        <f>(K1291)</f>
        <v>0</v>
      </c>
      <c r="L1518" s="293">
        <f>(L1291)</f>
        <v>14610000</v>
      </c>
      <c r="M1518" s="293">
        <f t="shared" ref="M1518:Q1518" si="1645">(M1291)</f>
        <v>0</v>
      </c>
      <c r="N1518" s="293">
        <f t="shared" si="1645"/>
        <v>0</v>
      </c>
      <c r="O1518" s="293">
        <f t="shared" si="1645"/>
        <v>0</v>
      </c>
      <c r="P1518" s="293">
        <f t="shared" si="1645"/>
        <v>0</v>
      </c>
      <c r="Q1518" s="293">
        <f t="shared" si="1645"/>
        <v>0</v>
      </c>
    </row>
    <row r="1519" spans="1:25" ht="33.6" hidden="1" customHeight="1" x14ac:dyDescent="0.3">
      <c r="B1519" s="20"/>
      <c r="C1519" s="21"/>
      <c r="D1519" s="21"/>
      <c r="E1519" s="21"/>
      <c r="F1519" s="3"/>
      <c r="G1519" s="21"/>
      <c r="H1519" s="21"/>
      <c r="I1519" s="21"/>
      <c r="J1519" s="21"/>
      <c r="K1519" s="21"/>
      <c r="L1519" s="21"/>
      <c r="M1519" s="21"/>
      <c r="N1519" s="21"/>
      <c r="O1519" s="21"/>
      <c r="P1519" s="21"/>
      <c r="Q1519" s="21"/>
    </row>
    <row r="1520" spans="1:25" hidden="1" x14ac:dyDescent="0.3">
      <c r="B1520" s="20"/>
      <c r="C1520" s="26"/>
      <c r="D1520" s="26"/>
      <c r="E1520" s="26"/>
      <c r="F1520" s="26"/>
      <c r="G1520" s="26"/>
      <c r="H1520" s="26"/>
      <c r="I1520" s="26"/>
      <c r="J1520" s="419"/>
      <c r="K1520" s="416"/>
      <c r="L1520" s="363"/>
      <c r="M1520" s="26"/>
      <c r="N1520" s="26"/>
      <c r="O1520" s="416"/>
      <c r="P1520" s="416"/>
      <c r="Q1520" s="416"/>
    </row>
    <row r="1521" spans="15:16" hidden="1" x14ac:dyDescent="0.3">
      <c r="O1521" s="3">
        <f>O1515-140745450</f>
        <v>0</v>
      </c>
      <c r="P1521" s="3">
        <f>89016513-P1515</f>
        <v>0</v>
      </c>
    </row>
    <row r="1522" spans="15:16" hidden="1" x14ac:dyDescent="0.3"/>
    <row r="1523" spans="15:16" hidden="1" x14ac:dyDescent="0.3"/>
    <row r="1524" spans="15:16" hidden="1" x14ac:dyDescent="0.3"/>
    <row r="1525" spans="15:16" hidden="1" x14ac:dyDescent="0.3"/>
  </sheetData>
  <mergeCells count="87">
    <mergeCell ref="A2:Q2"/>
    <mergeCell ref="A3:Q3"/>
    <mergeCell ref="A1491:B1491"/>
    <mergeCell ref="C1491:D1491"/>
    <mergeCell ref="A395:B395"/>
    <mergeCell ref="A413:B413"/>
    <mergeCell ref="A417:B417"/>
    <mergeCell ref="A438:B438"/>
    <mergeCell ref="A477:B477"/>
    <mergeCell ref="A1316:B1316"/>
    <mergeCell ref="A1190:B1190"/>
    <mergeCell ref="A531:B531"/>
    <mergeCell ref="A908:B908"/>
    <mergeCell ref="A795:B795"/>
    <mergeCell ref="A653:B653"/>
    <mergeCell ref="A681:B681"/>
    <mergeCell ref="A613:B613"/>
    <mergeCell ref="A1262:B1262"/>
    <mergeCell ref="A621:B621"/>
    <mergeCell ref="A626:B626"/>
    <mergeCell ref="A630:B630"/>
    <mergeCell ref="A1091:B1091"/>
    <mergeCell ref="A1137:B1137"/>
    <mergeCell ref="A617:B617"/>
    <mergeCell ref="A721:B721"/>
    <mergeCell ref="C1401:D1401"/>
    <mergeCell ref="A1387:B1387"/>
    <mergeCell ref="C1463:D1463"/>
    <mergeCell ref="A1458:B1458"/>
    <mergeCell ref="A1037:B1037"/>
    <mergeCell ref="A1291:B1291"/>
    <mergeCell ref="C1387:D1387"/>
    <mergeCell ref="A1453:B1453"/>
    <mergeCell ref="A1043:B1043"/>
    <mergeCell ref="A1296:B1296"/>
    <mergeCell ref="C1382:D1382"/>
    <mergeCell ref="A1362:B1362"/>
    <mergeCell ref="A1382:B1382"/>
    <mergeCell ref="A1343:B1343"/>
    <mergeCell ref="A18:B18"/>
    <mergeCell ref="A10:B10"/>
    <mergeCell ref="A1463:B1463"/>
    <mergeCell ref="A1401:B1401"/>
    <mergeCell ref="A1011:B1011"/>
    <mergeCell ref="A733:B733"/>
    <mergeCell ref="A952:B952"/>
    <mergeCell ref="A963:B963"/>
    <mergeCell ref="A991:B991"/>
    <mergeCell ref="A848:B848"/>
    <mergeCell ref="A738:B738"/>
    <mergeCell ref="A743:B743"/>
    <mergeCell ref="A915:B915"/>
    <mergeCell ref="A1236:B1236"/>
    <mergeCell ref="A1249:B1249"/>
    <mergeCell ref="A568:B568"/>
    <mergeCell ref="A282:B282"/>
    <mergeCell ref="A516:B516"/>
    <mergeCell ref="C4:N4"/>
    <mergeCell ref="A176:B176"/>
    <mergeCell ref="A43:B43"/>
    <mergeCell ref="A53:B53"/>
    <mergeCell ref="A56:B56"/>
    <mergeCell ref="A83:B83"/>
    <mergeCell ref="A110:B110"/>
    <mergeCell ref="A132:B132"/>
    <mergeCell ref="A139:B139"/>
    <mergeCell ref="A143:B143"/>
    <mergeCell ref="A155:B155"/>
    <mergeCell ref="A164:B164"/>
    <mergeCell ref="A147:B147"/>
    <mergeCell ref="A171:B171"/>
    <mergeCell ref="A1496:B1496"/>
    <mergeCell ref="C1496:D1496"/>
    <mergeCell ref="A14:B14"/>
    <mergeCell ref="A580:B580"/>
    <mergeCell ref="A604:B604"/>
    <mergeCell ref="A391:B391"/>
    <mergeCell ref="A180:B180"/>
    <mergeCell ref="A183:B183"/>
    <mergeCell ref="A219:B219"/>
    <mergeCell ref="A272:B272"/>
    <mergeCell ref="A277:B277"/>
    <mergeCell ref="A288:B288"/>
    <mergeCell ref="A335:B335"/>
    <mergeCell ref="A375:B375"/>
    <mergeCell ref="A381:B381"/>
    <mergeCell ref="A385:B385"/>
  </mergeCells>
  <pageMargins left="0.59055118110236227" right="0.39370078740157483" top="0.39370078740157483" bottom="0.39370078740157483" header="0.31496062992125984" footer="0.11811023622047245"/>
  <pageSetup paperSize="9" scale="95" fitToHeight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M28"/>
  <sheetViews>
    <sheetView tabSelected="1" topLeftCell="A2" zoomScaleNormal="100" workbookViewId="0">
      <selection activeCell="L38" sqref="L38"/>
    </sheetView>
  </sheetViews>
  <sheetFormatPr defaultColWidth="9.21875" defaultRowHeight="13.2" x14ac:dyDescent="0.25"/>
  <cols>
    <col min="1" max="1" width="8.5546875" style="29" customWidth="1"/>
    <col min="2" max="2" width="39.109375" style="30" customWidth="1"/>
    <col min="3" max="4" width="13.44140625" style="31" hidden="1" customWidth="1"/>
    <col min="5" max="6" width="12.44140625" style="31" hidden="1" customWidth="1"/>
    <col min="7" max="7" width="14.21875" style="31" hidden="1" customWidth="1"/>
    <col min="8" max="8" width="13.44140625" style="31" hidden="1" customWidth="1"/>
    <col min="9" max="9" width="14.44140625" style="31" hidden="1" customWidth="1"/>
    <col min="10" max="10" width="13.44140625" style="31" hidden="1" customWidth="1"/>
    <col min="11" max="11" width="14.33203125" style="31" customWidth="1"/>
    <col min="12" max="12" width="14.21875" style="31" customWidth="1"/>
    <col min="13" max="13" width="15.33203125" style="31" customWidth="1"/>
    <col min="14" max="16384" width="9.21875" style="31"/>
  </cols>
  <sheetData>
    <row r="1" spans="1:13" hidden="1" x14ac:dyDescent="0.25">
      <c r="A1" s="29" t="s">
        <v>478</v>
      </c>
      <c r="H1" s="32"/>
    </row>
    <row r="2" spans="1:13" ht="15.75" customHeight="1" x14ac:dyDescent="0.25">
      <c r="A2" s="31"/>
      <c r="H2" s="32"/>
      <c r="J2" s="163"/>
      <c r="M2" s="509" t="s">
        <v>420</v>
      </c>
    </row>
    <row r="3" spans="1:13" ht="22.5" customHeight="1" x14ac:dyDescent="0.3">
      <c r="A3" s="731" t="s">
        <v>484</v>
      </c>
      <c r="B3" s="731"/>
      <c r="C3" s="731"/>
      <c r="D3" s="731"/>
      <c r="E3" s="731"/>
      <c r="F3" s="731"/>
      <c r="G3" s="731"/>
      <c r="H3" s="731"/>
      <c r="I3" s="731"/>
      <c r="J3" s="731"/>
      <c r="K3" s="731"/>
      <c r="L3" s="731"/>
      <c r="M3" s="731"/>
    </row>
    <row r="4" spans="1:13" ht="22.5" customHeight="1" x14ac:dyDescent="0.3">
      <c r="A4" s="730"/>
      <c r="B4" s="730"/>
      <c r="C4" s="730"/>
      <c r="D4" s="730"/>
      <c r="E4" s="730"/>
      <c r="F4" s="730"/>
      <c r="G4" s="730"/>
      <c r="H4" s="730"/>
      <c r="I4" s="730"/>
      <c r="J4" s="730"/>
      <c r="K4" s="730"/>
      <c r="L4" s="730"/>
      <c r="M4" s="730"/>
    </row>
    <row r="5" spans="1:13" ht="32.25" customHeight="1" x14ac:dyDescent="0.25">
      <c r="A5" s="734" t="s">
        <v>367</v>
      </c>
      <c r="B5" s="734"/>
      <c r="C5" s="735" t="s">
        <v>424</v>
      </c>
      <c r="D5" s="732" t="s">
        <v>436</v>
      </c>
      <c r="E5" s="732" t="s">
        <v>376</v>
      </c>
      <c r="F5" s="732" t="s">
        <v>450</v>
      </c>
      <c r="G5" s="732" t="s">
        <v>455</v>
      </c>
      <c r="H5" s="732" t="s">
        <v>456</v>
      </c>
      <c r="I5" s="732" t="s">
        <v>475</v>
      </c>
      <c r="J5" s="732" t="s">
        <v>476</v>
      </c>
      <c r="K5" s="732" t="s">
        <v>369</v>
      </c>
      <c r="L5" s="732" t="s">
        <v>425</v>
      </c>
      <c r="M5" s="732" t="s">
        <v>480</v>
      </c>
    </row>
    <row r="6" spans="1:13" s="33" customFormat="1" ht="17.25" customHeight="1" x14ac:dyDescent="0.3">
      <c r="A6" s="734"/>
      <c r="B6" s="734"/>
      <c r="C6" s="735"/>
      <c r="D6" s="733"/>
      <c r="E6" s="733"/>
      <c r="F6" s="733"/>
      <c r="G6" s="733"/>
      <c r="H6" s="733"/>
      <c r="I6" s="733"/>
      <c r="J6" s="733"/>
      <c r="K6" s="733"/>
      <c r="L6" s="733"/>
      <c r="M6" s="733"/>
    </row>
    <row r="7" spans="1:13" ht="34.200000000000003" customHeight="1" x14ac:dyDescent="0.25">
      <c r="A7" s="670" t="s">
        <v>90</v>
      </c>
      <c r="B7" s="671" t="s">
        <v>0</v>
      </c>
      <c r="C7" s="672">
        <f t="shared" ref="C7:M7" si="0">SUM(C8)</f>
        <v>145923000</v>
      </c>
      <c r="D7" s="673">
        <f t="shared" si="0"/>
        <v>42477300</v>
      </c>
      <c r="E7" s="672">
        <f t="shared" si="0"/>
        <v>63646500</v>
      </c>
      <c r="F7" s="672">
        <f t="shared" si="0"/>
        <v>0</v>
      </c>
      <c r="G7" s="672">
        <f t="shared" si="0"/>
        <v>0</v>
      </c>
      <c r="H7" s="672">
        <f t="shared" si="0"/>
        <v>1275998350</v>
      </c>
      <c r="I7" s="672">
        <f t="shared" si="0"/>
        <v>1256428393</v>
      </c>
      <c r="J7" s="672">
        <f t="shared" si="0"/>
        <v>1190420615</v>
      </c>
      <c r="K7" s="672">
        <f t="shared" si="0"/>
        <v>1475646529</v>
      </c>
      <c r="L7" s="672">
        <f t="shared" si="0"/>
        <v>1338568352</v>
      </c>
      <c r="M7" s="672">
        <f t="shared" si="0"/>
        <v>1258052841</v>
      </c>
    </row>
    <row r="8" spans="1:13" ht="24.75" customHeight="1" x14ac:dyDescent="0.25">
      <c r="A8" s="674" t="s">
        <v>195</v>
      </c>
      <c r="B8" s="675" t="s">
        <v>196</v>
      </c>
      <c r="C8" s="676">
        <f>SUM(C9,C12)</f>
        <v>145923000</v>
      </c>
      <c r="D8" s="677">
        <f t="shared" ref="D8:I8" si="1">SUM(D9,D12)</f>
        <v>42477300</v>
      </c>
      <c r="E8" s="676">
        <f t="shared" si="1"/>
        <v>63646500</v>
      </c>
      <c r="F8" s="676">
        <f t="shared" ref="F8" si="2">SUM(F9,F12)</f>
        <v>0</v>
      </c>
      <c r="G8" s="676">
        <f t="shared" si="1"/>
        <v>0</v>
      </c>
      <c r="H8" s="676">
        <f t="shared" si="1"/>
        <v>1275998350</v>
      </c>
      <c r="I8" s="676">
        <f t="shared" si="1"/>
        <v>1256428393</v>
      </c>
      <c r="J8" s="676">
        <f>SUM(J9,J12)</f>
        <v>1190420615</v>
      </c>
      <c r="K8" s="676">
        <f t="shared" ref="K8:M8" si="3">SUM(K9,K12)</f>
        <v>1475646529</v>
      </c>
      <c r="L8" s="676">
        <f t="shared" si="3"/>
        <v>1338568352</v>
      </c>
      <c r="M8" s="676">
        <f t="shared" si="3"/>
        <v>1258052841</v>
      </c>
    </row>
    <row r="9" spans="1:13" s="34" customFormat="1" ht="26.25" customHeight="1" x14ac:dyDescent="0.25">
      <c r="A9" s="678"/>
      <c r="B9" s="679" t="s">
        <v>197</v>
      </c>
      <c r="C9" s="680">
        <f t="shared" ref="C9" si="4">SUM(C10:C11)</f>
        <v>0</v>
      </c>
      <c r="D9" s="681">
        <f t="shared" ref="D9:M9" si="5">SUM(D10:D11)</f>
        <v>0</v>
      </c>
      <c r="E9" s="680">
        <f t="shared" si="5"/>
        <v>0</v>
      </c>
      <c r="F9" s="680">
        <f t="shared" ref="F9" si="6">SUM(F10:F11)</f>
        <v>0</v>
      </c>
      <c r="G9" s="680">
        <f t="shared" si="5"/>
        <v>0</v>
      </c>
      <c r="H9" s="680">
        <f t="shared" si="5"/>
        <v>1108906150</v>
      </c>
      <c r="I9" s="680">
        <f t="shared" si="5"/>
        <v>1049806393</v>
      </c>
      <c r="J9" s="680">
        <f t="shared" si="5"/>
        <v>1049287615</v>
      </c>
      <c r="K9" s="682">
        <f t="shared" si="5"/>
        <v>1204716179</v>
      </c>
      <c r="L9" s="682">
        <f t="shared" si="5"/>
        <v>1161300739</v>
      </c>
      <c r="M9" s="682">
        <f t="shared" si="5"/>
        <v>1141434841</v>
      </c>
    </row>
    <row r="10" spans="1:13" s="39" customFormat="1" ht="30" customHeight="1" x14ac:dyDescent="0.25">
      <c r="A10" s="35"/>
      <c r="B10" s="36" t="s">
        <v>198</v>
      </c>
      <c r="C10" s="37">
        <f>'Izvor 11 i 12'!H986</f>
        <v>0</v>
      </c>
      <c r="D10" s="38">
        <f>'Izvor 11 i 12'!I986</f>
        <v>0</v>
      </c>
      <c r="E10" s="37">
        <f>'Izvor 11 i 12'!J986</f>
        <v>0</v>
      </c>
      <c r="F10" s="459">
        <f>'Izvor 11 i 12'!$K$986</f>
        <v>0</v>
      </c>
      <c r="G10" s="459">
        <f>'Izvor 11 i 12'!L986</f>
        <v>0</v>
      </c>
      <c r="H10" s="37">
        <f>'Izvor 11 i 12'!M975</f>
        <v>1073909150</v>
      </c>
      <c r="I10" s="37">
        <f>'Izvor 11 i 12'!N975</f>
        <v>1012149850</v>
      </c>
      <c r="J10" s="510">
        <f>'Izvor 11 i 12'!O975</f>
        <v>1030224615</v>
      </c>
      <c r="K10" s="459">
        <f>'Izvor 11 i 12'!P975</f>
        <v>1143752179</v>
      </c>
      <c r="L10" s="459">
        <f>'Izvor 11 i 12'!Q975</f>
        <v>1141652239</v>
      </c>
      <c r="M10" s="459">
        <f>'Izvor 11 i 12'!R975</f>
        <v>1134418841</v>
      </c>
    </row>
    <row r="11" spans="1:13" s="39" customFormat="1" ht="30" customHeight="1" x14ac:dyDescent="0.25">
      <c r="A11" s="40"/>
      <c r="B11" s="36" t="s">
        <v>199</v>
      </c>
      <c r="C11" s="37">
        <f>'Izvor 11 i 12'!H987</f>
        <v>0</v>
      </c>
      <c r="D11" s="38">
        <f>'Izvor 11 i 12'!I987</f>
        <v>0</v>
      </c>
      <c r="E11" s="37">
        <f>'Izvor 11 i 12'!J987</f>
        <v>0</v>
      </c>
      <c r="F11" s="459">
        <f>'Izvor 11 i 12'!$K$987</f>
        <v>0</v>
      </c>
      <c r="G11" s="459"/>
      <c r="H11" s="37">
        <f>'Izvor 11 i 12'!M976</f>
        <v>34997000</v>
      </c>
      <c r="I11" s="37">
        <f>'Izvor 11 i 12'!N976</f>
        <v>37656543</v>
      </c>
      <c r="J11" s="510">
        <f>'Izvor 11 i 12'!O976</f>
        <v>19063000</v>
      </c>
      <c r="K11" s="459">
        <f>'Izvor 11 i 12'!P976</f>
        <v>60964000</v>
      </c>
      <c r="L11" s="459">
        <f>'Izvor 11 i 12'!Q976</f>
        <v>19648500</v>
      </c>
      <c r="M11" s="459">
        <f>'Izvor 11 i 12'!R976</f>
        <v>7016000</v>
      </c>
    </row>
    <row r="12" spans="1:13" s="41" customFormat="1" ht="27" customHeight="1" x14ac:dyDescent="0.25">
      <c r="A12" s="678"/>
      <c r="B12" s="679" t="s">
        <v>269</v>
      </c>
      <c r="C12" s="680">
        <f>SUM(C13:C23)</f>
        <v>145923000</v>
      </c>
      <c r="D12" s="680">
        <f t="shared" ref="D12:M12" si="7">SUM(D13:D23)</f>
        <v>42477300</v>
      </c>
      <c r="E12" s="680">
        <f t="shared" si="7"/>
        <v>63646500</v>
      </c>
      <c r="F12" s="680">
        <f t="shared" si="7"/>
        <v>0</v>
      </c>
      <c r="G12" s="680">
        <f t="shared" si="7"/>
        <v>0</v>
      </c>
      <c r="H12" s="680">
        <f t="shared" si="7"/>
        <v>167092200</v>
      </c>
      <c r="I12" s="680">
        <f t="shared" si="7"/>
        <v>206622000</v>
      </c>
      <c r="J12" s="680">
        <f t="shared" si="7"/>
        <v>141133000</v>
      </c>
      <c r="K12" s="680">
        <f t="shared" si="7"/>
        <v>270930350</v>
      </c>
      <c r="L12" s="680">
        <f t="shared" si="7"/>
        <v>177267613</v>
      </c>
      <c r="M12" s="680">
        <f t="shared" si="7"/>
        <v>116618000</v>
      </c>
    </row>
    <row r="13" spans="1:13" s="39" customFormat="1" ht="30" customHeight="1" x14ac:dyDescent="0.25">
      <c r="A13" s="42"/>
      <c r="B13" s="43" t="s">
        <v>201</v>
      </c>
      <c r="C13" s="37">
        <f>'ostali izvori'!I1509</f>
        <v>1610000</v>
      </c>
      <c r="D13" s="38">
        <f>'ostali izvori'!J1509</f>
        <v>5000</v>
      </c>
      <c r="E13" s="37">
        <f>'ostali izvori'!K1509</f>
        <v>1005000</v>
      </c>
      <c r="F13" s="459"/>
      <c r="G13" s="459"/>
      <c r="H13" s="37">
        <f t="shared" ref="H13:H23" si="8">C13-D13+E13-F13+G13</f>
        <v>2610000</v>
      </c>
      <c r="I13" s="37">
        <f>'ostali izvori'!M1509</f>
        <v>1600000</v>
      </c>
      <c r="J13" s="510">
        <f>'ostali izvori'!N1509</f>
        <v>1600000</v>
      </c>
      <c r="K13" s="649">
        <f>SUM('ostali izvori'!O1509)</f>
        <v>2610000</v>
      </c>
      <c r="L13" s="649">
        <f>SUM('ostali izvori'!P1509)</f>
        <v>2610000</v>
      </c>
      <c r="M13" s="649">
        <f>SUM('ostali izvori'!Q1509)</f>
        <v>2610000</v>
      </c>
    </row>
    <row r="14" spans="1:13" s="39" customFormat="1" ht="30" customHeight="1" x14ac:dyDescent="0.25">
      <c r="A14" s="42"/>
      <c r="B14" s="44" t="s">
        <v>202</v>
      </c>
      <c r="C14" s="37">
        <f>'ostali izvori'!I1510</f>
        <v>44022000</v>
      </c>
      <c r="D14" s="45">
        <f>'ostali izvori'!J1510</f>
        <v>0</v>
      </c>
      <c r="E14" s="37">
        <f>'ostali izvori'!K1510</f>
        <v>13772500</v>
      </c>
      <c r="F14" s="459"/>
      <c r="G14" s="459"/>
      <c r="H14" s="37">
        <f t="shared" si="8"/>
        <v>57794500</v>
      </c>
      <c r="I14" s="37">
        <f>'ostali izvori'!M1510</f>
        <v>44022000</v>
      </c>
      <c r="J14" s="510">
        <f>'ostali izvori'!N1510</f>
        <v>44022000</v>
      </c>
      <c r="K14" s="649">
        <f>SUM('ostali izvori'!O1510)</f>
        <v>68384000</v>
      </c>
      <c r="L14" s="649">
        <f>SUM('ostali izvori'!P1510)</f>
        <v>68448500</v>
      </c>
      <c r="M14" s="649">
        <f>SUM('ostali izvori'!Q1510)</f>
        <v>57530500</v>
      </c>
    </row>
    <row r="15" spans="1:13" s="39" customFormat="1" ht="30" customHeight="1" x14ac:dyDescent="0.25">
      <c r="A15" s="42"/>
      <c r="B15" s="44" t="s">
        <v>203</v>
      </c>
      <c r="C15" s="46">
        <f>'ostali izvori'!I1511</f>
        <v>3645000</v>
      </c>
      <c r="D15" s="45">
        <f>'ostali izvori'!J1511</f>
        <v>1086000</v>
      </c>
      <c r="E15" s="37">
        <f>'ostali izvori'!K1511</f>
        <v>302000</v>
      </c>
      <c r="F15" s="459"/>
      <c r="G15" s="459"/>
      <c r="H15" s="37">
        <f t="shared" si="8"/>
        <v>2861000</v>
      </c>
      <c r="I15" s="37">
        <f>'ostali izvori'!M1511</f>
        <v>2119000</v>
      </c>
      <c r="J15" s="510">
        <f>'ostali izvori'!N1511</f>
        <v>1619000</v>
      </c>
      <c r="K15" s="649">
        <f>SUM('ostali izvori'!O1511)</f>
        <v>2686500</v>
      </c>
      <c r="L15" s="649">
        <f>SUM('ostali izvori'!P1511)</f>
        <v>2006500</v>
      </c>
      <c r="M15" s="649">
        <f>SUM('ostali izvori'!Q1511)</f>
        <v>1614000</v>
      </c>
    </row>
    <row r="16" spans="1:13" s="39" customFormat="1" ht="30" customHeight="1" x14ac:dyDescent="0.25">
      <c r="A16" s="42"/>
      <c r="B16" s="44" t="s">
        <v>204</v>
      </c>
      <c r="C16" s="37">
        <f>'ostali izvori'!I1512</f>
        <v>129000</v>
      </c>
      <c r="D16" s="45">
        <f>'ostali izvori'!J1512</f>
        <v>49000</v>
      </c>
      <c r="E16" s="37">
        <f>'ostali izvori'!K1512</f>
        <v>530000</v>
      </c>
      <c r="F16" s="459"/>
      <c r="G16" s="459"/>
      <c r="H16" s="37">
        <f t="shared" si="8"/>
        <v>610000</v>
      </c>
      <c r="I16" s="37">
        <f>'ostali izvori'!M1512</f>
        <v>129000</v>
      </c>
      <c r="J16" s="510">
        <f>'ostali izvori'!N1512</f>
        <v>129000</v>
      </c>
      <c r="K16" s="649">
        <f>SUM('ostali izvori'!O1512)</f>
        <v>5375000</v>
      </c>
      <c r="L16" s="649">
        <f>SUM('ostali izvori'!P1512)</f>
        <v>164000</v>
      </c>
      <c r="M16" s="649">
        <f>SUM('ostali izvori'!Q1512)</f>
        <v>164000</v>
      </c>
    </row>
    <row r="17" spans="1:13" s="39" customFormat="1" ht="30" customHeight="1" x14ac:dyDescent="0.25">
      <c r="A17" s="42"/>
      <c r="B17" s="44" t="s">
        <v>207</v>
      </c>
      <c r="C17" s="37">
        <f>'ostali izvori'!I1513</f>
        <v>134000</v>
      </c>
      <c r="D17" s="45">
        <f>'ostali izvori'!J1513</f>
        <v>0</v>
      </c>
      <c r="E17" s="37">
        <f>'ostali izvori'!K1513</f>
        <v>2000</v>
      </c>
      <c r="F17" s="459"/>
      <c r="G17" s="459"/>
      <c r="H17" s="37">
        <f t="shared" si="8"/>
        <v>136000</v>
      </c>
      <c r="I17" s="37">
        <f>'ostali izvori'!M1513</f>
        <v>0</v>
      </c>
      <c r="J17" s="510">
        <f>'ostali izvori'!N1513</f>
        <v>0</v>
      </c>
      <c r="K17" s="649">
        <f>SUM('ostali izvori'!O1513)</f>
        <v>0</v>
      </c>
      <c r="L17" s="649">
        <f>SUM('ostali izvori'!P1513)</f>
        <v>0</v>
      </c>
      <c r="M17" s="649">
        <f>SUM('ostali izvori'!Q1513)</f>
        <v>0</v>
      </c>
    </row>
    <row r="18" spans="1:13" s="39" customFormat="1" ht="30" hidden="1" customHeight="1" x14ac:dyDescent="0.25">
      <c r="A18" s="647"/>
      <c r="B18" s="648" t="s">
        <v>479</v>
      </c>
      <c r="C18" s="459"/>
      <c r="D18" s="649"/>
      <c r="E18" s="459"/>
      <c r="F18" s="459"/>
      <c r="G18" s="459"/>
      <c r="H18" s="459"/>
      <c r="I18" s="459">
        <v>50381000</v>
      </c>
      <c r="J18" s="510">
        <v>35117000</v>
      </c>
      <c r="K18" s="649"/>
      <c r="L18" s="649"/>
      <c r="M18" s="649"/>
    </row>
    <row r="19" spans="1:13" s="39" customFormat="1" ht="30" customHeight="1" x14ac:dyDescent="0.25">
      <c r="A19" s="40"/>
      <c r="B19" s="43" t="s">
        <v>268</v>
      </c>
      <c r="C19" s="37">
        <f>'ostali izvori'!I1514</f>
        <v>20000000</v>
      </c>
      <c r="D19" s="45">
        <f>'ostali izvori'!J1514</f>
        <v>5156000</v>
      </c>
      <c r="E19" s="37">
        <f>'ostali izvori'!K1514</f>
        <v>8195000</v>
      </c>
      <c r="F19" s="459"/>
      <c r="G19" s="459"/>
      <c r="H19" s="37">
        <f t="shared" si="8"/>
        <v>23039000</v>
      </c>
      <c r="I19" s="37"/>
      <c r="J19" s="510"/>
      <c r="K19" s="649">
        <f>SUM('ostali izvori'!O1514)</f>
        <v>49848400</v>
      </c>
      <c r="L19" s="649">
        <f>SUM('ostali izvori'!P1514)</f>
        <v>14840100</v>
      </c>
      <c r="M19" s="649">
        <f>SUM('ostali izvori'!Q1514)</f>
        <v>8935500</v>
      </c>
    </row>
    <row r="20" spans="1:13" s="39" customFormat="1" ht="30" customHeight="1" x14ac:dyDescent="0.25">
      <c r="A20" s="40"/>
      <c r="B20" s="44" t="s">
        <v>205</v>
      </c>
      <c r="C20" s="37">
        <f>'ostali izvori'!I1515</f>
        <v>60000000</v>
      </c>
      <c r="D20" s="45">
        <f>'ostali izvori'!J1515</f>
        <v>36181300</v>
      </c>
      <c r="E20" s="37">
        <f>'ostali izvori'!K1515</f>
        <v>38170000</v>
      </c>
      <c r="F20" s="459"/>
      <c r="G20" s="459"/>
      <c r="H20" s="37">
        <f t="shared" si="8"/>
        <v>61988700</v>
      </c>
      <c r="I20" s="37">
        <f>'ostali izvori'!M1515</f>
        <v>107418000</v>
      </c>
      <c r="J20" s="510">
        <f>'ostali izvori'!N1515</f>
        <v>58572000</v>
      </c>
      <c r="K20" s="649">
        <f>SUM('ostali izvori'!O1515)</f>
        <v>140745450</v>
      </c>
      <c r="L20" s="649">
        <f>SUM('ostali izvori'!P1515)</f>
        <v>89016513</v>
      </c>
      <c r="M20" s="649">
        <f>SUM('ostali izvori'!Q1515)</f>
        <v>45582000</v>
      </c>
    </row>
    <row r="21" spans="1:13" s="39" customFormat="1" ht="30" customHeight="1" x14ac:dyDescent="0.25">
      <c r="A21" s="40"/>
      <c r="B21" s="44" t="s">
        <v>301</v>
      </c>
      <c r="C21" s="37">
        <f>'ostali izvori'!I1516</f>
        <v>1699000</v>
      </c>
      <c r="D21" s="45">
        <f>'ostali izvori'!J1516</f>
        <v>0</v>
      </c>
      <c r="E21" s="37">
        <f>'ostali izvori'!K1516</f>
        <v>1555000</v>
      </c>
      <c r="F21" s="459"/>
      <c r="G21" s="459"/>
      <c r="H21" s="37">
        <f t="shared" si="8"/>
        <v>3254000</v>
      </c>
      <c r="I21" s="37">
        <f>'ostali izvori'!M1516</f>
        <v>879000</v>
      </c>
      <c r="J21" s="510">
        <f>'ostali izvori'!N1516</f>
        <v>0</v>
      </c>
      <c r="K21" s="649">
        <f>SUM('ostali izvori'!O1516)</f>
        <v>1099000</v>
      </c>
      <c r="L21" s="649">
        <f>SUM('ostali izvori'!P1516)</f>
        <v>0</v>
      </c>
      <c r="M21" s="649">
        <f>SUM('ostali izvori'!Q1516)</f>
        <v>0</v>
      </c>
    </row>
    <row r="22" spans="1:13" s="39" customFormat="1" ht="30" customHeight="1" x14ac:dyDescent="0.25">
      <c r="A22" s="40"/>
      <c r="B22" s="44" t="s">
        <v>206</v>
      </c>
      <c r="C22" s="46">
        <f>'ostali izvori'!I1517</f>
        <v>74000</v>
      </c>
      <c r="D22" s="45">
        <f>'ostali izvori'!J1517</f>
        <v>0</v>
      </c>
      <c r="E22" s="37">
        <f>'ostali izvori'!K1517</f>
        <v>115000</v>
      </c>
      <c r="F22" s="459"/>
      <c r="G22" s="459"/>
      <c r="H22" s="37">
        <f t="shared" si="8"/>
        <v>189000</v>
      </c>
      <c r="I22" s="37">
        <f>'ostali izvori'!M1517</f>
        <v>74000</v>
      </c>
      <c r="J22" s="510">
        <f>'ostali izvori'!N1517</f>
        <v>74000</v>
      </c>
      <c r="K22" s="649">
        <f>SUM('ostali izvori'!O1517)</f>
        <v>182000</v>
      </c>
      <c r="L22" s="649">
        <f>SUM('ostali izvori'!P1517)</f>
        <v>182000</v>
      </c>
      <c r="M22" s="649">
        <f>SUM('ostali izvori'!Q1517)</f>
        <v>182000</v>
      </c>
    </row>
    <row r="23" spans="1:13" ht="30" hidden="1" customHeight="1" x14ac:dyDescent="0.25">
      <c r="A23" s="460"/>
      <c r="B23" s="417" t="s">
        <v>432</v>
      </c>
      <c r="C23" s="461">
        <f>'ostali izvori'!I1518</f>
        <v>14610000</v>
      </c>
      <c r="D23" s="461">
        <f>'ostali izvori'!J1518</f>
        <v>0</v>
      </c>
      <c r="E23" s="461">
        <f>'ostali izvori'!K1518</f>
        <v>0</v>
      </c>
      <c r="F23" s="461"/>
      <c r="G23" s="462"/>
      <c r="H23" s="461">
        <f t="shared" si="8"/>
        <v>14610000</v>
      </c>
      <c r="I23" s="37">
        <f>'ostali izvori'!M1518</f>
        <v>0</v>
      </c>
      <c r="J23" s="510">
        <f>'ostali izvori'!N1518</f>
        <v>0</v>
      </c>
      <c r="K23" s="461">
        <f>SUM('ostali izvori'!O1518)</f>
        <v>0</v>
      </c>
      <c r="L23" s="461">
        <f>SUM('ostali izvori'!P1518)</f>
        <v>0</v>
      </c>
      <c r="M23" s="461">
        <f>SUM('ostali izvori'!Q1518)</f>
        <v>0</v>
      </c>
    </row>
    <row r="25" spans="1:13" x14ac:dyDescent="0.25">
      <c r="I25" s="47"/>
      <c r="J25" s="47"/>
      <c r="K25" s="47"/>
      <c r="L25" s="47"/>
      <c r="M25" s="47"/>
    </row>
    <row r="26" spans="1:13" x14ac:dyDescent="0.25">
      <c r="K26" s="47"/>
      <c r="L26" s="47"/>
      <c r="M26" s="47"/>
    </row>
    <row r="27" spans="1:13" x14ac:dyDescent="0.25">
      <c r="K27" s="47"/>
      <c r="L27" s="47"/>
      <c r="M27" s="47"/>
    </row>
    <row r="28" spans="1:13" x14ac:dyDescent="0.25">
      <c r="K28" s="47"/>
      <c r="L28" s="47"/>
      <c r="M28" s="47"/>
    </row>
  </sheetData>
  <mergeCells count="14">
    <mergeCell ref="A4:M4"/>
    <mergeCell ref="A3:M3"/>
    <mergeCell ref="H5:H6"/>
    <mergeCell ref="A5:B6"/>
    <mergeCell ref="C5:C6"/>
    <mergeCell ref="E5:E6"/>
    <mergeCell ref="D5:D6"/>
    <mergeCell ref="G5:G6"/>
    <mergeCell ref="F5:F6"/>
    <mergeCell ref="K5:K6"/>
    <mergeCell ref="L5:L6"/>
    <mergeCell ref="M5:M6"/>
    <mergeCell ref="I5:I6"/>
    <mergeCell ref="J5:J6"/>
  </mergeCells>
  <pageMargins left="0.78740157480314965" right="0.59055118110236227" top="0.98425196850393704" bottom="0.19685039370078741" header="0.31496062992125984" footer="0.31496062992125984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110D3BDC810647B33CAA8B452EA575" ma:contentTypeVersion="0" ma:contentTypeDescription="Create a new document." ma:contentTypeScope="" ma:versionID="baaf634e467062fbbbb7011a0e457e3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3802F-8506-4E47-90D1-397E456EE7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F064CD5-FD77-4CA2-ACAB-50BABB916DF4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6CD3B4C-C15F-47CA-BBB5-D36D1A15C1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5</vt:i4>
      </vt:variant>
    </vt:vector>
  </HeadingPairs>
  <TitlesOfParts>
    <vt:vector size="8" baseType="lpstr">
      <vt:lpstr>Izvor 11 i 12</vt:lpstr>
      <vt:lpstr>ostali izvori</vt:lpstr>
      <vt:lpstr>Rekapitulacija u eur</vt:lpstr>
      <vt:lpstr>'Izvor 11 i 12'!Ispis_naslova</vt:lpstr>
      <vt:lpstr>'ostali izvori'!Ispis_naslova</vt:lpstr>
      <vt:lpstr>'Izvor 11 i 12'!Podrucje_ispisa</vt:lpstr>
      <vt:lpstr>'ostali izvori'!Podrucje_ispisa</vt:lpstr>
      <vt:lpstr>'Rekapitulacija u eur'!Podrucje_ispisa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Maleković Iva</dc:creator>
  <cp:lastModifiedBy>Markota Tamara</cp:lastModifiedBy>
  <cp:lastPrinted>2024-11-28T08:31:49Z</cp:lastPrinted>
  <dcterms:created xsi:type="dcterms:W3CDTF">2017-06-14T07:23:35Z</dcterms:created>
  <dcterms:modified xsi:type="dcterms:W3CDTF">2025-01-30T10:16:55Z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0x010100F5110D3BDC810647B33CAA8B452EA575</vt:lpwstr>
  </property>
</Properties>
</file>